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15" yWindow="-15" windowWidth="21720" windowHeight="11955" tabRatio="606" activeTab="2"/>
  </bookViews>
  <sheets>
    <sheet name="Notes" sheetId="7" r:id="rId1"/>
    <sheet name="Instructions" sheetId="12" r:id="rId2"/>
    <sheet name="Design Parameters" sheetId="4" r:id="rId3"/>
    <sheet name="Controller Registers" sheetId="1" r:id="rId4"/>
    <sheet name="PHY Registers" sheetId="14" r:id="rId5"/>
    <sheet name="Datasheet" sheetId="13" r:id="rId6"/>
    <sheet name="Lookup" sheetId="11" r:id="rId7"/>
  </sheets>
  <definedNames>
    <definedName name="address_mirroring_val">'Design Parameters'!$E$29</definedName>
    <definedName name="ASR">Lookup!$E$48</definedName>
    <definedName name="asr_val">'Design Parameters'!$E$41</definedName>
    <definedName name="CL">Lookup!$E$33</definedName>
    <definedName name="cl_val">'Design Parameters'!$E$25</definedName>
    <definedName name="CLOCK_FREQ">'Design Parameters'!$C$6</definedName>
    <definedName name="CLOCK_PERIOD">'Design Parameters'!$C$8</definedName>
    <definedName name="CWL">Lookup!$E$11</definedName>
    <definedName name="cwl_val">'Design Parameters'!$E$22</definedName>
    <definedName name="datasheet_table">Datasheet!$C$3:$AW$48</definedName>
    <definedName name="DDR_TERM">Lookup!$E$2</definedName>
    <definedName name="ddr_term_val">'Design Parameters'!$E$19</definedName>
    <definedName name="desc_address_mirroring">Lookup!$H$68:$H$69</definedName>
    <definedName name="desc_ASR">Lookup!$E$49:$E$50</definedName>
    <definedName name="desc_CL">Lookup!$E$34:$E$45</definedName>
    <definedName name="desc_COMMAND_DELAY">Lookup!$E$59:$F$60</definedName>
    <definedName name="desc_CWL">Lookup!$E$12:$E$19</definedName>
    <definedName name="desc_Datasheet_Table">Datasheet!$C$3:$AW$36</definedName>
    <definedName name="desc_DDR_TERM">Lookup!$E$3:$E$7</definedName>
    <definedName name="desc_Device">Datasheet!$C$3:$AW$3</definedName>
    <definedName name="desc_DYN_ODT">Lookup!$H$3:$H$5</definedName>
    <definedName name="desc_EBANK">Lookup!$H$23:$H$24</definedName>
    <definedName name="desc_ECC_Byte">Lookup!$H$18:$H$19</definedName>
    <definedName name="desc_IBANK">Lookup!$E$23:$E$26</definedName>
    <definedName name="desc_IBANK_POS">Lookup!$B$3:$B$6</definedName>
    <definedName name="desc_INITREF_DIS">Lookup!$B$49:$B$50</definedName>
    <definedName name="desc_MODE_CYCLE_TIME">Lookup!$E$64:$F$67</definedName>
    <definedName name="desc_MODE_UPDATE_DELAY">Lookup!$H$59:$I$64</definedName>
    <definedName name="desc_NM">Lookup!$H$12:$H$14</definedName>
    <definedName name="desc_PAGESIZE">Lookup!$B$34:$B$37</definedName>
    <definedName name="desc_PASR">Lookup!$H$49:$H$56</definedName>
    <definedName name="desc_PHY_MODE">Lookup!$B$23:$B$24</definedName>
    <definedName name="desc_PHY_ODT">Lookup!$H$29</definedName>
    <definedName name="desc_PHY_ZO">Lookup!$H$42:$H$43</definedName>
    <definedName name="desc_ROWSIZE">Lookup!$B$25:$B$30</definedName>
    <definedName name="desc_SDRAM_DRIVE">Lookup!$B$12:$B$13</definedName>
    <definedName name="desc_Speed_Grade">Datasheet!$C$4:$AW$4</definedName>
    <definedName name="desc_SRT">Lookup!$B$53:$B$54</definedName>
    <definedName name="desc_WRITE_RECOVERY">Lookup!$B$59:$C$70</definedName>
    <definedName name="DYN_ODT">Lookup!$H$2</definedName>
    <definedName name="dyn_odt_val">'Design Parameters'!$E$20</definedName>
    <definedName name="EBANK">Lookup!$H$22</definedName>
    <definedName name="ebank_val">'Design Parameters'!$E$27</definedName>
    <definedName name="ecc_byte_val">'Design Parameters'!$E$24</definedName>
    <definedName name="IBANK">Lookup!$E$22</definedName>
    <definedName name="IBANK_POS">Lookup!$B$2</definedName>
    <definedName name="ibank_pos_0">Lookup!$C$3</definedName>
    <definedName name="ibank_pos_1">Lookup!$C$4</definedName>
    <definedName name="ibank_pos_2">Lookup!$C$5</definedName>
    <definedName name="ibank_pos_3">Lookup!$C$6</definedName>
    <definedName name="ibank_pos_val">'Design Parameters'!$E$18</definedName>
    <definedName name="ibank_val">'Design Parameters'!$E$26</definedName>
    <definedName name="INITREF_DIS">Lookup!$B$48</definedName>
    <definedName name="initref_dis_val">'Design Parameters'!$E$39</definedName>
    <definedName name="NM">Lookup!$H$11</definedName>
    <definedName name="nm_val">'Design Parameters'!$E$23</definedName>
    <definedName name="PAGESIZE">Lookup!$B$33</definedName>
    <definedName name="pagesize_val">'Design Parameters'!$E$28</definedName>
    <definedName name="PASR">Lookup!$H$48</definedName>
    <definedName name="pasr_val">'Design Parameters'!$E$42</definedName>
    <definedName name="phy_accc_zo_val">'Design Parameters'!$E$31</definedName>
    <definedName name="phy_data_zo_val">'Design Parameters'!$E$30</definedName>
    <definedName name="phy_mode_val">'Design Parameters'!$E$33</definedName>
    <definedName name="phy_odt_val">'Design Parameters'!$E$32</definedName>
    <definedName name="refresh_clocks_ext_temp">'Design Parameters'!$E$44</definedName>
    <definedName name="refresh_clocks_normal">'Design Parameters'!$E$43</definedName>
    <definedName name="refresh_period_normal">'Design Parameters'!$C$43</definedName>
    <definedName name="ROWSIZE">Lookup!#REF!</definedName>
    <definedName name="SDRAM_DRIVE">Lookup!$B$11</definedName>
    <definedName name="sdram_drive_val">'Design Parameters'!$E$21</definedName>
    <definedName name="set_DDR_TERM">Lookup!$F$3:$F$7</definedName>
    <definedName name="set_IBANK_POS">Lookup!$C$3:$C$6</definedName>
    <definedName name="Speed_Grade_lookup">Lookup!$H$34:$H$37</definedName>
    <definedName name="SRT">Lookup!$B$52</definedName>
    <definedName name="srt_val">'Design Parameters'!$E$40</definedName>
    <definedName name="t_ccd_lookup_val">'Design Parameters'!$G$70</definedName>
    <definedName name="t_ccd_val">'Design Parameters'!$E$70</definedName>
    <definedName name="T_CKE">'Design Parameters'!$C$62</definedName>
    <definedName name="t_cke_val">'Design Parameters'!$E$62</definedName>
    <definedName name="t_ckesr_val">'Design Parameters'!$E$68</definedName>
    <definedName name="t_dllk_val">'Design Parameters'!$E$67</definedName>
    <definedName name="t_faw_val">'Design Parameters'!$E$55</definedName>
    <definedName name="t_mod_lookup_val">'Design Parameters'!$G$72</definedName>
    <definedName name="t_mod_val">'Design Parameters'!$E$72</definedName>
    <definedName name="t_mrd_lookup_val">'Design Parameters'!$G$71</definedName>
    <definedName name="t_mrd_val">'Design Parameters'!$E$71</definedName>
    <definedName name="t_ras_val">'Design Parameters'!$E$53</definedName>
    <definedName name="t_rc_val">'Design Parameters'!$E$54</definedName>
    <definedName name="t_rcd_val">'Design Parameters'!$E$51</definedName>
    <definedName name="T_RFC">'Design Parameters'!$C$58</definedName>
    <definedName name="t_rfc_val">'Design Parameters'!$E$58</definedName>
    <definedName name="t_rp_val">'Design Parameters'!$E$50</definedName>
    <definedName name="t_rrd_emif_val">'Design Parameters'!$E$59</definedName>
    <definedName name="t_rrd_val">'Design Parameters'!$E$60</definedName>
    <definedName name="t_rtp_val">'Design Parameters'!$E$57</definedName>
    <definedName name="t_wlmrd_val">'Design Parameters'!$E$74</definedName>
    <definedName name="t_wlo_val">'Design Parameters'!$E$73</definedName>
    <definedName name="t_wr_lookup_val">'Design Parameters'!$G$52</definedName>
    <definedName name="t_wr_val">'Design Parameters'!$E$52</definedName>
    <definedName name="t_wtr_val">'Design Parameters'!$E$56</definedName>
    <definedName name="t_xp_val">'Design Parameters'!$E$61</definedName>
    <definedName name="t_xpdll_val">'Design Parameters'!$E$75</definedName>
    <definedName name="t_xs_val">'Design Parameters'!$E$64</definedName>
    <definedName name="t_xsdll_val">'Design Parameters'!$E$66</definedName>
    <definedName name="t_xsnr_val">'Design Parameters'!$E$63</definedName>
    <definedName name="t_xsrd_val">'Design Parameters'!$E$65</definedName>
    <definedName name="t_zqcs_val">'Design Parameters'!$E$69</definedName>
    <definedName name="tcke_val">'Design Parameters'!$E$62</definedName>
    <definedName name="tras_val">'Design Parameters'!$E$53</definedName>
    <definedName name="trc_val">'Design Parameters'!$E$54</definedName>
    <definedName name="trcd_val">'Design Parameters'!$E$51</definedName>
    <definedName name="trp_val">'Design Parameters'!$E$50</definedName>
    <definedName name="trrd_val">'Design Parameters'!$E$60</definedName>
    <definedName name="trtp_val">'Design Parameters'!$E$57</definedName>
    <definedName name="twr_val">'Design Parameters'!$E$52</definedName>
    <definedName name="twtr_val">'Design Parameters'!$E$56</definedName>
    <definedName name="txp_val">'Design Parameters'!$E$61</definedName>
    <definedName name="txsnr_val">'Design Parameters'!$E$63</definedName>
    <definedName name="txsrd_val">'Design Parameters'!$E$65</definedName>
  </definedNames>
  <calcPr calcId="125725"/>
</workbook>
</file>

<file path=xl/calcChain.xml><?xml version="1.0" encoding="utf-8"?>
<calcChain xmlns="http://schemas.openxmlformats.org/spreadsheetml/2006/main">
  <c r="BC45" i="13"/>
  <c r="BC43"/>
  <c r="BC39"/>
  <c r="BC37"/>
  <c r="BC35"/>
  <c r="BC31"/>
  <c r="AW28"/>
  <c r="AV28"/>
  <c r="AU28"/>
  <c r="AT28"/>
  <c r="AS28"/>
  <c r="AR28"/>
  <c r="AQ28"/>
  <c r="AP28"/>
  <c r="AO28"/>
  <c r="AN28"/>
  <c r="AM28"/>
  <c r="AL28"/>
  <c r="AK28"/>
  <c r="AJ28"/>
  <c r="AI28"/>
  <c r="AH28"/>
  <c r="AG28"/>
  <c r="AF28"/>
  <c r="AE28"/>
  <c r="AD28"/>
  <c r="AC28"/>
  <c r="AB28"/>
  <c r="AA28"/>
  <c r="Z28"/>
  <c r="Y28"/>
  <c r="X28"/>
  <c r="W28"/>
  <c r="V28"/>
  <c r="U28"/>
  <c r="T28"/>
  <c r="S28"/>
  <c r="R28"/>
  <c r="Q28"/>
  <c r="P28"/>
  <c r="O28"/>
  <c r="N28"/>
  <c r="M28"/>
  <c r="L28"/>
  <c r="K28"/>
  <c r="J28"/>
  <c r="I28"/>
  <c r="H28"/>
  <c r="G28"/>
  <c r="F28"/>
  <c r="E28"/>
  <c r="D28"/>
  <c r="C28"/>
  <c r="AW26"/>
  <c r="AV26"/>
  <c r="AU26"/>
  <c r="AT26"/>
  <c r="AS26"/>
  <c r="AR26"/>
  <c r="AQ26"/>
  <c r="AP26"/>
  <c r="AO26"/>
  <c r="AN26"/>
  <c r="AM26"/>
  <c r="AL26"/>
  <c r="AK26"/>
  <c r="AJ26"/>
  <c r="AI26"/>
  <c r="AH26"/>
  <c r="AG26"/>
  <c r="AF26"/>
  <c r="AE26"/>
  <c r="AD26"/>
  <c r="AC26"/>
  <c r="AB26"/>
  <c r="AA26"/>
  <c r="Z26"/>
  <c r="Y26"/>
  <c r="X26"/>
  <c r="W26"/>
  <c r="V26"/>
  <c r="U26"/>
  <c r="T26"/>
  <c r="S26"/>
  <c r="R26"/>
  <c r="Q26"/>
  <c r="P26"/>
  <c r="O26"/>
  <c r="N26"/>
  <c r="M26"/>
  <c r="L26"/>
  <c r="K26"/>
  <c r="J26"/>
  <c r="I26"/>
  <c r="H26"/>
  <c r="G26"/>
  <c r="F26"/>
  <c r="E26"/>
  <c r="D26"/>
  <c r="C26"/>
  <c r="BC21"/>
  <c r="BC15"/>
  <c r="BC13"/>
  <c r="BC11"/>
  <c r="BC9"/>
  <c r="BC7"/>
  <c r="BC5"/>
  <c r="A4"/>
  <c r="A5" s="1"/>
  <c r="A6" s="1"/>
  <c r="A7" s="1"/>
  <c r="A8" s="1"/>
  <c r="A9" s="1"/>
  <c r="A10" s="1"/>
  <c r="A11" s="1"/>
  <c r="A12" s="1"/>
  <c r="A13" s="1"/>
  <c r="A14" s="1"/>
  <c r="A15" s="1"/>
  <c r="A16" s="1"/>
  <c r="A17" s="1"/>
  <c r="A18" s="1"/>
  <c r="A19" s="1"/>
  <c r="A20" s="1"/>
  <c r="A21" s="1"/>
  <c r="A22" s="1"/>
  <c r="A23" s="1"/>
  <c r="A24" s="1"/>
  <c r="A25" s="1"/>
  <c r="A26" s="1"/>
  <c r="A27" s="1"/>
  <c r="A28" s="1"/>
  <c r="A29" s="1"/>
  <c r="A30" s="1"/>
  <c r="A31" s="1"/>
  <c r="A32" s="1"/>
  <c r="A33" s="1"/>
  <c r="A34" s="1"/>
  <c r="A35" s="1"/>
  <c r="A36" s="1"/>
  <c r="A37" s="1"/>
  <c r="A38" s="1"/>
  <c r="A39" s="1"/>
  <c r="A40" s="1"/>
  <c r="A41" s="1"/>
  <c r="A42" s="1"/>
  <c r="A43" s="1"/>
  <c r="A44" s="1"/>
  <c r="A45" s="1"/>
  <c r="A46" s="1"/>
  <c r="A47" s="1"/>
  <c r="D318" i="14"/>
  <c r="U315"/>
  <c r="T315"/>
  <c r="S315"/>
  <c r="R315"/>
  <c r="Q315"/>
  <c r="P315"/>
  <c r="O315"/>
  <c r="N315"/>
  <c r="M315"/>
  <c r="L315"/>
  <c r="K315"/>
  <c r="J315"/>
  <c r="I315"/>
  <c r="H315"/>
  <c r="G315"/>
  <c r="F315"/>
  <c r="E315"/>
  <c r="D315"/>
  <c r="C315"/>
  <c r="B315"/>
  <c r="U312"/>
  <c r="T312"/>
  <c r="S312"/>
  <c r="R312"/>
  <c r="Q312"/>
  <c r="P312"/>
  <c r="O312"/>
  <c r="N312"/>
  <c r="M312"/>
  <c r="L312"/>
  <c r="K312"/>
  <c r="J312"/>
  <c r="I312"/>
  <c r="H312"/>
  <c r="G312"/>
  <c r="F312"/>
  <c r="E312"/>
  <c r="D312"/>
  <c r="C312"/>
  <c r="B312"/>
  <c r="U307"/>
  <c r="T307"/>
  <c r="S307"/>
  <c r="R307"/>
  <c r="Q307"/>
  <c r="P307"/>
  <c r="O307"/>
  <c r="N307"/>
  <c r="M307"/>
  <c r="L307"/>
  <c r="K307"/>
  <c r="J307"/>
  <c r="I307"/>
  <c r="H307"/>
  <c r="G307"/>
  <c r="F307"/>
  <c r="E307"/>
  <c r="D307"/>
  <c r="C307"/>
  <c r="B307"/>
  <c r="C305"/>
  <c r="C304"/>
  <c r="C303"/>
  <c r="C302"/>
  <c r="C301"/>
  <c r="C300"/>
  <c r="C299"/>
  <c r="D290"/>
  <c r="C290"/>
  <c r="B290"/>
  <c r="D285"/>
  <c r="C285"/>
  <c r="B285"/>
  <c r="C283"/>
  <c r="C282"/>
  <c r="C281"/>
  <c r="C280"/>
  <c r="I274"/>
  <c r="R269"/>
  <c r="Q269"/>
  <c r="P269"/>
  <c r="O269"/>
  <c r="N269"/>
  <c r="M269"/>
  <c r="L269"/>
  <c r="K269"/>
  <c r="J269"/>
  <c r="I269"/>
  <c r="H269"/>
  <c r="G269"/>
  <c r="F269"/>
  <c r="E269"/>
  <c r="D269"/>
  <c r="C269"/>
  <c r="B269"/>
  <c r="D267" s="1"/>
  <c r="D24" s="1"/>
  <c r="C267"/>
  <c r="P256"/>
  <c r="O256"/>
  <c r="N256"/>
  <c r="M256"/>
  <c r="L256"/>
  <c r="K256"/>
  <c r="J256"/>
  <c r="I256"/>
  <c r="H256"/>
  <c r="G256"/>
  <c r="F256"/>
  <c r="E256"/>
  <c r="D256"/>
  <c r="B256"/>
  <c r="C254"/>
  <c r="L243"/>
  <c r="K243"/>
  <c r="J243"/>
  <c r="I243"/>
  <c r="H243"/>
  <c r="G243"/>
  <c r="F243"/>
  <c r="D243"/>
  <c r="B243"/>
  <c r="C241"/>
  <c r="B228"/>
  <c r="C226"/>
  <c r="B216"/>
  <c r="C214"/>
  <c r="F210"/>
  <c r="E210"/>
  <c r="D210"/>
  <c r="C210"/>
  <c r="F205"/>
  <c r="E205"/>
  <c r="D205"/>
  <c r="C205"/>
  <c r="B205"/>
  <c r="D203" s="1"/>
  <c r="D19" s="1"/>
  <c r="C203"/>
  <c r="C193"/>
  <c r="C191"/>
  <c r="D186"/>
  <c r="D181"/>
  <c r="F179"/>
  <c r="B197" s="1"/>
  <c r="E179"/>
  <c r="C179"/>
  <c r="D168"/>
  <c r="C168"/>
  <c r="C166"/>
  <c r="B156"/>
  <c r="C154"/>
  <c r="C15" s="1"/>
  <c r="C143"/>
  <c r="D132"/>
  <c r="C132"/>
  <c r="B132"/>
  <c r="D130"/>
  <c r="C130"/>
  <c r="D121"/>
  <c r="B121"/>
  <c r="C119"/>
  <c r="N110"/>
  <c r="K110"/>
  <c r="H110"/>
  <c r="G110"/>
  <c r="E110"/>
  <c r="D110"/>
  <c r="C110"/>
  <c r="B110"/>
  <c r="C108"/>
  <c r="J99"/>
  <c r="H99"/>
  <c r="F99"/>
  <c r="E99"/>
  <c r="C99"/>
  <c r="B99"/>
  <c r="C97"/>
  <c r="H91"/>
  <c r="F90"/>
  <c r="K86"/>
  <c r="J86"/>
  <c r="I86"/>
  <c r="H86"/>
  <c r="G86"/>
  <c r="F86"/>
  <c r="D84" s="1"/>
  <c r="D9" s="1"/>
  <c r="E86"/>
  <c r="D86"/>
  <c r="C86"/>
  <c r="B86"/>
  <c r="C84"/>
  <c r="D77"/>
  <c r="F72"/>
  <c r="E72"/>
  <c r="D72"/>
  <c r="C72"/>
  <c r="B72"/>
  <c r="C70"/>
  <c r="S61"/>
  <c r="R61"/>
  <c r="Q61"/>
  <c r="P61"/>
  <c r="O61"/>
  <c r="M61"/>
  <c r="L61"/>
  <c r="K61"/>
  <c r="J61"/>
  <c r="I61"/>
  <c r="H61"/>
  <c r="G61"/>
  <c r="F61"/>
  <c r="E61"/>
  <c r="D61"/>
  <c r="C61"/>
  <c r="B61"/>
  <c r="C59"/>
  <c r="B54"/>
  <c r="O49"/>
  <c r="N49"/>
  <c r="M49"/>
  <c r="L49"/>
  <c r="K49"/>
  <c r="J49"/>
  <c r="I49"/>
  <c r="H49"/>
  <c r="G49"/>
  <c r="F49"/>
  <c r="E49"/>
  <c r="D49"/>
  <c r="C49"/>
  <c r="B49"/>
  <c r="D47" s="1"/>
  <c r="D6" s="1"/>
  <c r="C47"/>
  <c r="C34"/>
  <c r="B34"/>
  <c r="C33"/>
  <c r="B33"/>
  <c r="C32"/>
  <c r="B32"/>
  <c r="C31"/>
  <c r="B31"/>
  <c r="C30"/>
  <c r="B30"/>
  <c r="C29"/>
  <c r="B29"/>
  <c r="C28"/>
  <c r="B28"/>
  <c r="C27"/>
  <c r="B27"/>
  <c r="C26"/>
  <c r="B26"/>
  <c r="C25"/>
  <c r="B25"/>
  <c r="C24"/>
  <c r="B24"/>
  <c r="C23"/>
  <c r="B23"/>
  <c r="C22"/>
  <c r="B22"/>
  <c r="C21"/>
  <c r="B21"/>
  <c r="C20"/>
  <c r="B20"/>
  <c r="C19"/>
  <c r="B19"/>
  <c r="C18"/>
  <c r="B18"/>
  <c r="C17"/>
  <c r="B17"/>
  <c r="C16"/>
  <c r="B16"/>
  <c r="B15"/>
  <c r="C14"/>
  <c r="B14"/>
  <c r="D13"/>
  <c r="C13"/>
  <c r="B13"/>
  <c r="C12"/>
  <c r="B12"/>
  <c r="C11"/>
  <c r="B11"/>
  <c r="C10"/>
  <c r="B10"/>
  <c r="C9"/>
  <c r="B9"/>
  <c r="C8"/>
  <c r="B8"/>
  <c r="C7"/>
  <c r="B7"/>
  <c r="C6"/>
  <c r="B6"/>
  <c r="G116" i="1"/>
  <c r="F116"/>
  <c r="E116"/>
  <c r="D116"/>
  <c r="C116"/>
  <c r="C114"/>
  <c r="D107"/>
  <c r="C107"/>
  <c r="B107"/>
  <c r="C100"/>
  <c r="B100"/>
  <c r="C93"/>
  <c r="B93"/>
  <c r="C91"/>
  <c r="G81"/>
  <c r="E81"/>
  <c r="C81"/>
  <c r="G76"/>
  <c r="E76"/>
  <c r="C76"/>
  <c r="B76"/>
  <c r="C74"/>
  <c r="G69"/>
  <c r="B69"/>
  <c r="G64"/>
  <c r="E64"/>
  <c r="B64"/>
  <c r="C62"/>
  <c r="C50"/>
  <c r="C45"/>
  <c r="C40"/>
  <c r="B40"/>
  <c r="C38"/>
  <c r="B28"/>
  <c r="C26"/>
  <c r="C13"/>
  <c r="C12"/>
  <c r="C11"/>
  <c r="C10"/>
  <c r="C9"/>
  <c r="C8"/>
  <c r="C7"/>
  <c r="C6"/>
  <c r="C74" i="4"/>
  <c r="E74" s="1"/>
  <c r="C73"/>
  <c r="C71"/>
  <c r="E71" s="1"/>
  <c r="F71" s="1"/>
  <c r="C70"/>
  <c r="E70" s="1"/>
  <c r="C67"/>
  <c r="E67" s="1"/>
  <c r="C66"/>
  <c r="E66" s="1"/>
  <c r="F66" s="1"/>
  <c r="C65"/>
  <c r="E65" s="1"/>
  <c r="C59"/>
  <c r="C58"/>
  <c r="C55"/>
  <c r="C54"/>
  <c r="C53"/>
  <c r="C52"/>
  <c r="C51"/>
  <c r="C50"/>
  <c r="C44"/>
  <c r="C43"/>
  <c r="E42"/>
  <c r="H125" i="14" s="1"/>
  <c r="H121" s="1"/>
  <c r="E41" i="4"/>
  <c r="F125" i="14" s="1"/>
  <c r="F121" s="1"/>
  <c r="E40" i="4"/>
  <c r="F40" s="1"/>
  <c r="E39"/>
  <c r="F39" s="1"/>
  <c r="E33"/>
  <c r="F33" s="1"/>
  <c r="E32"/>
  <c r="E292" i="14" s="1"/>
  <c r="E290" s="1"/>
  <c r="E31" i="4"/>
  <c r="F289" i="14" s="1"/>
  <c r="F285" s="1"/>
  <c r="E30" i="4"/>
  <c r="F30" s="1"/>
  <c r="E29"/>
  <c r="C247" i="14" s="1"/>
  <c r="C243" s="1"/>
  <c r="E28" i="4"/>
  <c r="F28" s="1"/>
  <c r="E27"/>
  <c r="B120" i="1" s="1"/>
  <c r="B116" s="1"/>
  <c r="E26" i="4"/>
  <c r="F26" s="1"/>
  <c r="E25"/>
  <c r="I103" i="14" s="1"/>
  <c r="E24" i="4"/>
  <c r="F24" s="1"/>
  <c r="E23"/>
  <c r="I80" i="1" s="1"/>
  <c r="I76" s="1"/>
  <c r="E22" i="4"/>
  <c r="F22" s="1"/>
  <c r="E21"/>
  <c r="M114" i="14" s="1"/>
  <c r="E20" i="4"/>
  <c r="C125" i="14" s="1"/>
  <c r="C121" s="1"/>
  <c r="E19" i="4"/>
  <c r="F19" s="1"/>
  <c r="E18"/>
  <c r="F18" s="1"/>
  <c r="C10"/>
  <c r="C8"/>
  <c r="C7"/>
  <c r="E53" l="1"/>
  <c r="D149" i="14" s="1"/>
  <c r="E55" i="4"/>
  <c r="F55" s="1"/>
  <c r="E59"/>
  <c r="F59" s="1"/>
  <c r="E43"/>
  <c r="E50"/>
  <c r="F149" i="14" s="1"/>
  <c r="E52" i="4"/>
  <c r="C32" i="1" s="1"/>
  <c r="E54" i="4"/>
  <c r="E58"/>
  <c r="E160" i="14" s="1"/>
  <c r="J114"/>
  <c r="J110" s="1"/>
  <c r="M110"/>
  <c r="D32" i="1"/>
  <c r="F160" i="14"/>
  <c r="F32" i="1"/>
  <c r="F70" i="4"/>
  <c r="G70"/>
  <c r="B172" i="14" s="1"/>
  <c r="B168" s="1"/>
  <c r="D160"/>
  <c r="F74" i="4"/>
  <c r="B198" i="14"/>
  <c r="B193"/>
  <c r="I99"/>
  <c r="G103"/>
  <c r="G99" s="1"/>
  <c r="G76"/>
  <c r="D97" i="1"/>
  <c r="F43" i="4"/>
  <c r="D44" i="1"/>
  <c r="F50" i="4"/>
  <c r="F52"/>
  <c r="F54"/>
  <c r="B149" i="14"/>
  <c r="E32" i="1"/>
  <c r="F58" i="4"/>
  <c r="F68" i="1"/>
  <c r="D56"/>
  <c r="F65" i="4"/>
  <c r="E172" i="14"/>
  <c r="F67" i="4"/>
  <c r="M14" i="11"/>
  <c r="M12"/>
  <c r="M5"/>
  <c r="M3"/>
  <c r="BB47" i="13"/>
  <c r="AZ47"/>
  <c r="AV47"/>
  <c r="AT47"/>
  <c r="AR47"/>
  <c r="AP47"/>
  <c r="AN47"/>
  <c r="AL47"/>
  <c r="AJ47"/>
  <c r="AH47"/>
  <c r="AF47"/>
  <c r="AD47"/>
  <c r="AB47"/>
  <c r="Z47"/>
  <c r="X47"/>
  <c r="V47"/>
  <c r="T47"/>
  <c r="R47"/>
  <c r="P47"/>
  <c r="N47"/>
  <c r="L47"/>
  <c r="J47"/>
  <c r="H47"/>
  <c r="F47"/>
  <c r="D47"/>
  <c r="BA41"/>
  <c r="AW41"/>
  <c r="AU41"/>
  <c r="AS41"/>
  <c r="AQ41"/>
  <c r="AO41"/>
  <c r="AM41"/>
  <c r="AK41"/>
  <c r="AI41"/>
  <c r="AG41"/>
  <c r="AE41"/>
  <c r="AC41"/>
  <c r="AA41"/>
  <c r="Y41"/>
  <c r="W41"/>
  <c r="U41"/>
  <c r="S41"/>
  <c r="Q41"/>
  <c r="O41"/>
  <c r="M41"/>
  <c r="K41"/>
  <c r="I41"/>
  <c r="G41"/>
  <c r="E41"/>
  <c r="C41"/>
  <c r="AW35"/>
  <c r="AU35"/>
  <c r="AS35"/>
  <c r="AQ35"/>
  <c r="AO35"/>
  <c r="AM35"/>
  <c r="AK35"/>
  <c r="AI35"/>
  <c r="AG35"/>
  <c r="AE35"/>
  <c r="AC35"/>
  <c r="AA35"/>
  <c r="Y35"/>
  <c r="W35"/>
  <c r="U35"/>
  <c r="S35"/>
  <c r="Q35"/>
  <c r="O35"/>
  <c r="M35"/>
  <c r="K35"/>
  <c r="I35"/>
  <c r="G35"/>
  <c r="E35"/>
  <c r="C35"/>
  <c r="BB29"/>
  <c r="AZ29"/>
  <c r="AV29"/>
  <c r="AT29"/>
  <c r="AR29"/>
  <c r="AP29"/>
  <c r="AN29"/>
  <c r="AL29"/>
  <c r="AJ29"/>
  <c r="AH29"/>
  <c r="AF29"/>
  <c r="AD29"/>
  <c r="AB29"/>
  <c r="Z29"/>
  <c r="X29"/>
  <c r="V29"/>
  <c r="T29"/>
  <c r="R29"/>
  <c r="P29"/>
  <c r="N29"/>
  <c r="L29"/>
  <c r="J29"/>
  <c r="H29"/>
  <c r="F29"/>
  <c r="D29"/>
  <c r="BB27"/>
  <c r="BB33" s="1"/>
  <c r="AZ27"/>
  <c r="BB25"/>
  <c r="AZ25"/>
  <c r="BA23"/>
  <c r="AW23"/>
  <c r="AU23"/>
  <c r="AS23"/>
  <c r="AQ23"/>
  <c r="AO23"/>
  <c r="AM23"/>
  <c r="AK23"/>
  <c r="AI23"/>
  <c r="AG23"/>
  <c r="AE23"/>
  <c r="AC23"/>
  <c r="AA23"/>
  <c r="Y23"/>
  <c r="W23"/>
  <c r="U23"/>
  <c r="S23"/>
  <c r="Q23"/>
  <c r="O23"/>
  <c r="M23"/>
  <c r="K23"/>
  <c r="I23"/>
  <c r="G23"/>
  <c r="E23"/>
  <c r="C23"/>
  <c r="BA19"/>
  <c r="AW19"/>
  <c r="AU19"/>
  <c r="AS19"/>
  <c r="AQ19"/>
  <c r="AO19"/>
  <c r="AM19"/>
  <c r="AK19"/>
  <c r="AI19"/>
  <c r="AG19"/>
  <c r="AE19"/>
  <c r="AC19"/>
  <c r="AA19"/>
  <c r="Y19"/>
  <c r="W19"/>
  <c r="U19"/>
  <c r="S19"/>
  <c r="Q19"/>
  <c r="O19"/>
  <c r="M19"/>
  <c r="K19"/>
  <c r="I19"/>
  <c r="G19"/>
  <c r="E19"/>
  <c r="C19"/>
  <c r="BB17"/>
  <c r="AZ17"/>
  <c r="AV17"/>
  <c r="AT17"/>
  <c r="AR17"/>
  <c r="AP17"/>
  <c r="M15" i="11"/>
  <c r="M13"/>
  <c r="M6"/>
  <c r="M4"/>
  <c r="BA47" i="13"/>
  <c r="AW47"/>
  <c r="AU47"/>
  <c r="C75" i="4" s="1"/>
  <c r="E75" s="1"/>
  <c r="F75" s="1"/>
  <c r="AS47" i="13"/>
  <c r="AQ47"/>
  <c r="AO47"/>
  <c r="AM47"/>
  <c r="AK47"/>
  <c r="AI47"/>
  <c r="AG47"/>
  <c r="AE47"/>
  <c r="AC47"/>
  <c r="AA47"/>
  <c r="Y47"/>
  <c r="W47"/>
  <c r="U47"/>
  <c r="S47"/>
  <c r="Q47"/>
  <c r="O47"/>
  <c r="M47"/>
  <c r="K47"/>
  <c r="I47"/>
  <c r="G47"/>
  <c r="E47"/>
  <c r="C47"/>
  <c r="BB41"/>
  <c r="AZ41"/>
  <c r="BC41" s="1"/>
  <c r="AV41"/>
  <c r="AT41"/>
  <c r="AR41"/>
  <c r="AP41"/>
  <c r="AN41"/>
  <c r="AL41"/>
  <c r="AJ41"/>
  <c r="AH41"/>
  <c r="AF41"/>
  <c r="AD41"/>
  <c r="AB41"/>
  <c r="Z41"/>
  <c r="X41"/>
  <c r="V41"/>
  <c r="T41"/>
  <c r="R41"/>
  <c r="P41"/>
  <c r="N41"/>
  <c r="L41"/>
  <c r="J41"/>
  <c r="H41"/>
  <c r="F41"/>
  <c r="D41"/>
  <c r="AV35"/>
  <c r="AT35"/>
  <c r="AR35"/>
  <c r="AP35"/>
  <c r="AN35"/>
  <c r="AL35"/>
  <c r="AJ35"/>
  <c r="AH35"/>
  <c r="AF35"/>
  <c r="AD35"/>
  <c r="AB35"/>
  <c r="Z35"/>
  <c r="X35"/>
  <c r="V35"/>
  <c r="T35"/>
  <c r="R35"/>
  <c r="P35"/>
  <c r="N35"/>
  <c r="L35"/>
  <c r="J35"/>
  <c r="H35"/>
  <c r="F35"/>
  <c r="D35"/>
  <c r="BA29"/>
  <c r="AW29"/>
  <c r="AU29"/>
  <c r="AS29"/>
  <c r="AQ29"/>
  <c r="AO29"/>
  <c r="AM29"/>
  <c r="AK29"/>
  <c r="AI29"/>
  <c r="AG29"/>
  <c r="AE29"/>
  <c r="AC29"/>
  <c r="AA29"/>
  <c r="Y29"/>
  <c r="W29"/>
  <c r="U29"/>
  <c r="S29"/>
  <c r="Q29"/>
  <c r="O29"/>
  <c r="M29"/>
  <c r="K29"/>
  <c r="I29"/>
  <c r="G29"/>
  <c r="E29"/>
  <c r="C29"/>
  <c r="BA27"/>
  <c r="BA33" s="1"/>
  <c r="BA25"/>
  <c r="BB23"/>
  <c r="AZ23"/>
  <c r="AV23"/>
  <c r="AT23"/>
  <c r="AR23"/>
  <c r="AP23"/>
  <c r="AN23"/>
  <c r="AL23"/>
  <c r="AJ23"/>
  <c r="AH23"/>
  <c r="AF23"/>
  <c r="AD23"/>
  <c r="AB23"/>
  <c r="Z23"/>
  <c r="X23"/>
  <c r="V23"/>
  <c r="T23"/>
  <c r="R23"/>
  <c r="P23"/>
  <c r="N23"/>
  <c r="L23"/>
  <c r="J23"/>
  <c r="H23"/>
  <c r="F23"/>
  <c r="D23"/>
  <c r="BB19"/>
  <c r="AZ19"/>
  <c r="BC19" s="1"/>
  <c r="AV19"/>
  <c r="AT19"/>
  <c r="AR19"/>
  <c r="AP19"/>
  <c r="AN19"/>
  <c r="AL19"/>
  <c r="AJ19"/>
  <c r="AH19"/>
  <c r="AF19"/>
  <c r="AD19"/>
  <c r="AB19"/>
  <c r="Z19"/>
  <c r="X19"/>
  <c r="V19"/>
  <c r="T19"/>
  <c r="R19"/>
  <c r="P19"/>
  <c r="N19"/>
  <c r="L19"/>
  <c r="J19"/>
  <c r="H19"/>
  <c r="F19"/>
  <c r="D19"/>
  <c r="BA17"/>
  <c r="AW17"/>
  <c r="AU17"/>
  <c r="C56" i="4" s="1"/>
  <c r="E56" s="1"/>
  <c r="AS17" i="13"/>
  <c r="AQ17"/>
  <c r="AO17"/>
  <c r="AM17"/>
  <c r="AK17"/>
  <c r="AI17"/>
  <c r="AG17"/>
  <c r="E44" i="4"/>
  <c r="E51"/>
  <c r="G71"/>
  <c r="H160" i="14" s="1"/>
  <c r="H156" s="1"/>
  <c r="E73" i="4"/>
  <c r="D80" i="1"/>
  <c r="D76" s="1"/>
  <c r="H80"/>
  <c r="H76" s="1"/>
  <c r="D85"/>
  <c r="D81" s="1"/>
  <c r="H85"/>
  <c r="H81" s="1"/>
  <c r="H120"/>
  <c r="N65" i="14"/>
  <c r="N61" s="1"/>
  <c r="D59" s="1"/>
  <c r="D7" s="1"/>
  <c r="L114"/>
  <c r="E125"/>
  <c r="E121" s="1"/>
  <c r="G125"/>
  <c r="G121" s="1"/>
  <c r="C185"/>
  <c r="D197"/>
  <c r="D220"/>
  <c r="C232"/>
  <c r="E247"/>
  <c r="E243" s="1"/>
  <c r="D241" s="1"/>
  <c r="D22" s="1"/>
  <c r="C260"/>
  <c r="C256" s="1"/>
  <c r="D254" s="1"/>
  <c r="D23" s="1"/>
  <c r="E289"/>
  <c r="E285" s="1"/>
  <c r="D283" s="1"/>
  <c r="F292"/>
  <c r="F290" s="1"/>
  <c r="D282" s="1"/>
  <c r="D27" s="1"/>
  <c r="V311"/>
  <c r="V307" s="1"/>
  <c r="D300" s="1"/>
  <c r="D29" s="1"/>
  <c r="V314"/>
  <c r="V312" s="1"/>
  <c r="D301" s="1"/>
  <c r="D30" s="1"/>
  <c r="V317"/>
  <c r="V315" s="1"/>
  <c r="D305" s="1"/>
  <c r="D34" s="1"/>
  <c r="C17" i="13"/>
  <c r="E17"/>
  <c r="G17"/>
  <c r="I17"/>
  <c r="K17"/>
  <c r="M17"/>
  <c r="O17"/>
  <c r="Q17"/>
  <c r="S17"/>
  <c r="U17"/>
  <c r="W17"/>
  <c r="Y17"/>
  <c r="AA17"/>
  <c r="AC17"/>
  <c r="AE17"/>
  <c r="AH17"/>
  <c r="AL17"/>
  <c r="F20" i="4"/>
  <c r="F21"/>
  <c r="F23"/>
  <c r="F25"/>
  <c r="F27"/>
  <c r="F29"/>
  <c r="F31"/>
  <c r="F32"/>
  <c r="F41"/>
  <c r="F42"/>
  <c r="F80" i="1"/>
  <c r="F76" s="1"/>
  <c r="B85"/>
  <c r="F85"/>
  <c r="F81" s="1"/>
  <c r="B185" i="14"/>
  <c r="D232"/>
  <c r="D17" i="13"/>
  <c r="F17"/>
  <c r="H17"/>
  <c r="J17"/>
  <c r="L17"/>
  <c r="N17"/>
  <c r="P17"/>
  <c r="R17"/>
  <c r="T17"/>
  <c r="V17"/>
  <c r="X17"/>
  <c r="Z17"/>
  <c r="AB17"/>
  <c r="AD17"/>
  <c r="AF17"/>
  <c r="AJ17"/>
  <c r="AN17"/>
  <c r="G52" i="4" l="1"/>
  <c r="D103" i="14" s="1"/>
  <c r="D99" s="1"/>
  <c r="F53" i="4"/>
  <c r="C60"/>
  <c r="E60" s="1"/>
  <c r="F60" s="1"/>
  <c r="C69"/>
  <c r="E69" s="1"/>
  <c r="C72"/>
  <c r="E72" s="1"/>
  <c r="G72" s="1"/>
  <c r="G160" i="14" s="1"/>
  <c r="G156" s="1"/>
  <c r="C57" i="4"/>
  <c r="E57" s="1"/>
  <c r="D119" i="14"/>
  <c r="D12" s="1"/>
  <c r="D97"/>
  <c r="D10" s="1"/>
  <c r="D233"/>
  <c r="D228"/>
  <c r="D221"/>
  <c r="D216"/>
  <c r="C181"/>
  <c r="C186"/>
  <c r="F73" i="4"/>
  <c r="C160" i="14"/>
  <c r="C156" s="1"/>
  <c r="E149"/>
  <c r="E44" i="1"/>
  <c r="F51" i="4"/>
  <c r="C64"/>
  <c r="E64" s="1"/>
  <c r="C63"/>
  <c r="E63" s="1"/>
  <c r="AP25" i="13"/>
  <c r="AN25"/>
  <c r="Z25"/>
  <c r="T25"/>
  <c r="N25"/>
  <c r="D25"/>
  <c r="AK25"/>
  <c r="AE25"/>
  <c r="AC25"/>
  <c r="Q25"/>
  <c r="K25"/>
  <c r="G25"/>
  <c r="AP27"/>
  <c r="AP33" s="1"/>
  <c r="AN27"/>
  <c r="AN33" s="1"/>
  <c r="Z27"/>
  <c r="Z33" s="1"/>
  <c r="T27"/>
  <c r="T33" s="1"/>
  <c r="N27"/>
  <c r="N33" s="1"/>
  <c r="D27"/>
  <c r="D33" s="1"/>
  <c r="AK27"/>
  <c r="AK33" s="1"/>
  <c r="AE27"/>
  <c r="AE33" s="1"/>
  <c r="AC27"/>
  <c r="AC33" s="1"/>
  <c r="Q27"/>
  <c r="Q33" s="1"/>
  <c r="K27"/>
  <c r="K33" s="1"/>
  <c r="G27"/>
  <c r="G33" s="1"/>
  <c r="E56" i="1"/>
  <c r="H149" i="14"/>
  <c r="H145" s="1"/>
  <c r="F57" i="4"/>
  <c r="AZ33" i="13"/>
  <c r="BC33" s="1"/>
  <c r="BC27"/>
  <c r="AR25"/>
  <c r="AL25"/>
  <c r="AH25"/>
  <c r="AF25"/>
  <c r="AD25"/>
  <c r="R25"/>
  <c r="L25"/>
  <c r="H25"/>
  <c r="AW25"/>
  <c r="AU25"/>
  <c r="AS25"/>
  <c r="AQ25"/>
  <c r="AO25"/>
  <c r="AA25"/>
  <c r="W25"/>
  <c r="U25"/>
  <c r="O25"/>
  <c r="E25"/>
  <c r="AR27"/>
  <c r="AR33" s="1"/>
  <c r="AL27"/>
  <c r="AL33" s="1"/>
  <c r="AH27"/>
  <c r="AH33" s="1"/>
  <c r="AF27"/>
  <c r="AF33" s="1"/>
  <c r="AD27"/>
  <c r="AD33" s="1"/>
  <c r="R27"/>
  <c r="R33" s="1"/>
  <c r="L27"/>
  <c r="L33" s="1"/>
  <c r="H27"/>
  <c r="H33" s="1"/>
  <c r="AW27"/>
  <c r="AW33" s="1"/>
  <c r="AU27"/>
  <c r="AS27"/>
  <c r="AS33" s="1"/>
  <c r="AQ27"/>
  <c r="AQ33" s="1"/>
  <c r="AO27"/>
  <c r="AO33" s="1"/>
  <c r="AA27"/>
  <c r="AA33" s="1"/>
  <c r="W27"/>
  <c r="W33" s="1"/>
  <c r="U27"/>
  <c r="U33" s="1"/>
  <c r="O27"/>
  <c r="O33" s="1"/>
  <c r="E27"/>
  <c r="E33" s="1"/>
  <c r="F69" i="1"/>
  <c r="F64"/>
  <c r="B150" i="14"/>
  <c r="B145"/>
  <c r="D45" i="1"/>
  <c r="D40"/>
  <c r="G77" i="14"/>
  <c r="G72"/>
  <c r="D70" s="1"/>
  <c r="D8" s="1"/>
  <c r="D33" i="1"/>
  <c r="D28"/>
  <c r="D302" i="14"/>
  <c r="D31" s="1"/>
  <c r="D299"/>
  <c r="D28" s="1"/>
  <c r="D280"/>
  <c r="D25" s="1"/>
  <c r="BC23" i="13"/>
  <c r="BC17"/>
  <c r="BC25"/>
  <c r="D304" i="14"/>
  <c r="D33" s="1"/>
  <c r="B186"/>
  <c r="B181"/>
  <c r="D179" s="1"/>
  <c r="D17" s="1"/>
  <c r="B86" i="1"/>
  <c r="B81"/>
  <c r="D74" s="1"/>
  <c r="D10" s="1"/>
  <c r="C233" i="14"/>
  <c r="C228"/>
  <c r="D226" s="1"/>
  <c r="D21" s="1"/>
  <c r="D198"/>
  <c r="D193"/>
  <c r="D191" s="1"/>
  <c r="D18" s="1"/>
  <c r="I114"/>
  <c r="L110"/>
  <c r="H121" i="1"/>
  <c r="H116"/>
  <c r="D114" s="1"/>
  <c r="D13" s="1"/>
  <c r="D104"/>
  <c r="F44" i="4"/>
  <c r="G149" i="14"/>
  <c r="G145" s="1"/>
  <c r="F56" i="4"/>
  <c r="G32" i="1"/>
  <c r="AV25" i="13"/>
  <c r="AT25"/>
  <c r="AB25"/>
  <c r="X25"/>
  <c r="V25"/>
  <c r="AM25"/>
  <c r="AI25"/>
  <c r="AG25"/>
  <c r="I25"/>
  <c r="AV27"/>
  <c r="AV33" s="1"/>
  <c r="AT27"/>
  <c r="AT33" s="1"/>
  <c r="AB27"/>
  <c r="AB33" s="1"/>
  <c r="X27"/>
  <c r="X33" s="1"/>
  <c r="V27"/>
  <c r="V33" s="1"/>
  <c r="AM27"/>
  <c r="AM33" s="1"/>
  <c r="AI27"/>
  <c r="AI33" s="1"/>
  <c r="AG27"/>
  <c r="AG33" s="1"/>
  <c r="I27"/>
  <c r="I33" s="1"/>
  <c r="C149" i="14"/>
  <c r="C145" s="1"/>
  <c r="D68" i="1"/>
  <c r="F69" i="4"/>
  <c r="F72"/>
  <c r="AJ25" i="13"/>
  <c r="P25"/>
  <c r="J25"/>
  <c r="F25"/>
  <c r="Y25"/>
  <c r="S25"/>
  <c r="M25"/>
  <c r="C25"/>
  <c r="AJ27"/>
  <c r="AJ33" s="1"/>
  <c r="P27"/>
  <c r="P33" s="1"/>
  <c r="J27"/>
  <c r="J33" s="1"/>
  <c r="F27"/>
  <c r="F33" s="1"/>
  <c r="Y27"/>
  <c r="Y33" s="1"/>
  <c r="S27"/>
  <c r="S33" s="1"/>
  <c r="M27"/>
  <c r="M33" s="1"/>
  <c r="C27"/>
  <c r="C33" s="1"/>
  <c r="E173" i="14"/>
  <c r="E168"/>
  <c r="D57" i="1"/>
  <c r="D52"/>
  <c r="E161" i="14"/>
  <c r="E156"/>
  <c r="E33" i="1"/>
  <c r="E28"/>
  <c r="C33"/>
  <c r="C28"/>
  <c r="F145" i="14"/>
  <c r="F150"/>
  <c r="D98" i="1"/>
  <c r="D93"/>
  <c r="D91" s="1"/>
  <c r="D11" s="1"/>
  <c r="D156" i="14"/>
  <c r="D161"/>
  <c r="F33" i="1"/>
  <c r="F28"/>
  <c r="F156" i="14"/>
  <c r="F161"/>
  <c r="D145"/>
  <c r="D150"/>
  <c r="D303"/>
  <c r="D32" s="1"/>
  <c r="D281"/>
  <c r="D26" s="1"/>
  <c r="BC29" i="13"/>
  <c r="BC47"/>
  <c r="C61" i="4" l="1"/>
  <c r="E61" s="1"/>
  <c r="G33" i="1"/>
  <c r="G28"/>
  <c r="D105"/>
  <c r="D100"/>
  <c r="E91" s="1"/>
  <c r="D12" s="1"/>
  <c r="F114" i="14"/>
  <c r="F110" s="1"/>
  <c r="D108" s="1"/>
  <c r="D11" s="1"/>
  <c r="I110"/>
  <c r="AU33" i="13"/>
  <c r="C68" i="4" s="1"/>
  <c r="E68" s="1"/>
  <c r="C62"/>
  <c r="E62" s="1"/>
  <c r="G172" i="14"/>
  <c r="B56" i="1"/>
  <c r="F61" i="4"/>
  <c r="E57" i="1"/>
  <c r="E52"/>
  <c r="C220" i="14"/>
  <c r="F64" i="4"/>
  <c r="H172" i="14"/>
  <c r="E40" i="1"/>
  <c r="D38" s="1"/>
  <c r="D7" s="1"/>
  <c r="E45"/>
  <c r="D26"/>
  <c r="D6" s="1"/>
  <c r="D154" i="14"/>
  <c r="D15" s="1"/>
  <c r="D69" i="1"/>
  <c r="D64"/>
  <c r="C56"/>
  <c r="F63" i="4"/>
  <c r="E150" i="14"/>
  <c r="E145"/>
  <c r="D143" s="1"/>
  <c r="D14" s="1"/>
  <c r="C57" i="1" l="1"/>
  <c r="C52"/>
  <c r="H173" i="14"/>
  <c r="H168"/>
  <c r="C221"/>
  <c r="C216"/>
  <c r="D214" s="1"/>
  <c r="D20" s="1"/>
  <c r="B57" i="1"/>
  <c r="B52"/>
  <c r="F62" i="4"/>
  <c r="F56" i="1"/>
  <c r="G173" i="14"/>
  <c r="G168"/>
  <c r="F68" i="4"/>
  <c r="F172" i="14"/>
  <c r="F168" s="1"/>
  <c r="D166" s="1"/>
  <c r="D16" s="1"/>
  <c r="C68" i="1"/>
  <c r="C64" l="1"/>
  <c r="D62" s="1"/>
  <c r="D9" s="1"/>
  <c r="C69"/>
  <c r="F57"/>
  <c r="F52"/>
  <c r="D50" s="1"/>
  <c r="D8" s="1"/>
</calcChain>
</file>

<file path=xl/sharedStrings.xml><?xml version="1.0" encoding="utf-8"?>
<sst xmlns="http://schemas.openxmlformats.org/spreadsheetml/2006/main" count="1513" uniqueCount="661">
  <si>
    <t xml:space="preserve">DDR_SDCFG        </t>
  </si>
  <si>
    <t>SDRAM_TYPE</t>
  </si>
  <si>
    <t>31:29</t>
  </si>
  <si>
    <t>IBANK_POS</t>
  </si>
  <si>
    <t>DDR_TERM</t>
  </si>
  <si>
    <t>DYN_ODT</t>
  </si>
  <si>
    <t>SDRAM_DRIVE</t>
  </si>
  <si>
    <t>CWL</t>
  </si>
  <si>
    <t>NM</t>
  </si>
  <si>
    <t>CL</t>
  </si>
  <si>
    <t>15:14</t>
  </si>
  <si>
    <t>IBANK</t>
  </si>
  <si>
    <t>3</t>
  </si>
  <si>
    <t>PAGESIZE</t>
  </si>
  <si>
    <t>EBANK</t>
  </si>
  <si>
    <t>31</t>
  </si>
  <si>
    <t>RESERVED</t>
  </si>
  <si>
    <t>T_RP</t>
  </si>
  <si>
    <t>T_RCD</t>
  </si>
  <si>
    <t>T_WR</t>
  </si>
  <si>
    <t>T_RAS</t>
  </si>
  <si>
    <t>T_RC</t>
  </si>
  <si>
    <t>T_RRD</t>
  </si>
  <si>
    <t>T_WTR</t>
  </si>
  <si>
    <t>T_XP</t>
  </si>
  <si>
    <t>27:25</t>
  </si>
  <si>
    <t>T_XSNR</t>
  </si>
  <si>
    <t>T_XSRD</t>
  </si>
  <si>
    <t>T_RTP</t>
  </si>
  <si>
    <t>T_CKE</t>
  </si>
  <si>
    <t>31:28</t>
  </si>
  <si>
    <t>27:24</t>
  </si>
  <si>
    <t>T_CSTA</t>
  </si>
  <si>
    <t>ZQ_ZQCS</t>
  </si>
  <si>
    <t>T_RFC</t>
  </si>
  <si>
    <t>3:0</t>
  </si>
  <si>
    <t>T_ZQCS</t>
  </si>
  <si>
    <t>Units</t>
  </si>
  <si>
    <t>ns</t>
  </si>
  <si>
    <t>MHz</t>
  </si>
  <si>
    <t>Design Value</t>
  </si>
  <si>
    <t xml:space="preserve">DDR3 Clock Timings </t>
  </si>
  <si>
    <t>RZQ/6</t>
  </si>
  <si>
    <t>RZQ/12</t>
  </si>
  <si>
    <t>RZQ/8</t>
  </si>
  <si>
    <t>RZQ/4</t>
  </si>
  <si>
    <t>RZQ/2</t>
  </si>
  <si>
    <t>RZQ/7</t>
  </si>
  <si>
    <t>CWL = 5</t>
  </si>
  <si>
    <t>CWL = 6</t>
  </si>
  <si>
    <t>CWL = 7</t>
  </si>
  <si>
    <t>CWL = 8</t>
  </si>
  <si>
    <t>32-bit bus width</t>
  </si>
  <si>
    <t>16-bit bus width</t>
  </si>
  <si>
    <t>64-bit bus width</t>
  </si>
  <si>
    <t>CAS = 5</t>
  </si>
  <si>
    <t>CAS = 6</t>
  </si>
  <si>
    <t>CAS = 7</t>
  </si>
  <si>
    <t>CAS = 8</t>
  </si>
  <si>
    <t>CAS = 9</t>
  </si>
  <si>
    <t>CAS = 10</t>
  </si>
  <si>
    <t>CAS = 11</t>
  </si>
  <si>
    <t>4 bank SDRAM</t>
  </si>
  <si>
    <t>1 Bank SDRAM</t>
  </si>
  <si>
    <t>2 Bank SDRAM</t>
  </si>
  <si>
    <t>8 bank SDRAM</t>
  </si>
  <si>
    <t>Register 
Settings Selected</t>
  </si>
  <si>
    <t>Selected 
Datasheet Values</t>
  </si>
  <si>
    <t>T_CKESR</t>
  </si>
  <si>
    <t>Address</t>
  </si>
  <si>
    <t>Tom Johnson</t>
  </si>
  <si>
    <t>No bank interleaving</t>
  </si>
  <si>
    <t>2 banks open for interleaving</t>
  </si>
  <si>
    <t>4 banks open for interleaving</t>
  </si>
  <si>
    <t>8 banks open for interleaving</t>
  </si>
  <si>
    <t>DDR3 Output Clock Period</t>
  </si>
  <si>
    <t>DDR3 Output Clock Frequency</t>
  </si>
  <si>
    <t>SDRAM Timing 1 Register</t>
  </si>
  <si>
    <t>SDRAM Timing 3 Register</t>
  </si>
  <si>
    <t>SDRAM Timing 2 Register</t>
  </si>
  <si>
    <t>Value (hex)</t>
  </si>
  <si>
    <t>Corresponding Register Value (decimal)</t>
  </si>
  <si>
    <t>Corresponding Register Value (hex)</t>
  </si>
  <si>
    <t>SDRAM Config-uration Register</t>
  </si>
  <si>
    <t>SDRAM Register</t>
  </si>
  <si>
    <t>Name:</t>
  </si>
  <si>
    <t>Purpose:</t>
  </si>
  <si>
    <t>Revision History:</t>
  </si>
  <si>
    <t>Version 1.0</t>
  </si>
  <si>
    <t>Compute values for the primary DDR3 controller registers</t>
  </si>
  <si>
    <t>Instructions</t>
  </si>
  <si>
    <t>EMIF Configuration Register Values</t>
  </si>
  <si>
    <t>EMIF Configuration Register Bit Fields</t>
  </si>
  <si>
    <t>SDRAM Refresh Control Register</t>
  </si>
  <si>
    <t xml:space="preserve">DDR_SDRFC        </t>
  </si>
  <si>
    <t>28</t>
  </si>
  <si>
    <t>23:16</t>
  </si>
  <si>
    <t>15:0</t>
  </si>
  <si>
    <t>INITREF_DIS</t>
  </si>
  <si>
    <t>SRT</t>
  </si>
  <si>
    <t>ASR</t>
  </si>
  <si>
    <t>PASR</t>
  </si>
  <si>
    <t>REFRESH_RATE</t>
  </si>
  <si>
    <t>Normal Value (hex)</t>
  </si>
  <si>
    <t xml:space="preserve">Refresh Configuration </t>
  </si>
  <si>
    <t>Normal Operation</t>
  </si>
  <si>
    <t>Normal Temp Range</t>
  </si>
  <si>
    <t>Full Array</t>
  </si>
  <si>
    <t>Extended Temp Range</t>
  </si>
  <si>
    <t>REFRESH_PERIOD - Normal</t>
  </si>
  <si>
    <t>us</t>
  </si>
  <si>
    <t>REFRESH_PERIOD - Ext. Temp</t>
  </si>
  <si>
    <t>Selected 
Datasheet Values /
 Settings</t>
  </si>
  <si>
    <t>Extended Temp Value (hex)</t>
  </si>
  <si>
    <t>(hex)</t>
  </si>
  <si>
    <t xml:space="preserve">DDR_SDRFC (normal)       </t>
  </si>
  <si>
    <t xml:space="preserve">DDR_SDRFC
(ext temp)       </t>
  </si>
  <si>
    <t>T_XSNR (use T_XS)</t>
  </si>
  <si>
    <t>T_XSRD (use T_XSDLL)</t>
  </si>
  <si>
    <t>max(4nCK, 7.5ns)</t>
  </si>
  <si>
    <t>max(3nCK, 7.5ns)</t>
  </si>
  <si>
    <t>max(3nCK, 6ns)</t>
  </si>
  <si>
    <t>nCK</t>
  </si>
  <si>
    <t>max(3nCK, 5.625ns)</t>
  </si>
  <si>
    <t>User Defined</t>
  </si>
  <si>
    <t>T_FAW</t>
  </si>
  <si>
    <t>T_XSDLL</t>
  </si>
  <si>
    <t>Disable SDRAM Initialization and Refresh</t>
  </si>
  <si>
    <t>T_XS</t>
  </si>
  <si>
    <t>max(5nCK, tRFC+10ns)</t>
  </si>
  <si>
    <t>tCKE(min)+1CK</t>
  </si>
  <si>
    <t>Disclaimer:  This register calculation tool is provided for reference only, without warranty expressed or implied. The recipient is encouraged to perform all due diligence with respect to design and analysis.  For committed performance and functionality, please refer to the device’s Data Manual.</t>
  </si>
  <si>
    <t>KeyStone-II DDR3 Register Calculations</t>
  </si>
  <si>
    <t>Initial version derived from KeyStone-I</t>
  </si>
  <si>
    <t>24</t>
  </si>
  <si>
    <t>23:22</t>
  </si>
  <si>
    <t>21:17</t>
  </si>
  <si>
    <t>16:14</t>
  </si>
  <si>
    <t>CWL = 9</t>
  </si>
  <si>
    <t>CWL = 10</t>
  </si>
  <si>
    <t>CWL = 11</t>
  </si>
  <si>
    <t>CWL = 12</t>
  </si>
  <si>
    <t>NM - Narrow Mode</t>
  </si>
  <si>
    <t>13:12</t>
  </si>
  <si>
    <t>11:8</t>
  </si>
  <si>
    <t>CAS = 12</t>
  </si>
  <si>
    <t>CAS = 13</t>
  </si>
  <si>
    <t>CAS = 14</t>
  </si>
  <si>
    <t>CAS = 15</t>
  </si>
  <si>
    <t>CAS = 16</t>
  </si>
  <si>
    <t>7</t>
  </si>
  <si>
    <t>6:5</t>
  </si>
  <si>
    <t>4</t>
  </si>
  <si>
    <t>2</t>
  </si>
  <si>
    <t>256-word page - 8 column bits</t>
  </si>
  <si>
    <t>512-word page - 9 column bits</t>
  </si>
  <si>
    <t>1024-word page - 10 column bits</t>
  </si>
  <si>
    <t>2048-word page - 11 column bits</t>
  </si>
  <si>
    <t>1:0</t>
  </si>
  <si>
    <t>30:16</t>
  </si>
  <si>
    <t>31:30</t>
  </si>
  <si>
    <t>29:25</t>
  </si>
  <si>
    <t>24:18</t>
  </si>
  <si>
    <t>17:10</t>
  </si>
  <si>
    <t>9:4</t>
  </si>
  <si>
    <t>SDRAM Timing 4 Register</t>
  </si>
  <si>
    <t>DDR_SDTIM4</t>
  </si>
  <si>
    <t>DDR_SDTIM3</t>
  </si>
  <si>
    <t>DDR_SDTIM1</t>
  </si>
  <si>
    <t>DDR_SDTIM2</t>
  </si>
  <si>
    <t>31:13</t>
  </si>
  <si>
    <t>T_RTW</t>
  </si>
  <si>
    <t>12:10</t>
  </si>
  <si>
    <t>9:5</t>
  </si>
  <si>
    <t>4:0</t>
  </si>
  <si>
    <t>27:18</t>
  </si>
  <si>
    <t>17:8</t>
  </si>
  <si>
    <t>7:4</t>
  </si>
  <si>
    <t>13:4</t>
  </si>
  <si>
    <t>PHY Configuration Register Bit Fields</t>
  </si>
  <si>
    <t>PHY Configuration Register Values</t>
  </si>
  <si>
    <t>SDRAM MR0 Register</t>
  </si>
  <si>
    <t>PHY Configuration Base Address</t>
  </si>
  <si>
    <t>EMIF Configuration Base Address</t>
  </si>
  <si>
    <t>Address (hex)</t>
  </si>
  <si>
    <t>DDR3_MR0</t>
  </si>
  <si>
    <t>SDRAM PHY Register</t>
  </si>
  <si>
    <t>PD</t>
  </si>
  <si>
    <t>12</t>
  </si>
  <si>
    <t>WRITE_RECOVERY</t>
  </si>
  <si>
    <t>WR</t>
  </si>
  <si>
    <t>11:9</t>
  </si>
  <si>
    <t>DR</t>
  </si>
  <si>
    <t>8</t>
  </si>
  <si>
    <t>TM</t>
  </si>
  <si>
    <t>CL[3:1]</t>
  </si>
  <si>
    <t>6:4</t>
  </si>
  <si>
    <t>CL[0]</t>
  </si>
  <si>
    <t>BT</t>
  </si>
  <si>
    <t>BL</t>
  </si>
  <si>
    <t>SDRAM MR1 Register</t>
  </si>
  <si>
    <t>DDR3_MR1</t>
  </si>
  <si>
    <t>QOFF</t>
  </si>
  <si>
    <t>11</t>
  </si>
  <si>
    <t>TDQS</t>
  </si>
  <si>
    <t>10</t>
  </si>
  <si>
    <t>9</t>
  </si>
  <si>
    <t>RTT[2]</t>
  </si>
  <si>
    <t>LEVEL</t>
  </si>
  <si>
    <t>RTT[1]</t>
  </si>
  <si>
    <t>6</t>
  </si>
  <si>
    <t>DIC[1]</t>
  </si>
  <si>
    <t>5</t>
  </si>
  <si>
    <t>4:3</t>
  </si>
  <si>
    <t>AL</t>
  </si>
  <si>
    <t>RTT[0]</t>
  </si>
  <si>
    <t>DIC[0]</t>
  </si>
  <si>
    <t>1</t>
  </si>
  <si>
    <t>DE</t>
  </si>
  <si>
    <t>0</t>
  </si>
  <si>
    <t>SDRAM MR2 Register</t>
  </si>
  <si>
    <t>DDR3_MR2</t>
  </si>
  <si>
    <t>31:11</t>
  </si>
  <si>
    <t>10:9</t>
  </si>
  <si>
    <t>RTTWR</t>
  </si>
  <si>
    <t>1/2 Array (lower)</t>
  </si>
  <si>
    <t>1/2 Array (upper)</t>
  </si>
  <si>
    <t>1/4 Array (bottom)</t>
  </si>
  <si>
    <t>1/4 Array (top)</t>
  </si>
  <si>
    <t>1/8 Array (bottom)</t>
  </si>
  <si>
    <t>1/8 Array (top)</t>
  </si>
  <si>
    <t>3/4 Array (upper)</t>
  </si>
  <si>
    <t>5:3</t>
  </si>
  <si>
    <t>2:0</t>
  </si>
  <si>
    <t>SDRAM MR3 Register</t>
  </si>
  <si>
    <t>31:3</t>
  </si>
  <si>
    <t>MPR</t>
  </si>
  <si>
    <t>MPRLOC</t>
  </si>
  <si>
    <t>DDR3_MR3</t>
  </si>
  <si>
    <t>SDRAM PTR0 Register</t>
  </si>
  <si>
    <t>DDR3_PTR0</t>
  </si>
  <si>
    <t>31:21</t>
  </si>
  <si>
    <t>20:6</t>
  </si>
  <si>
    <t>5:0</t>
  </si>
  <si>
    <t>T_PLLPD</t>
  </si>
  <si>
    <t>T_PLLGS</t>
  </si>
  <si>
    <t>T_PHYRST</t>
  </si>
  <si>
    <t>SDRAM PTR1 Register</t>
  </si>
  <si>
    <t>15:13</t>
  </si>
  <si>
    <t>12:0</t>
  </si>
  <si>
    <t>T_PLLRST</t>
  </si>
  <si>
    <t>31:16</t>
  </si>
  <si>
    <t>T_PLLLOCK</t>
  </si>
  <si>
    <t>SDRAM PTR2 Register</t>
  </si>
  <si>
    <t>DDR3_PTR1</t>
  </si>
  <si>
    <t>DDR3_PTR2</t>
  </si>
  <si>
    <t>31:20</t>
  </si>
  <si>
    <t>T_WLDLYS</t>
  </si>
  <si>
    <t>19:15</t>
  </si>
  <si>
    <t>T_CALH</t>
  </si>
  <si>
    <t>14:10</t>
  </si>
  <si>
    <t>T_CALS</t>
  </si>
  <si>
    <t>T_CALON</t>
  </si>
  <si>
    <t>9us</t>
  </si>
  <si>
    <t>100us</t>
  </si>
  <si>
    <t>4us</t>
  </si>
  <si>
    <t>1us</t>
  </si>
  <si>
    <t>SDRAM PTR3 Register</t>
  </si>
  <si>
    <t>DDR3_PTR3</t>
  </si>
  <si>
    <t>28:20</t>
  </si>
  <si>
    <t>19:0</t>
  </si>
  <si>
    <t>T_DINIT1</t>
  </si>
  <si>
    <t>T_DINIT0</t>
  </si>
  <si>
    <t>SDRAM PTR4 Register</t>
  </si>
  <si>
    <t>DDR3_PTR4</t>
  </si>
  <si>
    <t>17:0</t>
  </si>
  <si>
    <t>T_DINIT3</t>
  </si>
  <si>
    <t>T_DINIT2</t>
  </si>
  <si>
    <t>500us</t>
  </si>
  <si>
    <t>200us</t>
  </si>
  <si>
    <t>SDRAM DTPR0 Register</t>
  </si>
  <si>
    <t>DDR3_DTPR0</t>
  </si>
  <si>
    <t>31:26</t>
  </si>
  <si>
    <t>25:22</t>
  </si>
  <si>
    <t>21:16</t>
  </si>
  <si>
    <t>15:12</t>
  </si>
  <si>
    <t>PHY Mode Registers</t>
  </si>
  <si>
    <t>PHY DRAM Timing Parameter Registers</t>
  </si>
  <si>
    <t>PHY Timing Registers</t>
  </si>
  <si>
    <t>SDRAM DTPR1 Register</t>
  </si>
  <si>
    <t>DDR3_DTPR1</t>
  </si>
  <si>
    <t>29:26</t>
  </si>
  <si>
    <t>25:20</t>
  </si>
  <si>
    <t>19:11</t>
  </si>
  <si>
    <t>10:5</t>
  </si>
  <si>
    <t>4:2</t>
  </si>
  <si>
    <t>T_WLO</t>
  </si>
  <si>
    <t>T_WLMRD</t>
  </si>
  <si>
    <t>T_MOD</t>
  </si>
  <si>
    <t>T_MRD</t>
  </si>
  <si>
    <t>SDRAM DTPR2 Register</t>
  </si>
  <si>
    <t>DDR3_DTPR2</t>
  </si>
  <si>
    <t>T_CCD</t>
  </si>
  <si>
    <t>30</t>
  </si>
  <si>
    <t>T_RTODT</t>
  </si>
  <si>
    <t>29</t>
  </si>
  <si>
    <t>T_DLLK</t>
  </si>
  <si>
    <t>28:19</t>
  </si>
  <si>
    <t>18:15</t>
  </si>
  <si>
    <t>9:0</t>
  </si>
  <si>
    <t>max(3nCK, 5.0ns)</t>
  </si>
  <si>
    <t>Timing Parameter</t>
  </si>
  <si>
    <t>Lookup Value for PHY</t>
  </si>
  <si>
    <t>COMMAND_DELAY</t>
  </si>
  <si>
    <t>max(12nCK, 15.0ns)</t>
  </si>
  <si>
    <t>MODE_UPDATE_DELAY</t>
  </si>
  <si>
    <t>MODE_CYCLE_TIME</t>
  </si>
  <si>
    <t>T_XPDLL</t>
  </si>
  <si>
    <t>max(10nCK, 24.0ns)</t>
  </si>
  <si>
    <t>1Gb x16 Micron</t>
  </si>
  <si>
    <t>Narrow Mode</t>
  </si>
  <si>
    <t>PLL Control Register</t>
  </si>
  <si>
    <t>SDRAM PLLCR Register</t>
  </si>
  <si>
    <t>DDR3_PLLCR</t>
  </si>
  <si>
    <t>BYP</t>
  </si>
  <si>
    <t>PLLRST</t>
  </si>
  <si>
    <t>PLLPD</t>
  </si>
  <si>
    <t>19:18</t>
  </si>
  <si>
    <t>FRQSEL</t>
  </si>
  <si>
    <t>17</t>
  </si>
  <si>
    <t>QPMODE</t>
  </si>
  <si>
    <t>CPPC</t>
  </si>
  <si>
    <t>16:13</t>
  </si>
  <si>
    <t>CPIC</t>
  </si>
  <si>
    <t>12:11</t>
  </si>
  <si>
    <t>GSHIFT</t>
  </si>
  <si>
    <t>PHY General Configuration Registers</t>
  </si>
  <si>
    <t>SDRAM PGCR0 Register</t>
  </si>
  <si>
    <t>DDR3_PGCR0</t>
  </si>
  <si>
    <t>CKEN</t>
  </si>
  <si>
    <t>25:19</t>
  </si>
  <si>
    <t>DTOSEL</t>
  </si>
  <si>
    <t>18:14</t>
  </si>
  <si>
    <t>OSCWDL</t>
  </si>
  <si>
    <t>OSCDIV</t>
  </si>
  <si>
    <t>OSCEN</t>
  </si>
  <si>
    <t>DLTST</t>
  </si>
  <si>
    <t>DLTMODE</t>
  </si>
  <si>
    <t>RDBVT</t>
  </si>
  <si>
    <t>WDBVT</t>
  </si>
  <si>
    <t>RGLVT</t>
  </si>
  <si>
    <t>RDLVT</t>
  </si>
  <si>
    <t>WDLVT</t>
  </si>
  <si>
    <t>WLLVT</t>
  </si>
  <si>
    <t>SDRAM PGCR1 Register</t>
  </si>
  <si>
    <t>DDR3_PGCR1</t>
  </si>
  <si>
    <t>30:29</t>
  </si>
  <si>
    <t>LBGDQS</t>
  </si>
  <si>
    <t>LBDQSS</t>
  </si>
  <si>
    <t>IOLB</t>
  </si>
  <si>
    <t>27</t>
  </si>
  <si>
    <t>INHVT</t>
  </si>
  <si>
    <t>26</t>
  </si>
  <si>
    <t>PHYHRST</t>
  </si>
  <si>
    <t>25</t>
  </si>
  <si>
    <t>ZCKSEL</t>
  </si>
  <si>
    <t>24:23</t>
  </si>
  <si>
    <t>DLDLMT</t>
  </si>
  <si>
    <t>25:15</t>
  </si>
  <si>
    <t>FDEPTH</t>
  </si>
  <si>
    <t>14:13</t>
  </si>
  <si>
    <t>LPFDEPTH</t>
  </si>
  <si>
    <t>LPFEN</t>
  </si>
  <si>
    <t>MDLEN</t>
  </si>
  <si>
    <t>IODDRM</t>
  </si>
  <si>
    <t>8:7</t>
  </si>
  <si>
    <t>WLSELT</t>
  </si>
  <si>
    <t>5:4</t>
  </si>
  <si>
    <t>WLSTEP</t>
  </si>
  <si>
    <t>WLMODE</t>
  </si>
  <si>
    <t>PDDISDX</t>
  </si>
  <si>
    <t>SDRAM PGCR2 Register</t>
  </si>
  <si>
    <t>DDR3_PGCR2</t>
  </si>
  <si>
    <t>PUBMODE</t>
  </si>
  <si>
    <t>27:20</t>
  </si>
  <si>
    <t>FXDLAT</t>
  </si>
  <si>
    <t>NOBUB</t>
  </si>
  <si>
    <t>19</t>
  </si>
  <si>
    <t>18</t>
  </si>
  <si>
    <t>T_REFPRD</t>
  </si>
  <si>
    <t>DRAM Configuration Register</t>
  </si>
  <si>
    <t>SDRAM DCR Register</t>
  </si>
  <si>
    <t>DDR3_DCR</t>
  </si>
  <si>
    <t>UDIMM</t>
  </si>
  <si>
    <t>DDR2T</t>
  </si>
  <si>
    <t>NOSRA</t>
  </si>
  <si>
    <t>26:18</t>
  </si>
  <si>
    <t>BYTEMASK</t>
  </si>
  <si>
    <t>9:8</t>
  </si>
  <si>
    <t>MPRDQ</t>
  </si>
  <si>
    <t>PDQ</t>
  </si>
  <si>
    <t>DDR8BNK</t>
  </si>
  <si>
    <t>DDRMD</t>
  </si>
  <si>
    <t>Data Training Configuration Register</t>
  </si>
  <si>
    <t>SDRAM DTCR Register</t>
  </si>
  <si>
    <t>DDR3_DTCR</t>
  </si>
  <si>
    <t>RFSHDT</t>
  </si>
  <si>
    <t>RANKEN</t>
  </si>
  <si>
    <t>23</t>
  </si>
  <si>
    <t>DTEXD</t>
  </si>
  <si>
    <t>22</t>
  </si>
  <si>
    <t>DTDSTP</t>
  </si>
  <si>
    <t>21</t>
  </si>
  <si>
    <t>DTDEN</t>
  </si>
  <si>
    <t>20</t>
  </si>
  <si>
    <t>DTDBS</t>
  </si>
  <si>
    <t>19:16</t>
  </si>
  <si>
    <t>DTBDC</t>
  </si>
  <si>
    <t>13</t>
  </si>
  <si>
    <t>DTWBDDM</t>
  </si>
  <si>
    <t>DTWDQM</t>
  </si>
  <si>
    <t>DTMPR</t>
  </si>
  <si>
    <t>DTCMPD</t>
  </si>
  <si>
    <t>DTRANK</t>
  </si>
  <si>
    <t>DTRPTN</t>
  </si>
  <si>
    <t>DATX8 Common Configuration Register</t>
  </si>
  <si>
    <t>SDRAM DXCCR Register</t>
  </si>
  <si>
    <t>DDR3_DXCCR</t>
  </si>
  <si>
    <t>UDQIOM</t>
  </si>
  <si>
    <t>UDQPDR</t>
  </si>
  <si>
    <t>UDQPDD</t>
  </si>
  <si>
    <t>UDQODT</t>
  </si>
  <si>
    <t>17:15</t>
  </si>
  <si>
    <t>MSBUDQ</t>
  </si>
  <si>
    <t>DXSR</t>
  </si>
  <si>
    <t>12:9</t>
  </si>
  <si>
    <t>DQSNRES</t>
  </si>
  <si>
    <t>DQSRES</t>
  </si>
  <si>
    <t>8:5</t>
  </si>
  <si>
    <t>DXPDR</t>
  </si>
  <si>
    <t>DXPDD</t>
  </si>
  <si>
    <t>DXIOM</t>
  </si>
  <si>
    <t>DXODT</t>
  </si>
  <si>
    <t>Note that the DDR3 PLL on KeyStone-II devices will need to output half of the DDR3 clock frequency.  The DDR3 PLL output frequency will be a quarter of the DDR3 data rate.  We recommend configuring the VCO of the PLL (using PLLD and PLLM) to operate at the DDR3 data rate and then programming the OD field for a divide by 4.</t>
  </si>
  <si>
    <t>SDRAM ZQ Configuration Register</t>
  </si>
  <si>
    <t xml:space="preserve">DDR_ZQCFG        </t>
  </si>
  <si>
    <t>REG_ZQ _DUALCALEN</t>
  </si>
  <si>
    <t>27:19</t>
  </si>
  <si>
    <t>18:16</t>
  </si>
  <si>
    <t>REG_ZQ _ZQCL_MULT</t>
  </si>
  <si>
    <t>REG_ZQ   _SFEXITEN</t>
  </si>
  <si>
    <t>REG_ZQ         _CS0EN</t>
  </si>
  <si>
    <t>Manual Self-Refresh</t>
  </si>
  <si>
    <t>Auto Self-Refresh</t>
  </si>
  <si>
    <t>REG_ZQ _REFINTERVAL</t>
  </si>
  <si>
    <t>ADDRESS_MIRRORING</t>
  </si>
  <si>
    <t>Address Mirroring Off</t>
  </si>
  <si>
    <t>Address Mirroring On</t>
  </si>
  <si>
    <t>CAS_WRITE_LATENCY</t>
  </si>
  <si>
    <t>CAS_LATENCY</t>
  </si>
  <si>
    <t>ZPROG_ODT</t>
  </si>
  <si>
    <t>ZPROG_ZO</t>
  </si>
  <si>
    <t>DDR3_ZQ0CR1</t>
  </si>
  <si>
    <t>DDR3_ZQ1CR1</t>
  </si>
  <si>
    <t>DDR3_ZQ2CR1</t>
  </si>
  <si>
    <t>DDR3_ZQ3CR1</t>
  </si>
  <si>
    <t>Impedance Control Register 1</t>
  </si>
  <si>
    <t>SDRAM ZQnCR1 Register</t>
  </si>
  <si>
    <t>CALBYP</t>
  </si>
  <si>
    <t>WLRKEN</t>
  </si>
  <si>
    <t>PLLBYP</t>
  </si>
  <si>
    <t>16</t>
  </si>
  <si>
    <t>DXOEO</t>
  </si>
  <si>
    <t>RTTOAL</t>
  </si>
  <si>
    <t>RTTOH</t>
  </si>
  <si>
    <t>DQRTT</t>
  </si>
  <si>
    <t>DQSRTT</t>
  </si>
  <si>
    <t>DSEN</t>
  </si>
  <si>
    <t>DQSPRD</t>
  </si>
  <si>
    <t>DXPRD</t>
  </si>
  <si>
    <t>DQODT</t>
  </si>
  <si>
    <t>DQSODT</t>
  </si>
  <si>
    <t>DXEN</t>
  </si>
  <si>
    <t>not used</t>
  </si>
  <si>
    <t>does not exist</t>
  </si>
  <si>
    <t>Data 0 to Data 3</t>
  </si>
  <si>
    <t>2Gb x8 Micron</t>
  </si>
  <si>
    <t>2Gb x16 Micron</t>
  </si>
  <si>
    <t>1Gb x8 Samsung</t>
  </si>
  <si>
    <t>2Gb x8 Samsung</t>
  </si>
  <si>
    <t>4Gb x8 Samsung</t>
  </si>
  <si>
    <t>3.  If the SDRAM used is not contained in the pick list for cell C9, select User Defined and add its timing parameters to the last table column on the Datasheet page</t>
  </si>
  <si>
    <t>Version 1.1</t>
  </si>
  <si>
    <t>Initial release</t>
  </si>
  <si>
    <t>Cells to modify - yellow, not locked, not hidden</t>
  </si>
  <si>
    <t>Cells with formulas to view - blue, locked, not hidden</t>
  </si>
  <si>
    <t>Cells with default values - gray, locked, not hidden</t>
  </si>
  <si>
    <t>Cells with results to copy - green, locked, hidden</t>
  </si>
  <si>
    <t>Cells with text - white, locked, hidden</t>
  </si>
  <si>
    <t>max(64nCK, 80ns)</t>
  </si>
  <si>
    <t>REG_ZQ _CS1EN</t>
  </si>
  <si>
    <t>Version 1.2</t>
  </si>
  <si>
    <t>Corrections to datasheet table formulas and visibility allowed for lookup equations</t>
  </si>
  <si>
    <t>T_RRD_PHY</t>
  </si>
  <si>
    <t>T_RRD_EMIF (use T_FAW since 8 banks)</t>
  </si>
  <si>
    <t>max(4nCK, 10ns)</t>
  </si>
  <si>
    <t>max(4nCK, 6ns)</t>
  </si>
  <si>
    <t>4Gb x16 Samsung</t>
  </si>
  <si>
    <t>2Gb x16 Samsung</t>
  </si>
  <si>
    <t>1Gb x16 Samsung</t>
  </si>
  <si>
    <t>1Gb x8 Micron</t>
  </si>
  <si>
    <t>Version 1.3</t>
  </si>
  <si>
    <t>Additional corrections</t>
  </si>
  <si>
    <t>Version 1.4</t>
  </si>
  <si>
    <t>Optimize tFAW and tRRD equations</t>
  </si>
  <si>
    <t>DDR_ZQCFG</t>
  </si>
  <si>
    <t>4Gb x8 Micron</t>
  </si>
  <si>
    <t>max(3nCK, 5ns)</t>
  </si>
  <si>
    <t>tWLO offset increased to 12</t>
  </si>
  <si>
    <t>4Gb x16 Micron</t>
  </si>
  <si>
    <t>8Gb x16 Micron</t>
  </si>
  <si>
    <t>8Gb x16 Samsung</t>
  </si>
  <si>
    <t>Composite max values</t>
  </si>
  <si>
    <t>VDB UDIMMs</t>
  </si>
  <si>
    <t>Device</t>
  </si>
  <si>
    <t>Speed Grade</t>
  </si>
  <si>
    <t>Micron 1GB sngl rank</t>
  </si>
  <si>
    <t>Micron 2GB dual rank</t>
  </si>
  <si>
    <t>Kingston  8GB  dual rank</t>
  </si>
  <si>
    <t>Copyright (C) 2012, 2013, 2014 Texas Instruments Incorporated</t>
  </si>
  <si>
    <t>MT/s</t>
  </si>
  <si>
    <t>Version 1.5</t>
  </si>
  <si>
    <t>Simplified for general release</t>
  </si>
  <si>
    <t>1.  Enter the DDR3 clock rate accurately in cell C6 of the Design Parameters worksheet.  (Truncate approximate values rather than rounding - use 666.666 rather than 666.667.)</t>
  </si>
  <si>
    <t>DDR3 Data Rate</t>
  </si>
  <si>
    <t>2.  Select the proper SDRAM device and associated speed grade in cell C9 to populate the timing parameters</t>
  </si>
  <si>
    <t>K4B1G0846F (800)</t>
  </si>
  <si>
    <t>K4B1G0846F (1066)</t>
  </si>
  <si>
    <t>K4B1G0846F (1333)</t>
  </si>
  <si>
    <t>K4B2G0846E (800)</t>
  </si>
  <si>
    <t>K4B2G0846E HCF8 (1066)</t>
  </si>
  <si>
    <t>K4B2G0846E HCH9 (1333)</t>
  </si>
  <si>
    <t>K4B2G0846E HCK0 (1600)</t>
  </si>
  <si>
    <t>K4B4G0846B (800)</t>
  </si>
  <si>
    <t>K4B4G0846B (1066)</t>
  </si>
  <si>
    <t>K4B4G0846B (1333)</t>
  </si>
  <si>
    <t>K4B1G1646G (800)</t>
  </si>
  <si>
    <t>K4B1G1646G (1066)</t>
  </si>
  <si>
    <t>K4B1G1646G (1333)</t>
  </si>
  <si>
    <t>K4B2G1646C (800)</t>
  </si>
  <si>
    <t>K4B2G1646C (1066)</t>
  </si>
  <si>
    <t>K4B2G1646C (1333)</t>
  </si>
  <si>
    <t>K4B4G1646B (800)</t>
  </si>
  <si>
    <t>K4B4G1646B (1066)</t>
  </si>
  <si>
    <t>K4B4G1646B (1333)</t>
  </si>
  <si>
    <t>K4B4G1646B (1600)</t>
  </si>
  <si>
    <t>K4B8G1646B-MIK0 (1333) TwinDie</t>
  </si>
  <si>
    <t>K4B8G1646B-MIK0 (1600) TwinDie</t>
  </si>
  <si>
    <t>MT41J128M8 25E (800)</t>
  </si>
  <si>
    <t>MT41J128M8 187E (1066)</t>
  </si>
  <si>
    <t>MT41J128M8 15E (1333)</t>
  </si>
  <si>
    <t>MT41J128M8 125 (1600)</t>
  </si>
  <si>
    <t>MT41J256M8 187E (1066)</t>
  </si>
  <si>
    <t>MT41J256M8 15E (1333)</t>
  </si>
  <si>
    <t>MT41J512M8 187E (1066)</t>
  </si>
  <si>
    <t>MT41J512M8 15E (1333)</t>
  </si>
  <si>
    <t>MT41J512M8 125 (1600)</t>
  </si>
  <si>
    <t>MT41J64M16 25E (800)</t>
  </si>
  <si>
    <t>MT41J64M16 187E (1066)</t>
  </si>
  <si>
    <t>MT41J64M16 15E (1333)</t>
  </si>
  <si>
    <t>MT41J128M16 187E (1066)</t>
  </si>
  <si>
    <t>MT41J128M16 15E (1333)</t>
  </si>
  <si>
    <t>MT41J256M16 187E (1066)</t>
  </si>
  <si>
    <t>MT41J256M16 15E (1333)</t>
  </si>
  <si>
    <t>MT41K256M16 15E (1333)</t>
  </si>
  <si>
    <t>MT41K256M16 15 (1333)</t>
  </si>
  <si>
    <t>MT41K256M16 125 (1600)</t>
  </si>
  <si>
    <t>MT41K512M16 (1333) TwinDie</t>
  </si>
  <si>
    <t>MT41K512M16 (1600) TwinDie</t>
  </si>
  <si>
    <t>Row #</t>
  </si>
  <si>
    <t>SPEED_GRADE</t>
  </si>
  <si>
    <t>Timing parameters shaded gray are from static values or equations defined by JEDEC.</t>
  </si>
  <si>
    <t>Recommended Value</t>
  </si>
  <si>
    <t>Disable</t>
  </si>
  <si>
    <t>Single Rank - only use CE0</t>
  </si>
  <si>
    <t>Dual Rank - use CE0 and CE1</t>
  </si>
  <si>
    <t>5.  Copy the computed register values from the top of the Controller Registers tab and the PHY Registers tab into the DDR3 controller and PHY initialization software</t>
  </si>
  <si>
    <t xml:space="preserve">DDR3_DX8GCR </t>
  </si>
  <si>
    <t xml:space="preserve">DDR3_DX7GCR </t>
  </si>
  <si>
    <t xml:space="preserve">DDR3_DX5GCR </t>
  </si>
  <si>
    <t xml:space="preserve">DDR3_DX6GCR </t>
  </si>
  <si>
    <t xml:space="preserve">DDR3_DX4GCR </t>
  </si>
  <si>
    <t xml:space="preserve">DDR3_DX3GCR </t>
  </si>
  <si>
    <t xml:space="preserve">DDR3_DX2GCR </t>
  </si>
  <si>
    <t>ECC only</t>
  </si>
  <si>
    <t>x64 only</t>
  </si>
  <si>
    <t>x32 and x64 only</t>
  </si>
  <si>
    <t>0 to disable</t>
  </si>
  <si>
    <t>DATX8 n General Configuration Register</t>
  </si>
  <si>
    <t>SDRAM DX8nGCR Register</t>
  </si>
  <si>
    <t>LBMODE</t>
  </si>
  <si>
    <t>30:28</t>
  </si>
  <si>
    <t>DYNACPDD</t>
  </si>
  <si>
    <t>DYNDXPDD</t>
  </si>
  <si>
    <t>DYNDXPDR</t>
  </si>
  <si>
    <t>DDPDDCDO</t>
  </si>
  <si>
    <t>DDPDRCDO</t>
  </si>
  <si>
    <t>T_RAS_MAX</t>
  </si>
  <si>
    <t>ECC Byte</t>
  </si>
  <si>
    <t>Enable</t>
  </si>
  <si>
    <t>hex</t>
  </si>
  <si>
    <t>PHY Data ZO</t>
  </si>
  <si>
    <t>PHY ACCC ZO</t>
  </si>
  <si>
    <t>PHY ODT</t>
  </si>
  <si>
    <t>PHY ZO</t>
  </si>
  <si>
    <t>RZQ/4 = 60 Ohms</t>
  </si>
  <si>
    <t>RZQ/6 = 40 Ohms</t>
  </si>
  <si>
    <t>RZQ/7 = 34 Ohms</t>
  </si>
  <si>
    <t>Datasheet tab:</t>
  </si>
  <si>
    <t>Cells with text - white, locked, not hidden</t>
  </si>
  <si>
    <t>Notes tab:</t>
  </si>
  <si>
    <t>Instructions tab:</t>
  </si>
  <si>
    <t>Lookup tab:</t>
  </si>
  <si>
    <t>Protection for all sheets configured to allow selecting locked and unlocked cells</t>
  </si>
  <si>
    <t>Controller Registers tab:</t>
  </si>
  <si>
    <t>Design Parameters tab:</t>
  </si>
  <si>
    <t>PHY Registers tab:</t>
  </si>
  <si>
    <t xml:space="preserve">SDRAM and PHY Configuration </t>
  </si>
  <si>
    <t>SDRAM Timing Values</t>
  </si>
  <si>
    <t>4.  Select the appropriate values for the SDRAM and PHY Configuration and Refresh Configuration from the drop-down lists</t>
  </si>
  <si>
    <t>Data 4 to Data 7 and ECC</t>
  </si>
  <si>
    <t>Address / Control / Command / Clock</t>
  </si>
  <si>
    <t>15:8</t>
  </si>
  <si>
    <t>31:17</t>
  </si>
  <si>
    <t>DFIPU0</t>
  </si>
  <si>
    <t xml:space="preserve">  </t>
  </si>
  <si>
    <t>Note 2 : Timing values taken from Samsung and Micron datasheets are not guaranteed by TI.  User must validate timing against the manufacturer's datasheet to verify accuracy.</t>
  </si>
  <si>
    <t>This spreadsheet can be used to compute the composite values for the DDR3 Controller and PHY registers.  These registers are bit-mapped and computing them by hand is arduous.  The equations and look-up tables in this spreadsheet simplify the creation of these register values.  All register definitions should be confirmed with the KeyStone II Architecture DDR3 Memory Controller User Guide (SPRUHN7).</t>
  </si>
  <si>
    <t>Note that the Analysis ToolPak Add-In for Microsoft Excel may need to be installed for the hexadecimal values to be correctly displayed.</t>
  </si>
  <si>
    <t>Disable ODT</t>
  </si>
  <si>
    <t>DDR3 or DDR3L</t>
  </si>
  <si>
    <t>PHY MODE</t>
  </si>
  <si>
    <t>DDR3</t>
  </si>
  <si>
    <t>DDR3L</t>
  </si>
  <si>
    <t>read-modify-write mask 0x0000_0001</t>
  </si>
  <si>
    <t>read-modify-write mask 0x2800_0000</t>
  </si>
  <si>
    <t>read-modify-write mask 0x0180_0184</t>
  </si>
  <si>
    <t>100ms</t>
  </si>
  <si>
    <t>Note 1: Timing parameters in gray shaded cells are from static values or equations defined by JEDEC.</t>
  </si>
  <si>
    <t>Cells to modify - yellow, not locked, not hidden (including drop-down menus)</t>
  </si>
  <si>
    <t>Cells with JEDEC-defined values and equations - gray, locked, not hidden</t>
  </si>
  <si>
    <t>Notes for consistent cell protection</t>
  </si>
  <si>
    <t>Version 1.6</t>
  </si>
  <si>
    <t>Update formatting and Datasheet</t>
  </si>
  <si>
    <t>8Gb x8 Micron</t>
  </si>
  <si>
    <t>MT41K1G8 15E (1333) TwinDie</t>
  </si>
  <si>
    <t>MT41K1G8 125 (1600) TwinDie</t>
  </si>
  <si>
    <t>Configuration Clock Period (ns)</t>
  </si>
  <si>
    <t>Note: Used default values assuming Config Clock of 533MHz which results in extra margin</t>
  </si>
  <si>
    <t>Configuration Clock Frequency (MHz)</t>
  </si>
  <si>
    <t>Full Array</t>
    <phoneticPr fontId="1" type="noConversion"/>
  </si>
</sst>
</file>

<file path=xl/styles.xml><?xml version="1.0" encoding="utf-8"?>
<styleSheet xmlns="http://schemas.openxmlformats.org/spreadsheetml/2006/main">
  <numFmts count="1">
    <numFmt numFmtId="176" formatCode="0.000"/>
  </numFmts>
  <fonts count="23">
    <font>
      <sz val="11"/>
      <color theme="1"/>
      <name val="宋体"/>
      <family val="2"/>
      <scheme val="minor"/>
    </font>
    <font>
      <sz val="8"/>
      <name val="Calibri"/>
      <family val="2"/>
    </font>
    <font>
      <b/>
      <sz val="12"/>
      <color indexed="8"/>
      <name val="Calibri"/>
      <family val="2"/>
    </font>
    <font>
      <sz val="12"/>
      <color indexed="8"/>
      <name val="Calibri"/>
      <family val="2"/>
    </font>
    <font>
      <sz val="12"/>
      <name val="Calibri"/>
      <family val="2"/>
    </font>
    <font>
      <b/>
      <sz val="12"/>
      <name val="Calibri"/>
      <family val="2"/>
    </font>
    <font>
      <sz val="12"/>
      <color indexed="8"/>
      <name val="宋体"/>
      <family val="2"/>
      <scheme val="minor"/>
    </font>
    <font>
      <b/>
      <sz val="12"/>
      <color indexed="8"/>
      <name val="宋体"/>
      <family val="2"/>
      <scheme val="minor"/>
    </font>
    <font>
      <b/>
      <sz val="12"/>
      <color theme="1"/>
      <name val="宋体"/>
      <family val="2"/>
      <scheme val="minor"/>
    </font>
    <font>
      <sz val="12"/>
      <color theme="1"/>
      <name val="宋体"/>
      <family val="2"/>
      <scheme val="minor"/>
    </font>
    <font>
      <sz val="12"/>
      <color theme="0" tint="-0.249977111117893"/>
      <name val="宋体"/>
      <family val="2"/>
      <scheme val="minor"/>
    </font>
    <font>
      <b/>
      <sz val="12"/>
      <name val="宋体"/>
      <family val="2"/>
      <scheme val="minor"/>
    </font>
    <font>
      <b/>
      <sz val="12"/>
      <color theme="0"/>
      <name val="Calibri"/>
      <family val="2"/>
    </font>
    <font>
      <sz val="12"/>
      <color theme="0"/>
      <name val="Calibri"/>
      <family val="2"/>
    </font>
    <font>
      <sz val="9"/>
      <name val="宋体"/>
      <family val="3"/>
      <charset val="134"/>
      <scheme val="minor"/>
    </font>
    <font>
      <b/>
      <sz val="12"/>
      <color rgb="FFFF0000"/>
      <name val="宋体"/>
      <family val="2"/>
      <scheme val="minor"/>
    </font>
    <font>
      <b/>
      <sz val="20"/>
      <color indexed="8"/>
      <name val="宋体"/>
      <family val="2"/>
      <scheme val="minor"/>
    </font>
    <font>
      <sz val="12"/>
      <name val="宋体"/>
      <family val="2"/>
      <scheme val="minor"/>
    </font>
    <font>
      <sz val="12"/>
      <color indexed="56"/>
      <name val="宋体"/>
      <family val="2"/>
      <scheme val="minor"/>
    </font>
    <font>
      <b/>
      <sz val="16"/>
      <color indexed="8"/>
      <name val="宋体"/>
      <family val="2"/>
      <scheme val="minor"/>
    </font>
    <font>
      <sz val="12"/>
      <color rgb="FFFF0000"/>
      <name val="宋体"/>
      <family val="2"/>
      <scheme val="minor"/>
    </font>
    <font>
      <b/>
      <sz val="12"/>
      <color theme="0" tint="-0.14999847407452621"/>
      <name val="宋体"/>
      <family val="2"/>
      <scheme val="minor"/>
    </font>
    <font>
      <u/>
      <sz val="12"/>
      <color indexed="8"/>
      <name val="Calibri"/>
      <family val="2"/>
    </font>
  </fonts>
  <fills count="11">
    <fill>
      <patternFill patternType="none"/>
    </fill>
    <fill>
      <patternFill patternType="gray125"/>
    </fill>
    <fill>
      <patternFill patternType="solid">
        <fgColor indexed="13"/>
        <bgColor indexed="64"/>
      </patternFill>
    </fill>
    <fill>
      <patternFill patternType="solid">
        <fgColor indexed="22"/>
        <bgColor indexed="64"/>
      </patternFill>
    </fill>
    <fill>
      <patternFill patternType="solid">
        <fgColor indexed="4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CCFFCC"/>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medium">
        <color indexed="64"/>
      </right>
      <top/>
      <bottom/>
      <diagonal/>
    </border>
    <border>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medium">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243">
    <xf numFmtId="0" fontId="0" fillId="0" borderId="0" xfId="0"/>
    <xf numFmtId="0" fontId="6" fillId="0" borderId="0" xfId="0" applyFont="1" applyFill="1" applyBorder="1" applyAlignment="1" applyProtection="1">
      <alignment horizontal="center" vertical="center"/>
      <protection hidden="1"/>
    </xf>
    <xf numFmtId="0" fontId="6" fillId="0" borderId="0" xfId="0" applyFont="1" applyAlignment="1" applyProtection="1">
      <alignment horizontal="center" vertical="center" wrapText="1"/>
      <protection hidden="1"/>
    </xf>
    <xf numFmtId="0" fontId="6" fillId="0" borderId="0" xfId="0" applyFont="1" applyAlignment="1" applyProtection="1">
      <alignment wrapText="1"/>
      <protection hidden="1"/>
    </xf>
    <xf numFmtId="0" fontId="7" fillId="0" borderId="0" xfId="0" applyFont="1" applyBorder="1" applyAlignment="1" applyProtection="1">
      <alignment horizontal="center" vertical="center" wrapText="1"/>
      <protection hidden="1"/>
    </xf>
    <xf numFmtId="0" fontId="7" fillId="0" borderId="0" xfId="0" applyFont="1" applyBorder="1" applyAlignment="1" applyProtection="1">
      <alignment horizontal="center" vertical="center"/>
      <protection hidden="1"/>
    </xf>
    <xf numFmtId="0" fontId="6" fillId="0" borderId="0" xfId="0" applyFont="1" applyBorder="1" applyAlignment="1" applyProtection="1">
      <alignment horizontal="center" vertical="center"/>
      <protection hidden="1"/>
    </xf>
    <xf numFmtId="0" fontId="7" fillId="0" borderId="0" xfId="0" applyFont="1" applyBorder="1" applyAlignment="1" applyProtection="1">
      <alignment horizontal="left" vertical="center" wrapText="1"/>
      <protection hidden="1"/>
    </xf>
    <xf numFmtId="0" fontId="7" fillId="0" borderId="0" xfId="0" applyFont="1" applyFill="1" applyBorder="1" applyAlignment="1" applyProtection="1">
      <alignment horizontal="center" vertical="center"/>
      <protection hidden="1"/>
    </xf>
    <xf numFmtId="49" fontId="6" fillId="0" borderId="0" xfId="0" applyNumberFormat="1" applyFont="1" applyBorder="1" applyAlignment="1" applyProtection="1">
      <alignment horizontal="center" vertical="center"/>
      <protection hidden="1"/>
    </xf>
    <xf numFmtId="0" fontId="6" fillId="0" borderId="0" xfId="0" applyFont="1" applyFill="1" applyAlignment="1" applyProtection="1">
      <alignment wrapText="1"/>
      <protection hidden="1"/>
    </xf>
    <xf numFmtId="0" fontId="10" fillId="0" borderId="0" xfId="0" applyFont="1" applyAlignment="1" applyProtection="1">
      <alignment wrapText="1"/>
      <protection hidden="1"/>
    </xf>
    <xf numFmtId="49" fontId="10" fillId="0" borderId="0" xfId="0" applyNumberFormat="1" applyFont="1" applyBorder="1" applyAlignment="1" applyProtection="1">
      <alignment horizontal="center" vertical="center"/>
      <protection hidden="1"/>
    </xf>
    <xf numFmtId="0" fontId="10" fillId="0" borderId="0" xfId="0" applyFont="1" applyFill="1" applyAlignment="1" applyProtection="1">
      <alignment wrapText="1"/>
      <protection hidden="1"/>
    </xf>
    <xf numFmtId="0" fontId="10" fillId="0" borderId="0" xfId="0" applyFont="1" applyBorder="1" applyAlignment="1" applyProtection="1">
      <alignment horizontal="center" vertical="center"/>
      <protection hidden="1"/>
    </xf>
    <xf numFmtId="0" fontId="6" fillId="0" borderId="0" xfId="0" applyFont="1" applyBorder="1" applyAlignment="1" applyProtection="1">
      <alignment horizontal="center" vertical="center" wrapText="1"/>
      <protection hidden="1"/>
    </xf>
    <xf numFmtId="0" fontId="11" fillId="0" borderId="0" xfId="0" applyFont="1" applyBorder="1" applyAlignment="1" applyProtection="1">
      <alignment horizontal="center" vertical="center"/>
      <protection hidden="1"/>
    </xf>
    <xf numFmtId="0" fontId="6" fillId="5" borderId="0" xfId="0" applyFont="1" applyFill="1" applyBorder="1" applyAlignment="1" applyProtection="1">
      <alignment horizontal="center" vertical="center"/>
    </xf>
    <xf numFmtId="0" fontId="8" fillId="0" borderId="19" xfId="0" applyFont="1" applyFill="1" applyBorder="1" applyAlignment="1" applyProtection="1">
      <alignment horizontal="center" vertical="center" wrapText="1"/>
    </xf>
    <xf numFmtId="0" fontId="9" fillId="0" borderId="0" xfId="0" applyFont="1" applyFill="1" applyAlignment="1" applyProtection="1">
      <alignment horizontal="center" vertical="center" wrapText="1"/>
    </xf>
    <xf numFmtId="0" fontId="7" fillId="0" borderId="0" xfId="0" applyFont="1" applyAlignment="1" applyProtection="1">
      <alignment horizontal="left"/>
      <protection hidden="1"/>
    </xf>
    <xf numFmtId="0" fontId="7" fillId="0" borderId="0" xfId="0" applyFont="1" applyAlignment="1" applyProtection="1">
      <alignment wrapText="1"/>
      <protection hidden="1"/>
    </xf>
    <xf numFmtId="0" fontId="7" fillId="0" borderId="0" xfId="0" applyFont="1" applyAlignment="1" applyProtection="1">
      <alignment horizontal="left" wrapText="1"/>
      <protection hidden="1"/>
    </xf>
    <xf numFmtId="0" fontId="11" fillId="0" borderId="0" xfId="0" applyFont="1" applyAlignment="1" applyProtection="1">
      <alignment horizontal="left" wrapText="1"/>
      <protection hidden="1"/>
    </xf>
    <xf numFmtId="0" fontId="6" fillId="0" borderId="0" xfId="0" applyFont="1" applyFill="1" applyAlignment="1" applyProtection="1">
      <alignment horizontal="center" vertical="center"/>
      <protection hidden="1"/>
    </xf>
    <xf numFmtId="176" fontId="6" fillId="2" borderId="1" xfId="0" applyNumberFormat="1" applyFont="1" applyFill="1" applyBorder="1" applyAlignment="1" applyProtection="1">
      <alignment horizontal="center" vertical="center"/>
      <protection locked="0"/>
    </xf>
    <xf numFmtId="176" fontId="6" fillId="7" borderId="1" xfId="0" applyNumberFormat="1" applyFont="1" applyFill="1" applyBorder="1" applyAlignment="1" applyProtection="1">
      <alignment horizontal="center" vertical="center"/>
      <protection locked="0"/>
    </xf>
    <xf numFmtId="0" fontId="7" fillId="0" borderId="1" xfId="0" applyFont="1" applyBorder="1" applyAlignment="1" applyProtection="1">
      <alignment horizontal="center" vertical="center" wrapText="1"/>
      <protection hidden="1"/>
    </xf>
    <xf numFmtId="0" fontId="7" fillId="0" borderId="1" xfId="0" applyFont="1" applyFill="1" applyBorder="1" applyAlignment="1" applyProtection="1">
      <alignment horizontal="center" vertical="center" wrapText="1"/>
      <protection hidden="1"/>
    </xf>
    <xf numFmtId="0" fontId="17" fillId="2" borderId="1" xfId="0"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protection locked="0"/>
    </xf>
    <xf numFmtId="0" fontId="6" fillId="7" borderId="1" xfId="0" applyFont="1" applyFill="1" applyBorder="1" applyAlignment="1" applyProtection="1">
      <alignment horizontal="center" vertical="center"/>
      <protection locked="0"/>
    </xf>
    <xf numFmtId="0" fontId="17" fillId="2"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hidden="1"/>
    </xf>
    <xf numFmtId="0" fontId="7" fillId="0" borderId="0" xfId="0" applyFont="1" applyFill="1" applyAlignment="1" applyProtection="1">
      <alignment wrapText="1"/>
      <protection hidden="1"/>
    </xf>
    <xf numFmtId="0" fontId="6" fillId="0" borderId="0" xfId="0" applyFont="1" applyFill="1" applyAlignment="1" applyProtection="1">
      <alignment horizontal="center" vertical="center" wrapText="1"/>
      <protection hidden="1"/>
    </xf>
    <xf numFmtId="1" fontId="6" fillId="0" borderId="0" xfId="0" applyNumberFormat="1" applyFont="1" applyFill="1" applyBorder="1" applyAlignment="1" applyProtection="1">
      <alignment horizontal="center" vertical="center" wrapText="1"/>
      <protection hidden="1"/>
    </xf>
    <xf numFmtId="0" fontId="6" fillId="0" borderId="0" xfId="0" applyFont="1" applyFill="1" applyBorder="1" applyAlignment="1" applyProtection="1">
      <alignment horizontal="center" vertical="center" wrapText="1"/>
      <protection hidden="1"/>
    </xf>
    <xf numFmtId="0" fontId="18" fillId="0" borderId="0" xfId="0" applyFont="1" applyAlignment="1" applyProtection="1">
      <alignment horizontal="center" vertical="center" wrapText="1"/>
      <protection hidden="1"/>
    </xf>
    <xf numFmtId="0" fontId="16" fillId="0" borderId="0" xfId="0" applyFont="1" applyFill="1" applyAlignment="1" applyProtection="1">
      <protection hidden="1"/>
    </xf>
    <xf numFmtId="49" fontId="7" fillId="0" borderId="2" xfId="0" applyNumberFormat="1" applyFont="1" applyBorder="1" applyAlignment="1" applyProtection="1">
      <alignment horizontal="center" vertical="center" wrapText="1"/>
      <protection hidden="1"/>
    </xf>
    <xf numFmtId="0" fontId="7" fillId="0" borderId="3" xfId="0" applyFont="1" applyBorder="1" applyAlignment="1" applyProtection="1">
      <alignment horizontal="center" vertical="center" wrapText="1"/>
      <protection hidden="1"/>
    </xf>
    <xf numFmtId="0" fontId="7" fillId="0" borderId="4" xfId="0" applyFont="1" applyBorder="1" applyAlignment="1" applyProtection="1">
      <alignment horizontal="center" vertical="center" wrapText="1"/>
      <protection hidden="1"/>
    </xf>
    <xf numFmtId="0" fontId="6" fillId="0" borderId="5" xfId="0" applyFont="1" applyFill="1" applyBorder="1" applyAlignment="1" applyProtection="1">
      <alignment horizontal="center" vertical="center" wrapText="1"/>
      <protection hidden="1"/>
    </xf>
    <xf numFmtId="0" fontId="6" fillId="0" borderId="29" xfId="0" applyFont="1" applyFill="1" applyBorder="1" applyAlignment="1" applyProtection="1">
      <alignment horizontal="center" vertical="center" wrapText="1"/>
      <protection hidden="1"/>
    </xf>
    <xf numFmtId="0" fontId="6" fillId="0" borderId="10" xfId="0" applyFont="1" applyFill="1" applyBorder="1" applyAlignment="1" applyProtection="1">
      <alignment horizontal="center" vertical="center" wrapText="1"/>
      <protection hidden="1"/>
    </xf>
    <xf numFmtId="0" fontId="6" fillId="0" borderId="6" xfId="0" applyFont="1" applyFill="1" applyBorder="1" applyAlignment="1" applyProtection="1">
      <alignment horizontal="center" vertical="center" wrapText="1"/>
      <protection hidden="1"/>
    </xf>
    <xf numFmtId="0" fontId="6" fillId="0" borderId="7" xfId="0" applyFont="1" applyFill="1" applyBorder="1" applyAlignment="1" applyProtection="1">
      <alignment horizontal="center" vertical="center" wrapText="1"/>
      <protection hidden="1"/>
    </xf>
    <xf numFmtId="0" fontId="7" fillId="0" borderId="0" xfId="0" applyFont="1" applyAlignment="1" applyProtection="1">
      <alignment horizontal="center" vertical="center" wrapText="1"/>
      <protection hidden="1"/>
    </xf>
    <xf numFmtId="0" fontId="7" fillId="7" borderId="0" xfId="0" applyFont="1" applyFill="1" applyAlignment="1" applyProtection="1">
      <alignment horizontal="center" vertical="center" wrapText="1"/>
      <protection locked="0"/>
    </xf>
    <xf numFmtId="49" fontId="7" fillId="0" borderId="0" xfId="0" applyNumberFormat="1" applyFont="1" applyAlignment="1" applyProtection="1">
      <alignment horizontal="center" vertical="center" wrapText="1"/>
      <protection hidden="1"/>
    </xf>
    <xf numFmtId="0" fontId="7" fillId="0" borderId="0" xfId="0" applyFont="1" applyAlignment="1" applyProtection="1">
      <alignment horizontal="center" wrapText="1"/>
      <protection hidden="1"/>
    </xf>
    <xf numFmtId="49" fontId="6" fillId="0" borderId="0" xfId="0" applyNumberFormat="1" applyFont="1" applyAlignment="1" applyProtection="1">
      <alignment horizontal="left" vertical="center" wrapText="1"/>
      <protection hidden="1"/>
    </xf>
    <xf numFmtId="49" fontId="6" fillId="0" borderId="0" xfId="0" applyNumberFormat="1" applyFont="1" applyAlignment="1" applyProtection="1">
      <alignment horizontal="center" vertical="center" wrapText="1"/>
      <protection hidden="1"/>
    </xf>
    <xf numFmtId="0" fontId="7" fillId="0" borderId="0" xfId="0" applyFont="1" applyFill="1" applyAlignment="1" applyProtection="1">
      <alignment horizontal="center" vertical="center" wrapText="1"/>
      <protection hidden="1"/>
    </xf>
    <xf numFmtId="0" fontId="7" fillId="0" borderId="0" xfId="0" applyFont="1" applyFill="1" applyBorder="1" applyAlignment="1" applyProtection="1">
      <alignment horizontal="center" vertical="center" wrapText="1"/>
      <protection hidden="1"/>
    </xf>
    <xf numFmtId="0" fontId="10" fillId="0" borderId="0" xfId="0" applyFont="1" applyAlignment="1" applyProtection="1">
      <alignment horizontal="center" vertical="center" wrapText="1"/>
      <protection hidden="1"/>
    </xf>
    <xf numFmtId="0" fontId="6" fillId="5" borderId="0" xfId="0" applyFont="1" applyFill="1" applyAlignment="1" applyProtection="1">
      <alignment horizontal="center" vertical="center" wrapText="1"/>
    </xf>
    <xf numFmtId="0" fontId="6" fillId="0" borderId="0" xfId="0" applyFont="1" applyFill="1" applyAlignment="1" applyProtection="1">
      <alignment horizontal="left" vertical="center" wrapText="1"/>
      <protection hidden="1"/>
    </xf>
    <xf numFmtId="49" fontId="17" fillId="0" borderId="0" xfId="0" applyNumberFormat="1" applyFont="1" applyAlignment="1" applyProtection="1">
      <alignment horizontal="center" vertical="center" wrapText="1"/>
      <protection hidden="1"/>
    </xf>
    <xf numFmtId="0" fontId="17" fillId="0" borderId="0" xfId="0" applyFont="1" applyAlignment="1" applyProtection="1">
      <alignment horizontal="center" vertical="center" wrapText="1"/>
      <protection hidden="1"/>
    </xf>
    <xf numFmtId="0" fontId="17" fillId="5" borderId="0" xfId="0" applyFont="1" applyFill="1" applyAlignment="1" applyProtection="1">
      <alignment horizontal="center" vertical="center" wrapText="1"/>
    </xf>
    <xf numFmtId="0" fontId="6" fillId="0" borderId="0" xfId="0" applyFont="1" applyBorder="1" applyAlignment="1" applyProtection="1">
      <alignment horizontal="left" vertical="center" wrapText="1"/>
      <protection hidden="1"/>
    </xf>
    <xf numFmtId="49" fontId="6" fillId="0" borderId="0" xfId="0" applyNumberFormat="1" applyFont="1" applyBorder="1" applyAlignment="1" applyProtection="1">
      <alignment horizontal="center" vertical="center" wrapText="1"/>
      <protection hidden="1"/>
    </xf>
    <xf numFmtId="0" fontId="6" fillId="5" borderId="0" xfId="0" applyFont="1" applyFill="1" applyBorder="1" applyAlignment="1" applyProtection="1">
      <alignment horizontal="center" vertical="center" wrapText="1"/>
    </xf>
    <xf numFmtId="0" fontId="7" fillId="0" borderId="5" xfId="0" applyFont="1" applyFill="1" applyBorder="1" applyAlignment="1" applyProtection="1">
      <alignment horizontal="center" vertical="center" wrapText="1"/>
      <protection hidden="1"/>
    </xf>
    <xf numFmtId="0" fontId="7" fillId="0" borderId="5" xfId="0" applyFont="1" applyBorder="1" applyAlignment="1" applyProtection="1">
      <alignment horizontal="center" vertical="center" wrapText="1"/>
      <protection hidden="1"/>
    </xf>
    <xf numFmtId="0" fontId="7" fillId="0" borderId="6" xfId="0" applyFont="1" applyFill="1" applyBorder="1" applyAlignment="1" applyProtection="1">
      <alignment horizontal="center" vertical="center" wrapText="1"/>
      <protection hidden="1"/>
    </xf>
    <xf numFmtId="0" fontId="7" fillId="0" borderId="7" xfId="0" applyFont="1" applyFill="1" applyBorder="1" applyAlignment="1" applyProtection="1">
      <alignment horizontal="center" vertical="center" wrapText="1"/>
      <protection hidden="1"/>
    </xf>
    <xf numFmtId="0" fontId="19" fillId="0" borderId="0" xfId="0" applyFont="1" applyFill="1" applyAlignment="1" applyProtection="1">
      <protection hidden="1"/>
    </xf>
    <xf numFmtId="0" fontId="6" fillId="9" borderId="0" xfId="0" applyFont="1" applyFill="1" applyAlignment="1" applyProtection="1">
      <alignment horizontal="center" vertical="center" wrapText="1"/>
      <protection hidden="1"/>
    </xf>
    <xf numFmtId="0" fontId="6" fillId="0" borderId="0" xfId="0" applyFont="1" applyAlignment="1" applyProtection="1">
      <alignment horizontal="center" wrapText="1"/>
      <protection hidden="1"/>
    </xf>
    <xf numFmtId="2" fontId="6" fillId="0" borderId="0" xfId="0" applyNumberFormat="1" applyFont="1" applyAlignment="1" applyProtection="1">
      <alignment horizontal="center" vertical="center" wrapText="1"/>
      <protection hidden="1"/>
    </xf>
    <xf numFmtId="2" fontId="20" fillId="7" borderId="0" xfId="0" applyNumberFormat="1" applyFont="1" applyFill="1" applyAlignment="1" applyProtection="1">
      <alignment horizontal="center" vertical="center" wrapText="1"/>
      <protection hidden="1"/>
    </xf>
    <xf numFmtId="46" fontId="6" fillId="0" borderId="0" xfId="0" applyNumberFormat="1" applyFont="1" applyAlignment="1" applyProtection="1">
      <alignment horizontal="center" vertical="center" wrapText="1"/>
      <protection hidden="1"/>
    </xf>
    <xf numFmtId="0" fontId="6" fillId="0" borderId="0" xfId="0" applyFont="1" applyAlignment="1" applyProtection="1">
      <alignment horizontal="left" vertical="center"/>
      <protection hidden="1"/>
    </xf>
    <xf numFmtId="0" fontId="21" fillId="0" borderId="0" xfId="0" applyFont="1" applyFill="1" applyAlignment="1" applyProtection="1">
      <alignment horizontal="center" vertical="center" wrapText="1"/>
      <protection hidden="1"/>
    </xf>
    <xf numFmtId="0" fontId="21" fillId="0" borderId="0" xfId="0" applyFont="1" applyFill="1" applyBorder="1" applyAlignment="1" applyProtection="1">
      <alignment horizontal="center" vertical="center" wrapText="1"/>
      <protection hidden="1"/>
    </xf>
    <xf numFmtId="0" fontId="6" fillId="0" borderId="0" xfId="0" applyFont="1" applyFill="1" applyAlignment="1" applyProtection="1">
      <alignment horizontal="center" wrapText="1"/>
      <protection hidden="1"/>
    </xf>
    <xf numFmtId="0" fontId="7" fillId="0" borderId="26"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9" fillId="0" borderId="0" xfId="0" applyFont="1" applyFill="1" applyAlignment="1" applyProtection="1">
      <alignment horizontal="center" vertical="center"/>
    </xf>
    <xf numFmtId="0" fontId="9" fillId="0" borderId="19" xfId="0" applyFont="1" applyFill="1" applyBorder="1" applyAlignment="1" applyProtection="1">
      <alignment horizontal="center" vertical="center"/>
    </xf>
    <xf numFmtId="0" fontId="9" fillId="0" borderId="12" xfId="0" applyFont="1" applyFill="1" applyBorder="1" applyAlignment="1" applyProtection="1">
      <alignment horizontal="center" vertical="center" wrapText="1"/>
    </xf>
    <xf numFmtId="0" fontId="9" fillId="0" borderId="11" xfId="0" applyFont="1" applyFill="1" applyBorder="1" applyAlignment="1" applyProtection="1">
      <alignment horizontal="center" vertical="center" wrapText="1"/>
    </xf>
    <xf numFmtId="0" fontId="9" fillId="0" borderId="10" xfId="0" applyFont="1" applyFill="1" applyBorder="1" applyAlignment="1" applyProtection="1">
      <alignment horizontal="center" vertical="center" wrapText="1"/>
    </xf>
    <xf numFmtId="0" fontId="9" fillId="0" borderId="20" xfId="0" applyFont="1" applyFill="1" applyBorder="1" applyAlignment="1" applyProtection="1">
      <alignment horizontal="center" vertical="center" wrapText="1"/>
    </xf>
    <xf numFmtId="0" fontId="8" fillId="0" borderId="26" xfId="0" applyFont="1" applyFill="1" applyBorder="1" applyAlignment="1" applyProtection="1">
      <alignment horizontal="center" vertical="center" wrapText="1"/>
    </xf>
    <xf numFmtId="0" fontId="8" fillId="0" borderId="25" xfId="0" applyFont="1" applyFill="1" applyBorder="1" applyAlignment="1" applyProtection="1">
      <alignment horizontal="center" vertical="center"/>
    </xf>
    <xf numFmtId="0" fontId="8" fillId="0" borderId="26" xfId="0" applyFont="1" applyFill="1" applyBorder="1" applyAlignment="1" applyProtection="1">
      <alignment horizontal="center" vertical="center"/>
    </xf>
    <xf numFmtId="0" fontId="8" fillId="0" borderId="27" xfId="0" applyFont="1" applyFill="1" applyBorder="1" applyAlignment="1" applyProtection="1">
      <alignment horizontal="center" vertical="center"/>
    </xf>
    <xf numFmtId="0" fontId="8" fillId="0" borderId="28" xfId="0" applyFont="1" applyFill="1" applyBorder="1" applyAlignment="1" applyProtection="1">
      <alignment horizontal="center" vertical="center"/>
    </xf>
    <xf numFmtId="0" fontId="9" fillId="0" borderId="15" xfId="0" applyFont="1" applyFill="1" applyBorder="1" applyAlignment="1" applyProtection="1">
      <alignment horizontal="center" vertical="center" wrapText="1"/>
    </xf>
    <xf numFmtId="0" fontId="7" fillId="0" borderId="0" xfId="0" applyFont="1" applyFill="1" applyAlignment="1" applyProtection="1">
      <alignment horizontal="left" vertical="center"/>
    </xf>
    <xf numFmtId="0" fontId="8" fillId="0" borderId="25" xfId="0" applyFont="1" applyFill="1" applyBorder="1" applyAlignment="1" applyProtection="1">
      <alignment horizontal="center" vertical="center" wrapText="1"/>
    </xf>
    <xf numFmtId="0" fontId="9" fillId="0" borderId="22" xfId="0" applyFont="1" applyFill="1" applyBorder="1" applyAlignment="1" applyProtection="1">
      <alignment horizontal="center" vertical="center" wrapText="1"/>
    </xf>
    <xf numFmtId="0" fontId="9" fillId="0" borderId="23"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8" fillId="0" borderId="16" xfId="0" applyFont="1" applyFill="1" applyBorder="1" applyAlignment="1" applyProtection="1">
      <alignment horizontal="center" vertical="center" wrapText="1"/>
    </xf>
    <xf numFmtId="0" fontId="8" fillId="0" borderId="27" xfId="0" applyFont="1" applyFill="1" applyBorder="1" applyAlignment="1" applyProtection="1">
      <alignment horizontal="center" vertical="center" wrapText="1"/>
    </xf>
    <xf numFmtId="0" fontId="9" fillId="0" borderId="31" xfId="0" applyFont="1" applyFill="1" applyBorder="1" applyAlignment="1" applyProtection="1">
      <alignment horizontal="center" vertical="center" wrapText="1"/>
    </xf>
    <xf numFmtId="0" fontId="9" fillId="0" borderId="32" xfId="0" applyFont="1" applyFill="1" applyBorder="1" applyAlignment="1" applyProtection="1">
      <alignment horizontal="center" vertical="center" wrapText="1"/>
    </xf>
    <xf numFmtId="0" fontId="9" fillId="0" borderId="33" xfId="0" applyFont="1" applyFill="1" applyBorder="1" applyAlignment="1" applyProtection="1">
      <alignment horizontal="center" vertical="center" wrapText="1"/>
    </xf>
    <xf numFmtId="0" fontId="9" fillId="7" borderId="25" xfId="0" applyFont="1" applyFill="1" applyBorder="1" applyAlignment="1" applyProtection="1">
      <alignment horizontal="center" vertical="center" wrapText="1"/>
      <protection locked="0"/>
    </xf>
    <xf numFmtId="0" fontId="9" fillId="7" borderId="27" xfId="0" applyFont="1" applyFill="1" applyBorder="1" applyAlignment="1" applyProtection="1">
      <alignment horizontal="center" vertical="center" wrapText="1"/>
      <protection locked="0"/>
    </xf>
    <xf numFmtId="0" fontId="8" fillId="0" borderId="0"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xf>
    <xf numFmtId="0" fontId="9" fillId="0" borderId="37" xfId="0" applyFont="1" applyFill="1" applyBorder="1" applyAlignment="1" applyProtection="1">
      <alignment horizontal="center" vertical="center" wrapText="1"/>
    </xf>
    <xf numFmtId="0" fontId="9" fillId="0" borderId="21" xfId="0" applyFont="1" applyFill="1" applyBorder="1" applyAlignment="1" applyProtection="1">
      <alignment horizontal="center" vertical="center" wrapText="1"/>
    </xf>
    <xf numFmtId="0" fontId="9" fillId="0" borderId="38" xfId="0" applyFont="1" applyFill="1" applyBorder="1" applyAlignment="1" applyProtection="1">
      <alignment horizontal="center" vertical="center" wrapText="1"/>
    </xf>
    <xf numFmtId="0" fontId="9" fillId="0" borderId="14" xfId="0" applyFont="1" applyFill="1" applyBorder="1" applyAlignment="1" applyProtection="1">
      <alignment horizontal="center" vertical="center" wrapText="1"/>
    </xf>
    <xf numFmtId="0" fontId="9" fillId="0" borderId="29" xfId="0" applyFont="1" applyFill="1" applyBorder="1" applyAlignment="1" applyProtection="1">
      <alignment horizontal="center" vertical="center" wrapText="1"/>
    </xf>
    <xf numFmtId="0" fontId="9" fillId="0" borderId="39" xfId="0" applyFont="1" applyFill="1" applyBorder="1" applyAlignment="1" applyProtection="1">
      <alignment horizontal="center" vertical="center" wrapText="1"/>
    </xf>
    <xf numFmtId="0" fontId="9" fillId="0" borderId="40" xfId="0" applyFont="1" applyFill="1" applyBorder="1" applyAlignment="1" applyProtection="1">
      <alignment horizontal="center" vertical="center" wrapText="1"/>
    </xf>
    <xf numFmtId="0" fontId="9" fillId="0" borderId="0" xfId="0" applyFont="1" applyFill="1" applyBorder="1" applyAlignment="1" applyProtection="1">
      <alignment horizontal="center" vertical="center"/>
    </xf>
    <xf numFmtId="0" fontId="8" fillId="0" borderId="36" xfId="0" applyFont="1" applyFill="1" applyBorder="1" applyAlignment="1" applyProtection="1">
      <alignment horizontal="center" vertical="center" wrapText="1"/>
    </xf>
    <xf numFmtId="0" fontId="9" fillId="0" borderId="0" xfId="0" applyFont="1" applyFill="1" applyAlignment="1" applyProtection="1">
      <alignment horizontal="left" vertical="center"/>
    </xf>
    <xf numFmtId="0" fontId="17" fillId="0" borderId="10" xfId="0" applyFont="1" applyFill="1" applyBorder="1" applyAlignment="1" applyProtection="1">
      <alignment horizontal="center" vertical="center" wrapText="1"/>
    </xf>
    <xf numFmtId="0" fontId="17" fillId="0" borderId="33" xfId="0" applyFont="1" applyFill="1" applyBorder="1" applyAlignment="1" applyProtection="1">
      <alignment horizontal="center" vertical="center" wrapText="1"/>
    </xf>
    <xf numFmtId="0" fontId="9" fillId="7" borderId="26" xfId="0" applyFont="1" applyFill="1" applyBorder="1" applyAlignment="1" applyProtection="1">
      <alignment horizontal="center" vertical="center" wrapText="1"/>
      <protection locked="0"/>
    </xf>
    <xf numFmtId="0" fontId="6" fillId="0" borderId="0" xfId="0" applyFont="1" applyAlignment="1" applyProtection="1">
      <alignment horizontal="left" vertical="center"/>
    </xf>
    <xf numFmtId="0" fontId="2" fillId="0" borderId="0" xfId="0" applyFont="1" applyFill="1" applyAlignment="1" applyProtection="1">
      <alignment horizontal="left" vertical="center" wrapText="1"/>
      <protection hidden="1"/>
    </xf>
    <xf numFmtId="0" fontId="2" fillId="0" borderId="0" xfId="0" applyFont="1" applyFill="1" applyAlignment="1" applyProtection="1">
      <alignment horizontal="center"/>
      <protection hidden="1"/>
    </xf>
    <xf numFmtId="0" fontId="3" fillId="0" borderId="0" xfId="0" applyFont="1" applyFill="1" applyAlignment="1" applyProtection="1">
      <alignment horizontal="left"/>
      <protection hidden="1"/>
    </xf>
    <xf numFmtId="0" fontId="3" fillId="0" borderId="0" xfId="0" applyFont="1" applyFill="1" applyAlignment="1" applyProtection="1">
      <alignment horizontal="center"/>
      <protection hidden="1"/>
    </xf>
    <xf numFmtId="0" fontId="3" fillId="0" borderId="0" xfId="0" applyFont="1" applyAlignment="1" applyProtection="1">
      <alignment horizontal="left"/>
      <protection hidden="1"/>
    </xf>
    <xf numFmtId="0" fontId="2" fillId="0" borderId="0" xfId="0" applyFont="1" applyFill="1" applyAlignment="1" applyProtection="1">
      <alignment horizontal="left"/>
      <protection hidden="1"/>
    </xf>
    <xf numFmtId="0" fontId="13" fillId="0" borderId="0" xfId="0" applyFont="1" applyFill="1" applyAlignment="1" applyProtection="1">
      <alignment horizontal="left"/>
      <protection hidden="1"/>
    </xf>
    <xf numFmtId="0" fontId="13" fillId="0" borderId="0" xfId="0" applyFont="1" applyFill="1" applyAlignment="1" applyProtection="1">
      <alignment horizontal="center"/>
      <protection hidden="1"/>
    </xf>
    <xf numFmtId="0" fontId="8" fillId="7" borderId="19" xfId="0" applyFont="1" applyFill="1" applyBorder="1" applyAlignment="1" applyProtection="1">
      <alignment horizontal="center" vertical="center" wrapText="1"/>
      <protection locked="0"/>
    </xf>
    <xf numFmtId="0" fontId="17" fillId="0" borderId="0" xfId="0" applyFont="1" applyFill="1" applyBorder="1" applyAlignment="1" applyProtection="1">
      <alignment horizontal="center" vertical="center"/>
      <protection hidden="1"/>
    </xf>
    <xf numFmtId="0" fontId="7" fillId="10" borderId="8" xfId="0" applyFont="1" applyFill="1" applyBorder="1" applyAlignment="1" applyProtection="1">
      <alignment horizontal="center" vertical="center" wrapText="1"/>
      <protection hidden="1"/>
    </xf>
    <xf numFmtId="0" fontId="7" fillId="10" borderId="9" xfId="0" applyFont="1" applyFill="1" applyBorder="1" applyAlignment="1" applyProtection="1">
      <alignment horizontal="center" vertical="center" wrapText="1"/>
      <protection hidden="1"/>
    </xf>
    <xf numFmtId="0" fontId="7" fillId="4" borderId="8" xfId="0" applyFont="1" applyFill="1" applyBorder="1" applyAlignment="1" applyProtection="1">
      <alignment horizontal="center" vertical="center" wrapText="1"/>
      <protection hidden="1"/>
    </xf>
    <xf numFmtId="0" fontId="7" fillId="4" borderId="13" xfId="0" applyFont="1" applyFill="1" applyBorder="1" applyAlignment="1" applyProtection="1">
      <alignment horizontal="center" vertical="center" wrapText="1"/>
      <protection hidden="1"/>
    </xf>
    <xf numFmtId="0" fontId="7" fillId="4" borderId="9" xfId="0" applyFont="1" applyFill="1" applyBorder="1" applyAlignment="1" applyProtection="1">
      <alignment horizontal="center" vertical="center" wrapText="1"/>
      <protection hidden="1"/>
    </xf>
    <xf numFmtId="0" fontId="6" fillId="9" borderId="0" xfId="0" applyFont="1" applyFill="1" applyAlignment="1" applyProtection="1">
      <alignment horizontal="center" vertical="center" wrapText="1"/>
    </xf>
    <xf numFmtId="0" fontId="6" fillId="0" borderId="0" xfId="0" applyFont="1" applyAlignment="1" applyProtection="1">
      <alignment horizontal="left"/>
      <protection hidden="1"/>
    </xf>
    <xf numFmtId="0" fontId="8" fillId="0" borderId="19" xfId="0" applyFont="1" applyFill="1" applyBorder="1" applyAlignment="1" applyProtection="1">
      <alignment horizontal="center" vertical="center"/>
    </xf>
    <xf numFmtId="0" fontId="12" fillId="0" borderId="0" xfId="0" applyFont="1" applyFill="1" applyAlignment="1" applyProtection="1">
      <alignment horizontal="left" vertical="center" wrapText="1"/>
      <protection hidden="1"/>
    </xf>
    <xf numFmtId="0" fontId="12" fillId="0" borderId="0" xfId="0" applyFont="1" applyFill="1" applyAlignment="1" applyProtection="1">
      <alignment horizontal="center"/>
      <protection hidden="1"/>
    </xf>
    <xf numFmtId="0" fontId="2" fillId="0" borderId="0" xfId="0" applyFont="1" applyFill="1" applyAlignment="1" applyProtection="1">
      <protection hidden="1"/>
    </xf>
    <xf numFmtId="0" fontId="2" fillId="0" borderId="0" xfId="0" applyFont="1" applyFill="1" applyProtection="1">
      <protection hidden="1"/>
    </xf>
    <xf numFmtId="0" fontId="3" fillId="0" borderId="0" xfId="0" quotePrefix="1" applyFont="1" applyFill="1" applyProtection="1">
      <protection hidden="1"/>
    </xf>
    <xf numFmtId="0" fontId="3" fillId="0" borderId="0" xfId="0" applyFont="1" applyFill="1" applyProtection="1">
      <protection hidden="1"/>
    </xf>
    <xf numFmtId="0" fontId="5" fillId="0" borderId="0" xfId="0" applyFont="1" applyFill="1" applyAlignment="1" applyProtection="1">
      <alignment horizontal="left"/>
      <protection hidden="1"/>
    </xf>
    <xf numFmtId="0" fontId="5" fillId="0" borderId="0" xfId="0" applyFont="1" applyFill="1" applyAlignment="1" applyProtection="1">
      <alignment horizontal="center"/>
      <protection hidden="1"/>
    </xf>
    <xf numFmtId="0" fontId="4" fillId="0" borderId="0" xfId="0" applyFont="1" applyFill="1" applyAlignment="1" applyProtection="1">
      <alignment horizontal="left"/>
      <protection hidden="1"/>
    </xf>
    <xf numFmtId="0" fontId="4" fillId="0" borderId="0" xfId="0" applyFont="1" applyFill="1" applyAlignment="1" applyProtection="1">
      <alignment horizontal="center"/>
      <protection hidden="1"/>
    </xf>
    <xf numFmtId="0" fontId="11" fillId="0" borderId="0" xfId="0" applyFont="1" applyFill="1" applyAlignment="1" applyProtection="1">
      <alignment horizontal="left"/>
      <protection hidden="1"/>
    </xf>
    <xf numFmtId="0" fontId="6" fillId="0" borderId="0" xfId="0" applyFont="1" applyFill="1" applyProtection="1">
      <protection hidden="1"/>
    </xf>
    <xf numFmtId="0" fontId="6" fillId="0" borderId="0" xfId="0" applyFont="1" applyFill="1" applyAlignment="1" applyProtection="1">
      <alignment horizontal="center"/>
      <protection hidden="1"/>
    </xf>
    <xf numFmtId="0" fontId="11" fillId="0" borderId="0" xfId="0" applyFont="1" applyFill="1" applyAlignment="1" applyProtection="1">
      <alignment horizontal="center"/>
      <protection hidden="1"/>
    </xf>
    <xf numFmtId="14" fontId="6" fillId="0" borderId="0" xfId="0" applyNumberFormat="1" applyFont="1" applyFill="1" applyAlignment="1" applyProtection="1">
      <alignment horizontal="center" vertical="center"/>
      <protection hidden="1"/>
    </xf>
    <xf numFmtId="0" fontId="6" fillId="0" borderId="0" xfId="0" applyFont="1" applyFill="1" applyAlignment="1" applyProtection="1">
      <alignment vertical="center" wrapText="1"/>
      <protection hidden="1"/>
    </xf>
    <xf numFmtId="0" fontId="7" fillId="0" borderId="0" xfId="0" applyFont="1" applyFill="1" applyAlignment="1" applyProtection="1">
      <alignment horizontal="left"/>
      <protection hidden="1"/>
    </xf>
    <xf numFmtId="0" fontId="17" fillId="9" borderId="10" xfId="0" applyFont="1" applyFill="1" applyBorder="1" applyAlignment="1" applyProtection="1">
      <alignment horizontal="center" vertical="center" wrapText="1"/>
    </xf>
    <xf numFmtId="0" fontId="17" fillId="9" borderId="33" xfId="0" applyFont="1" applyFill="1" applyBorder="1" applyAlignment="1" applyProtection="1">
      <alignment horizontal="center" vertical="center" wrapText="1"/>
    </xf>
    <xf numFmtId="0" fontId="3" fillId="5" borderId="0" xfId="0" applyFont="1" applyFill="1" applyAlignment="1" applyProtection="1">
      <alignment horizontal="center"/>
    </xf>
    <xf numFmtId="0" fontId="11" fillId="9" borderId="27" xfId="0" applyFont="1" applyFill="1" applyBorder="1" applyAlignment="1" applyProtection="1">
      <alignment horizontal="center" vertical="center" wrapText="1"/>
    </xf>
    <xf numFmtId="0" fontId="11" fillId="9" borderId="26" xfId="0" applyFont="1" applyFill="1" applyBorder="1" applyAlignment="1" applyProtection="1">
      <alignment horizontal="center" vertical="center" wrapText="1"/>
    </xf>
    <xf numFmtId="0" fontId="11" fillId="9" borderId="25" xfId="0" applyFont="1" applyFill="1" applyBorder="1" applyAlignment="1" applyProtection="1">
      <alignment horizontal="center" vertical="center"/>
    </xf>
    <xf numFmtId="0" fontId="11" fillId="9" borderId="26" xfId="0" applyFont="1" applyFill="1" applyBorder="1" applyAlignment="1" applyProtection="1">
      <alignment horizontal="center" vertical="center"/>
    </xf>
    <xf numFmtId="0" fontId="11" fillId="9" borderId="27" xfId="0" applyFont="1" applyFill="1" applyBorder="1" applyAlignment="1" applyProtection="1">
      <alignment horizontal="center" vertical="center"/>
    </xf>
    <xf numFmtId="0" fontId="11" fillId="9" borderId="28" xfId="0" applyFont="1" applyFill="1" applyBorder="1" applyAlignment="1" applyProtection="1">
      <alignment horizontal="center" vertical="center"/>
    </xf>
    <xf numFmtId="0" fontId="17" fillId="9" borderId="20" xfId="0" applyFont="1" applyFill="1" applyBorder="1" applyAlignment="1" applyProtection="1">
      <alignment horizontal="center" vertical="center" wrapText="1"/>
    </xf>
    <xf numFmtId="0" fontId="17" fillId="9" borderId="27" xfId="0" applyFont="1" applyFill="1" applyBorder="1" applyAlignment="1" applyProtection="1">
      <alignment horizontal="center" vertical="center" wrapText="1"/>
    </xf>
    <xf numFmtId="0" fontId="17" fillId="9" borderId="23" xfId="0" applyFont="1" applyFill="1" applyBorder="1" applyAlignment="1" applyProtection="1">
      <alignment horizontal="center" vertical="center" wrapText="1"/>
    </xf>
    <xf numFmtId="0" fontId="17" fillId="9" borderId="11" xfId="0" applyFont="1" applyFill="1" applyBorder="1" applyAlignment="1" applyProtection="1">
      <alignment horizontal="center" vertical="center" wrapText="1"/>
    </xf>
    <xf numFmtId="0" fontId="17" fillId="9" borderId="32" xfId="0" applyFont="1" applyFill="1" applyBorder="1" applyAlignment="1" applyProtection="1">
      <alignment horizontal="center" vertical="center" wrapText="1"/>
    </xf>
    <xf numFmtId="0" fontId="17" fillId="9" borderId="26" xfId="0" applyFont="1" applyFill="1" applyBorder="1" applyAlignment="1" applyProtection="1">
      <alignment horizontal="center" vertical="center" wrapText="1"/>
    </xf>
    <xf numFmtId="0" fontId="17" fillId="9" borderId="34" xfId="0" applyFont="1" applyFill="1" applyBorder="1" applyAlignment="1" applyProtection="1">
      <alignment horizontal="center" vertical="center" wrapText="1"/>
    </xf>
    <xf numFmtId="0" fontId="17" fillId="9" borderId="22" xfId="0" applyFont="1" applyFill="1" applyBorder="1" applyAlignment="1" applyProtection="1">
      <alignment horizontal="center" vertical="center" wrapText="1"/>
    </xf>
    <xf numFmtId="0" fontId="17" fillId="9" borderId="12" xfId="0" applyFont="1" applyFill="1" applyBorder="1" applyAlignment="1" applyProtection="1">
      <alignment horizontal="center" vertical="center" wrapText="1"/>
    </xf>
    <xf numFmtId="0" fontId="17" fillId="9" borderId="31" xfId="0" applyFont="1" applyFill="1" applyBorder="1" applyAlignment="1" applyProtection="1">
      <alignment horizontal="center" vertical="center" wrapText="1"/>
    </xf>
    <xf numFmtId="0" fontId="17" fillId="9" borderId="25" xfId="0" applyFont="1" applyFill="1" applyBorder="1" applyAlignment="1" applyProtection="1">
      <alignment horizontal="center" vertical="center" wrapText="1"/>
    </xf>
    <xf numFmtId="0" fontId="17" fillId="9" borderId="24" xfId="0" applyFont="1" applyFill="1" applyBorder="1" applyAlignment="1" applyProtection="1">
      <alignment horizontal="center" vertical="center" wrapText="1"/>
    </xf>
    <xf numFmtId="0" fontId="17" fillId="9" borderId="15" xfId="0" applyFont="1" applyFill="1" applyBorder="1" applyAlignment="1" applyProtection="1">
      <alignment horizontal="center" vertical="center" wrapText="1"/>
    </xf>
    <xf numFmtId="0" fontId="17" fillId="9" borderId="35" xfId="0" applyFont="1" applyFill="1" applyBorder="1" applyAlignment="1" applyProtection="1">
      <alignment horizontal="center" vertical="center" wrapText="1"/>
    </xf>
    <xf numFmtId="0" fontId="17" fillId="9" borderId="28" xfId="0" applyFont="1" applyFill="1" applyBorder="1" applyAlignment="1" applyProtection="1">
      <alignment horizontal="center" vertical="center" wrapText="1"/>
    </xf>
    <xf numFmtId="0" fontId="10" fillId="0" borderId="0" xfId="0" applyFont="1" applyFill="1" applyAlignment="1" applyProtection="1">
      <alignment horizontal="center" vertical="center" wrapText="1"/>
      <protection hidden="1"/>
    </xf>
    <xf numFmtId="0" fontId="10" fillId="5" borderId="0" xfId="0" applyFont="1" applyFill="1" applyAlignment="1" applyProtection="1">
      <alignment horizontal="center" vertical="center" wrapText="1"/>
      <protection hidden="1"/>
    </xf>
    <xf numFmtId="0" fontId="6" fillId="3" borderId="0" xfId="0" applyFont="1" applyFill="1" applyAlignment="1" applyProtection="1">
      <alignment horizontal="center" vertical="center" wrapText="1"/>
    </xf>
    <xf numFmtId="0" fontId="17" fillId="9" borderId="0" xfId="0" applyFont="1" applyFill="1" applyAlignment="1" applyProtection="1">
      <alignment horizontal="center" vertical="center" wrapText="1"/>
    </xf>
    <xf numFmtId="0" fontId="20" fillId="0" borderId="0" xfId="0" applyFont="1" applyFill="1" applyAlignment="1" applyProtection="1">
      <alignment horizontal="left"/>
      <protection hidden="1"/>
    </xf>
    <xf numFmtId="49" fontId="6" fillId="0" borderId="0" xfId="0" applyNumberFormat="1" applyFont="1" applyFill="1" applyAlignment="1" applyProtection="1">
      <alignment horizontal="center" vertical="center" wrapText="1"/>
      <protection hidden="1"/>
    </xf>
    <xf numFmtId="2" fontId="20" fillId="0" borderId="0" xfId="0" applyNumberFormat="1" applyFont="1" applyFill="1" applyAlignment="1" applyProtection="1">
      <alignment horizontal="left" vertical="center" wrapText="1"/>
      <protection hidden="1"/>
    </xf>
    <xf numFmtId="2" fontId="17" fillId="0" borderId="0" xfId="0" applyNumberFormat="1" applyFont="1" applyFill="1" applyAlignment="1" applyProtection="1">
      <alignment horizontal="center" vertical="center" wrapText="1"/>
      <protection hidden="1"/>
    </xf>
    <xf numFmtId="0" fontId="20" fillId="0" borderId="0" xfId="0" applyFont="1" applyFill="1" applyAlignment="1" applyProtection="1">
      <alignment horizontal="left" vertical="center" wrapText="1"/>
      <protection hidden="1"/>
    </xf>
    <xf numFmtId="0" fontId="17" fillId="3" borderId="0" xfId="0" applyFont="1" applyFill="1" applyAlignment="1" applyProtection="1">
      <alignment horizontal="center" vertical="center" wrapText="1"/>
    </xf>
    <xf numFmtId="0" fontId="6" fillId="3" borderId="0" xfId="0" applyFont="1" applyFill="1" applyBorder="1" applyAlignment="1" applyProtection="1">
      <alignment horizontal="center" vertical="center" wrapText="1"/>
    </xf>
    <xf numFmtId="0" fontId="6" fillId="9" borderId="0" xfId="0" applyFont="1" applyFill="1" applyBorder="1" applyAlignment="1" applyProtection="1">
      <alignment horizontal="center" vertical="center"/>
    </xf>
    <xf numFmtId="0" fontId="6" fillId="3" borderId="0" xfId="0" applyFont="1" applyFill="1" applyBorder="1" applyAlignment="1" applyProtection="1">
      <alignment horizontal="center" vertical="center"/>
    </xf>
    <xf numFmtId="0" fontId="6" fillId="7" borderId="0" xfId="0" applyFont="1" applyFill="1" applyBorder="1" applyAlignment="1" applyProtection="1">
      <alignment horizontal="center" vertical="center"/>
      <protection locked="0"/>
    </xf>
    <xf numFmtId="0" fontId="17" fillId="7" borderId="0" xfId="0" applyFont="1" applyFill="1" applyAlignment="1" applyProtection="1">
      <alignment horizontal="center" vertical="center" wrapText="1"/>
      <protection locked="0"/>
    </xf>
    <xf numFmtId="0" fontId="16" fillId="0" borderId="0" xfId="0" applyFont="1" applyFill="1" applyAlignment="1" applyProtection="1">
      <alignment vertical="center"/>
    </xf>
    <xf numFmtId="0" fontId="6" fillId="0" borderId="0" xfId="0" applyFont="1" applyFill="1" applyAlignment="1" applyProtection="1">
      <alignment horizontal="center" vertical="center"/>
    </xf>
    <xf numFmtId="0" fontId="6" fillId="0" borderId="0" xfId="0" applyFont="1" applyFill="1" applyAlignment="1" applyProtection="1">
      <alignment vertical="center"/>
    </xf>
    <xf numFmtId="0" fontId="6" fillId="0" borderId="0" xfId="0" applyFont="1" applyAlignment="1" applyProtection="1">
      <alignment horizontal="center" vertical="center"/>
    </xf>
    <xf numFmtId="0" fontId="6" fillId="0" borderId="0" xfId="0" applyFont="1" applyAlignment="1" applyProtection="1">
      <alignment vertical="center"/>
    </xf>
    <xf numFmtId="0" fontId="6" fillId="0" borderId="0" xfId="0" applyFont="1" applyAlignment="1" applyProtection="1">
      <alignment horizontal="right" vertical="center"/>
    </xf>
    <xf numFmtId="0" fontId="6" fillId="0" borderId="1" xfId="0" applyFont="1" applyBorder="1" applyAlignment="1" applyProtection="1">
      <alignment horizontal="right" vertical="center"/>
    </xf>
    <xf numFmtId="0" fontId="7" fillId="0" borderId="1" xfId="0" applyFont="1" applyBorder="1" applyAlignment="1" applyProtection="1">
      <alignment horizontal="center" vertical="center"/>
    </xf>
    <xf numFmtId="0" fontId="7" fillId="0" borderId="1" xfId="0" applyFont="1" applyFill="1" applyBorder="1" applyAlignment="1" applyProtection="1">
      <alignment horizontal="center" vertical="center"/>
    </xf>
    <xf numFmtId="176" fontId="6" fillId="0" borderId="1" xfId="0" applyNumberFormat="1" applyFont="1" applyFill="1" applyBorder="1" applyAlignment="1" applyProtection="1">
      <alignment horizontal="center" vertical="center"/>
    </xf>
    <xf numFmtId="0" fontId="6" fillId="0" borderId="1" xfId="0" applyFont="1" applyFill="1" applyBorder="1" applyAlignment="1" applyProtection="1">
      <alignment horizontal="center" vertical="center"/>
    </xf>
    <xf numFmtId="0" fontId="7" fillId="0" borderId="0" xfId="0" applyFont="1" applyBorder="1" applyAlignment="1" applyProtection="1">
      <alignment horizontal="center" vertical="center"/>
    </xf>
    <xf numFmtId="0" fontId="7" fillId="0" borderId="0" xfId="0" applyFont="1" applyFill="1" applyBorder="1" applyAlignment="1" applyProtection="1">
      <alignment horizontal="center" vertical="center"/>
    </xf>
    <xf numFmtId="0" fontId="7" fillId="0" borderId="1" xfId="0" applyFont="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10" fillId="0" borderId="1" xfId="0" applyFont="1" applyBorder="1" applyAlignment="1" applyProtection="1">
      <alignment horizontal="center" vertical="center" wrapText="1"/>
    </xf>
    <xf numFmtId="0" fontId="10" fillId="2" borderId="1" xfId="0" applyFont="1" applyFill="1" applyBorder="1" applyAlignment="1" applyProtection="1">
      <alignment horizontal="center" vertical="center"/>
    </xf>
    <xf numFmtId="0" fontId="10" fillId="0" borderId="1" xfId="0" applyFont="1" applyFill="1" applyBorder="1" applyAlignment="1" applyProtection="1">
      <alignment vertical="center"/>
    </xf>
    <xf numFmtId="0" fontId="10" fillId="0" borderId="1" xfId="0" applyFont="1" applyFill="1" applyBorder="1" applyAlignment="1" applyProtection="1">
      <alignment horizontal="center" vertical="center"/>
    </xf>
    <xf numFmtId="0" fontId="6" fillId="0" borderId="1" xfId="0" applyFont="1" applyBorder="1" applyAlignment="1" applyProtection="1">
      <alignment horizontal="center" vertical="center" wrapText="1"/>
    </xf>
    <xf numFmtId="0" fontId="17" fillId="0" borderId="1" xfId="0" applyFont="1" applyFill="1" applyBorder="1" applyAlignment="1" applyProtection="1">
      <alignment horizontal="center" vertical="center"/>
    </xf>
    <xf numFmtId="0" fontId="6" fillId="0" borderId="1" xfId="0" applyFont="1" applyBorder="1" applyAlignment="1" applyProtection="1">
      <alignment horizontal="center" vertical="center"/>
    </xf>
    <xf numFmtId="0" fontId="17" fillId="0" borderId="1" xfId="0" applyFont="1" applyBorder="1" applyAlignment="1" applyProtection="1">
      <alignment horizontal="center" vertical="center"/>
    </xf>
    <xf numFmtId="0" fontId="6" fillId="0" borderId="1" xfId="0" applyFont="1" applyFill="1" applyBorder="1" applyAlignment="1" applyProtection="1">
      <alignment vertical="center"/>
    </xf>
    <xf numFmtId="0" fontId="0" fillId="0" borderId="1" xfId="0" applyFont="1" applyBorder="1" applyAlignment="1" applyProtection="1">
      <alignment horizontal="center" vertical="center" wrapText="1"/>
    </xf>
    <xf numFmtId="0" fontId="0" fillId="0" borderId="1" xfId="0" applyFont="1" applyBorder="1" applyAlignment="1" applyProtection="1">
      <alignment horizontal="center" vertical="center"/>
    </xf>
    <xf numFmtId="2" fontId="17" fillId="0" borderId="1" xfId="0" applyNumberFormat="1" applyFont="1" applyFill="1" applyBorder="1" applyAlignment="1" applyProtection="1">
      <alignment horizontal="center" vertical="center" wrapText="1"/>
    </xf>
    <xf numFmtId="0" fontId="7" fillId="0" borderId="0" xfId="0" applyFont="1" applyAlignment="1" applyProtection="1">
      <alignment horizontal="right" vertical="center"/>
    </xf>
    <xf numFmtId="0" fontId="6" fillId="0" borderId="0" xfId="0" quotePrefix="1" applyFont="1" applyAlignment="1" applyProtection="1">
      <alignment horizontal="left" vertical="center"/>
    </xf>
    <xf numFmtId="0" fontId="6" fillId="8" borderId="1" xfId="0" applyFont="1" applyFill="1" applyBorder="1" applyAlignment="1" applyProtection="1">
      <alignment horizontal="center" vertical="center"/>
    </xf>
    <xf numFmtId="0" fontId="17" fillId="8" borderId="1" xfId="0" applyFont="1" applyFill="1" applyBorder="1" applyAlignment="1" applyProtection="1">
      <alignment horizontal="center" vertical="center"/>
    </xf>
    <xf numFmtId="0" fontId="6" fillId="0" borderId="1" xfId="0" applyFont="1" applyFill="1" applyBorder="1" applyAlignment="1" applyProtection="1">
      <alignment horizontal="center" vertical="center" wrapText="1"/>
    </xf>
    <xf numFmtId="0" fontId="6" fillId="6" borderId="1" xfId="0" applyFont="1" applyFill="1" applyBorder="1" applyAlignment="1" applyProtection="1">
      <alignment horizontal="center" vertical="center"/>
    </xf>
    <xf numFmtId="0" fontId="17" fillId="6" borderId="1" xfId="0" applyFont="1" applyFill="1" applyBorder="1" applyAlignment="1" applyProtection="1">
      <alignment horizontal="center" vertical="center"/>
    </xf>
    <xf numFmtId="0" fontId="7" fillId="6" borderId="1" xfId="0" applyFont="1" applyFill="1" applyBorder="1" applyAlignment="1" applyProtection="1">
      <alignment horizontal="center" vertical="center"/>
    </xf>
    <xf numFmtId="0" fontId="11" fillId="6" borderId="1" xfId="0" applyFont="1" applyFill="1" applyBorder="1" applyAlignment="1" applyProtection="1">
      <alignment horizontal="center" vertical="center"/>
    </xf>
    <xf numFmtId="0" fontId="17" fillId="0" borderId="0" xfId="0" applyFont="1" applyAlignment="1" applyProtection="1">
      <alignment vertical="center"/>
    </xf>
    <xf numFmtId="0" fontId="7" fillId="0" borderId="0" xfId="0" applyFont="1" applyAlignment="1" applyProtection="1">
      <alignment horizontal="left"/>
    </xf>
    <xf numFmtId="0" fontId="22" fillId="0" borderId="0" xfId="0" applyFont="1" applyAlignment="1" applyProtection="1">
      <alignment horizontal="left"/>
      <protection hidden="1"/>
    </xf>
    <xf numFmtId="0" fontId="8" fillId="0" borderId="0" xfId="0" applyFont="1" applyAlignment="1" applyProtection="1">
      <alignment wrapText="1"/>
      <protection hidden="1"/>
    </xf>
    <xf numFmtId="0" fontId="6" fillId="0" borderId="0" xfId="0" applyFont="1" applyFill="1" applyAlignment="1" applyProtection="1">
      <alignment horizontal="left" wrapText="1"/>
      <protection hidden="1"/>
    </xf>
    <xf numFmtId="0" fontId="6" fillId="0" borderId="0" xfId="0" applyFont="1" applyFill="1" applyAlignment="1" applyProtection="1">
      <protection hidden="1"/>
    </xf>
    <xf numFmtId="0" fontId="15" fillId="0" borderId="0" xfId="0" applyFont="1" applyFill="1" applyAlignment="1" applyProtection="1">
      <alignment horizontal="left" vertical="center" wrapText="1"/>
    </xf>
    <xf numFmtId="0" fontId="17" fillId="0" borderId="0" xfId="0" applyFont="1" applyFill="1" applyAlignment="1" applyProtection="1">
      <alignment horizontal="left" vertical="center" wrapText="1"/>
      <protection hidden="1"/>
    </xf>
    <xf numFmtId="0" fontId="8" fillId="0" borderId="19" xfId="0" applyFont="1" applyFill="1" applyBorder="1" applyAlignment="1" applyProtection="1">
      <alignment horizontal="center" vertical="center"/>
    </xf>
    <xf numFmtId="0" fontId="8" fillId="0" borderId="16" xfId="0" applyFont="1" applyFill="1" applyBorder="1" applyAlignment="1" applyProtection="1">
      <alignment horizontal="center" vertical="center"/>
    </xf>
    <xf numFmtId="0" fontId="8" fillId="0" borderId="17" xfId="0" applyFont="1" applyFill="1" applyBorder="1" applyAlignment="1" applyProtection="1">
      <alignment horizontal="center" vertical="center"/>
    </xf>
    <xf numFmtId="0" fontId="8" fillId="0" borderId="18" xfId="0" applyFont="1" applyFill="1" applyBorder="1" applyAlignment="1" applyProtection="1">
      <alignment horizontal="center" vertical="center"/>
    </xf>
  </cellXfs>
  <cellStyles count="1">
    <cellStyle name="常规" xfId="0" builtinId="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B2:E22"/>
  <sheetViews>
    <sheetView zoomScaleNormal="100" workbookViewId="0"/>
  </sheetViews>
  <sheetFormatPr defaultColWidth="9.125" defaultRowHeight="14.25"/>
  <cols>
    <col min="1" max="1" width="3.5" style="150" customWidth="1"/>
    <col min="2" max="3" width="17" style="151" customWidth="1"/>
    <col min="4" max="4" width="21.5" style="151" customWidth="1"/>
    <col min="5" max="5" width="40.5" style="10" customWidth="1"/>
    <col min="6" max="16384" width="9.125" style="150"/>
  </cols>
  <sheetData>
    <row r="2" spans="2:5">
      <c r="B2" s="149" t="s">
        <v>85</v>
      </c>
      <c r="C2" s="150" t="s">
        <v>132</v>
      </c>
    </row>
    <row r="3" spans="2:5">
      <c r="B3" s="152"/>
      <c r="C3" s="150"/>
    </row>
    <row r="4" spans="2:5">
      <c r="B4" s="149" t="s">
        <v>86</v>
      </c>
      <c r="C4" s="150" t="s">
        <v>89</v>
      </c>
    </row>
    <row r="6" spans="2:5">
      <c r="B6" s="149" t="s">
        <v>87</v>
      </c>
      <c r="C6" s="149"/>
      <c r="D6" s="149"/>
    </row>
    <row r="7" spans="2:5">
      <c r="B7" s="24" t="s">
        <v>70</v>
      </c>
      <c r="C7" s="24" t="s">
        <v>88</v>
      </c>
      <c r="D7" s="153">
        <v>41253</v>
      </c>
      <c r="E7" s="154" t="s">
        <v>133</v>
      </c>
    </row>
    <row r="8" spans="2:5">
      <c r="B8" s="24" t="s">
        <v>70</v>
      </c>
      <c r="C8" s="24" t="s">
        <v>492</v>
      </c>
      <c r="D8" s="153">
        <v>41292</v>
      </c>
      <c r="E8" s="154" t="s">
        <v>493</v>
      </c>
    </row>
    <row r="9" spans="2:5" ht="30" customHeight="1">
      <c r="B9" s="24" t="s">
        <v>70</v>
      </c>
      <c r="C9" s="24" t="s">
        <v>501</v>
      </c>
      <c r="D9" s="153">
        <v>41327</v>
      </c>
      <c r="E9" s="154" t="s">
        <v>502</v>
      </c>
    </row>
    <row r="10" spans="2:5" ht="15.75" customHeight="1">
      <c r="B10" s="24" t="s">
        <v>70</v>
      </c>
      <c r="C10" s="24" t="s">
        <v>511</v>
      </c>
      <c r="D10" s="153">
        <v>41351</v>
      </c>
      <c r="E10" s="154" t="s">
        <v>512</v>
      </c>
    </row>
    <row r="11" spans="2:5" ht="15.75" customHeight="1">
      <c r="B11" s="24" t="s">
        <v>70</v>
      </c>
      <c r="C11" s="24" t="s">
        <v>513</v>
      </c>
      <c r="D11" s="153">
        <v>41429</v>
      </c>
      <c r="E11" s="154" t="s">
        <v>514</v>
      </c>
    </row>
    <row r="12" spans="2:5">
      <c r="B12" s="24" t="s">
        <v>70</v>
      </c>
      <c r="C12" s="24" t="s">
        <v>531</v>
      </c>
      <c r="D12" s="153">
        <v>41927</v>
      </c>
      <c r="E12" s="154" t="s">
        <v>518</v>
      </c>
    </row>
    <row r="13" spans="2:5">
      <c r="B13" s="24"/>
      <c r="C13" s="24"/>
      <c r="D13" s="153"/>
      <c r="E13" s="154" t="s">
        <v>532</v>
      </c>
    </row>
    <row r="14" spans="2:5">
      <c r="B14" s="24" t="s">
        <v>70</v>
      </c>
      <c r="C14" s="24" t="s">
        <v>652</v>
      </c>
      <c r="D14" s="153">
        <v>42019</v>
      </c>
      <c r="E14" s="154" t="s">
        <v>653</v>
      </c>
    </row>
    <row r="16" spans="2:5">
      <c r="B16" s="149" t="s">
        <v>86</v>
      </c>
    </row>
    <row r="17" spans="2:5" ht="80.25" customHeight="1">
      <c r="B17" s="235" t="s">
        <v>637</v>
      </c>
      <c r="C17" s="235"/>
      <c r="D17" s="235"/>
      <c r="E17" s="236"/>
    </row>
    <row r="21" spans="2:5">
      <c r="B21" s="155" t="s">
        <v>529</v>
      </c>
    </row>
    <row r="22" spans="2:5">
      <c r="B22" s="149"/>
    </row>
  </sheetData>
  <sheetProtection password="DF21" sheet="1" objects="1" scenarios="1"/>
  <mergeCells count="1">
    <mergeCell ref="B17:E17"/>
  </mergeCells>
  <phoneticPr fontId="1"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B2:B45"/>
  <sheetViews>
    <sheetView topLeftCell="A25" workbookViewId="0">
      <selection activeCell="B26" sqref="B26"/>
    </sheetView>
  </sheetViews>
  <sheetFormatPr defaultColWidth="14" defaultRowHeight="14.25"/>
  <cols>
    <col min="1" max="1" width="3.875" style="3" customWidth="1"/>
    <col min="2" max="2" width="113.5" style="3" customWidth="1"/>
    <col min="3" max="16384" width="14" style="3"/>
  </cols>
  <sheetData>
    <row r="2" spans="2:2" s="21" customFormat="1">
      <c r="B2" s="21" t="s">
        <v>90</v>
      </c>
    </row>
    <row r="3" spans="2:2" ht="28.5">
      <c r="B3" s="3" t="s">
        <v>533</v>
      </c>
    </row>
    <row r="4" spans="2:2">
      <c r="B4" s="3" t="s">
        <v>535</v>
      </c>
    </row>
    <row r="5" spans="2:2" ht="28.5">
      <c r="B5" s="3" t="s">
        <v>491</v>
      </c>
    </row>
    <row r="6" spans="2:2" ht="28.5">
      <c r="B6" s="3" t="s">
        <v>629</v>
      </c>
    </row>
    <row r="7" spans="2:2" ht="28.5">
      <c r="B7" s="3" t="s">
        <v>586</v>
      </c>
    </row>
    <row r="11" spans="2:2" ht="28.5">
      <c r="B11" s="3" t="s">
        <v>638</v>
      </c>
    </row>
    <row r="15" spans="2:2" ht="57">
      <c r="B15" s="234" t="s">
        <v>131</v>
      </c>
    </row>
    <row r="19" spans="2:2">
      <c r="B19" s="22" t="s">
        <v>529</v>
      </c>
    </row>
    <row r="20" spans="2:2">
      <c r="B20" s="23"/>
    </row>
    <row r="23" spans="2:2">
      <c r="B23" s="21" t="s">
        <v>651</v>
      </c>
    </row>
    <row r="25" spans="2:2" ht="15.75">
      <c r="B25" s="233" t="s">
        <v>624</v>
      </c>
    </row>
    <row r="26" spans="2:2" ht="15.75">
      <c r="B26" s="233" t="s">
        <v>626</v>
      </c>
    </row>
    <row r="27" spans="2:2" ht="15.75">
      <c r="B27" s="125" t="s">
        <v>494</v>
      </c>
    </row>
    <row r="28" spans="2:2" ht="15.75">
      <c r="B28" s="125" t="s">
        <v>495</v>
      </c>
    </row>
    <row r="29" spans="2:2" ht="15.75">
      <c r="B29" s="125" t="s">
        <v>496</v>
      </c>
    </row>
    <row r="30" spans="2:2" ht="15.75">
      <c r="B30" s="125" t="s">
        <v>497</v>
      </c>
    </row>
    <row r="31" spans="2:2" ht="15.75">
      <c r="B31" s="125" t="s">
        <v>498</v>
      </c>
    </row>
    <row r="32" spans="2:2" ht="15.75">
      <c r="B32" s="125"/>
    </row>
    <row r="33" spans="2:2" ht="15.75">
      <c r="B33" s="233" t="s">
        <v>625</v>
      </c>
    </row>
    <row r="34" spans="2:2" ht="15.75">
      <c r="B34" s="233" t="s">
        <v>618</v>
      </c>
    </row>
    <row r="35" spans="2:2" ht="15.75">
      <c r="B35" s="125" t="s">
        <v>649</v>
      </c>
    </row>
    <row r="36" spans="2:2" ht="15.75">
      <c r="B36" s="125" t="s">
        <v>619</v>
      </c>
    </row>
    <row r="37" spans="2:2" ht="15.75">
      <c r="B37" s="125" t="s">
        <v>650</v>
      </c>
    </row>
    <row r="38" spans="2:2" ht="15.75">
      <c r="B38" s="125"/>
    </row>
    <row r="39" spans="2:2" ht="15.75">
      <c r="B39" s="233" t="s">
        <v>620</v>
      </c>
    </row>
    <row r="40" spans="2:2" ht="15.75">
      <c r="B40" s="233" t="s">
        <v>621</v>
      </c>
    </row>
    <row r="41" spans="2:2" ht="15.75">
      <c r="B41" s="233" t="s">
        <v>622</v>
      </c>
    </row>
    <row r="42" spans="2:2" ht="15.75">
      <c r="B42" s="125" t="s">
        <v>495</v>
      </c>
    </row>
    <row r="43" spans="2:2" ht="15.75">
      <c r="B43" s="125" t="s">
        <v>498</v>
      </c>
    </row>
    <row r="44" spans="2:2" ht="15.75">
      <c r="B44" s="125"/>
    </row>
    <row r="45" spans="2:2" ht="15.75">
      <c r="B45" s="125" t="s">
        <v>623</v>
      </c>
    </row>
  </sheetData>
  <sheetProtection password="DF21" sheet="1" objects="1" scenarios="1"/>
  <phoneticPr fontId="1"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sheetPr codeName="Sheet2"/>
  <dimension ref="B3:G80"/>
  <sheetViews>
    <sheetView tabSelected="1" topLeftCell="A22" zoomScaleNormal="100" workbookViewId="0">
      <selection activeCell="C33" sqref="C33"/>
    </sheetView>
  </sheetViews>
  <sheetFormatPr defaultColWidth="9.125" defaultRowHeight="14.25"/>
  <cols>
    <col min="1" max="1" width="4.125" style="199" customWidth="1"/>
    <col min="2" max="2" width="39.625" style="200" customWidth="1"/>
    <col min="3" max="3" width="40.5" style="199" customWidth="1"/>
    <col min="4" max="5" width="16" style="197" customWidth="1"/>
    <col min="6" max="6" width="15.5" style="197" customWidth="1"/>
    <col min="7" max="7" width="15.5" style="198" customWidth="1"/>
    <col min="8" max="16384" width="9.125" style="199"/>
  </cols>
  <sheetData>
    <row r="3" spans="2:7" ht="25.5">
      <c r="B3" s="195" t="s">
        <v>41</v>
      </c>
      <c r="C3" s="196"/>
      <c r="D3" s="196"/>
    </row>
    <row r="4" spans="2:7">
      <c r="C4" s="198"/>
      <c r="D4" s="196"/>
    </row>
    <row r="5" spans="2:7">
      <c r="B5" s="201"/>
      <c r="C5" s="202" t="s">
        <v>40</v>
      </c>
      <c r="D5" s="203" t="s">
        <v>37</v>
      </c>
    </row>
    <row r="6" spans="2:7">
      <c r="B6" s="202" t="s">
        <v>76</v>
      </c>
      <c r="C6" s="25">
        <v>666.66600000000005</v>
      </c>
      <c r="D6" s="203" t="s">
        <v>39</v>
      </c>
    </row>
    <row r="7" spans="2:7">
      <c r="B7" s="202" t="s">
        <v>534</v>
      </c>
      <c r="C7" s="204">
        <f>C6*2</f>
        <v>1333.3320000000001</v>
      </c>
      <c r="D7" s="203" t="s">
        <v>530</v>
      </c>
    </row>
    <row r="8" spans="2:7">
      <c r="B8" s="202" t="s">
        <v>75</v>
      </c>
      <c r="C8" s="204">
        <f>FLOOR(1/CLOCK_FREQ*1000,0.001)</f>
        <v>1.5</v>
      </c>
      <c r="D8" s="203" t="s">
        <v>38</v>
      </c>
    </row>
    <row r="9" spans="2:7">
      <c r="B9" s="202" t="s">
        <v>524</v>
      </c>
      <c r="C9" s="26" t="s">
        <v>574</v>
      </c>
      <c r="D9" s="203"/>
    </row>
    <row r="10" spans="2:7">
      <c r="B10" s="202" t="s">
        <v>525</v>
      </c>
      <c r="C10" s="205">
        <f>HLOOKUP($C$9,datasheet_table,2,FALSE)</f>
        <v>1333</v>
      </c>
      <c r="D10" s="203" t="s">
        <v>530</v>
      </c>
    </row>
    <row r="11" spans="2:7">
      <c r="B11" s="206"/>
      <c r="C11" s="206"/>
      <c r="D11" s="207"/>
    </row>
    <row r="12" spans="2:7" ht="46.9" customHeight="1">
      <c r="B12" s="237" t="s">
        <v>443</v>
      </c>
      <c r="C12" s="237"/>
      <c r="D12" s="237"/>
      <c r="E12" s="237"/>
      <c r="F12" s="237"/>
      <c r="G12" s="237"/>
    </row>
    <row r="15" spans="2:7" ht="25.5">
      <c r="B15" s="195" t="s">
        <v>627</v>
      </c>
      <c r="C15" s="197"/>
    </row>
    <row r="17" spans="2:6" ht="57">
      <c r="B17" s="208"/>
      <c r="C17" s="208" t="s">
        <v>66</v>
      </c>
      <c r="D17" s="209" t="s">
        <v>582</v>
      </c>
      <c r="E17" s="209" t="s">
        <v>81</v>
      </c>
      <c r="F17" s="209" t="s">
        <v>82</v>
      </c>
    </row>
    <row r="18" spans="2:6" hidden="1">
      <c r="B18" s="210" t="s">
        <v>3</v>
      </c>
      <c r="C18" s="211" t="s">
        <v>74</v>
      </c>
      <c r="D18" s="212"/>
      <c r="E18" s="213">
        <f xml:space="preserve"> VLOOKUP(C18,Lookup!B3:C6,2,FALSE )</f>
        <v>0</v>
      </c>
      <c r="F18" s="213" t="str">
        <f t="shared" ref="F18:F28" si="0">DEC2HEX(E18)</f>
        <v>0</v>
      </c>
    </row>
    <row r="19" spans="2:6">
      <c r="B19" s="214" t="s">
        <v>4</v>
      </c>
      <c r="C19" s="29" t="s">
        <v>45</v>
      </c>
      <c r="D19" s="205" t="s">
        <v>45</v>
      </c>
      <c r="E19" s="215">
        <f>VLOOKUP(C19, Lookup!E3:F7, 2,FALSE )</f>
        <v>1</v>
      </c>
      <c r="F19" s="205" t="str">
        <f t="shared" si="0"/>
        <v>1</v>
      </c>
    </row>
    <row r="20" spans="2:6">
      <c r="B20" s="216" t="s">
        <v>5</v>
      </c>
      <c r="C20" s="29" t="s">
        <v>639</v>
      </c>
      <c r="D20" s="205" t="s">
        <v>583</v>
      </c>
      <c r="E20" s="215">
        <f>VLOOKUP(C20, Lookup!H3:I5, 2,FALSE )</f>
        <v>0</v>
      </c>
      <c r="F20" s="205" t="str">
        <f t="shared" si="0"/>
        <v>0</v>
      </c>
    </row>
    <row r="21" spans="2:6">
      <c r="B21" s="217" t="s">
        <v>6</v>
      </c>
      <c r="C21" s="29" t="s">
        <v>47</v>
      </c>
      <c r="D21" s="215" t="s">
        <v>47</v>
      </c>
      <c r="E21" s="215">
        <f>VLOOKUP(C21, Lookup!B12:C13, 2,FALSE )</f>
        <v>1</v>
      </c>
      <c r="F21" s="215" t="str">
        <f t="shared" si="0"/>
        <v>1</v>
      </c>
    </row>
    <row r="22" spans="2:6">
      <c r="B22" s="216" t="s">
        <v>458</v>
      </c>
      <c r="C22" s="29" t="s">
        <v>50</v>
      </c>
      <c r="D22" s="218"/>
      <c r="E22" s="215">
        <f>VLOOKUP(C22, Lookup!E12:F19, 2,FALSE )</f>
        <v>2</v>
      </c>
      <c r="F22" s="205" t="str">
        <f t="shared" si="0"/>
        <v>2</v>
      </c>
    </row>
    <row r="23" spans="2:6">
      <c r="B23" s="216" t="s">
        <v>320</v>
      </c>
      <c r="C23" s="30" t="s">
        <v>54</v>
      </c>
      <c r="D23" s="218"/>
      <c r="E23" s="205">
        <f>VLOOKUP(C23, Lookup!H12:I14, 2,FALSE )</f>
        <v>0</v>
      </c>
      <c r="F23" s="205" t="str">
        <f t="shared" si="0"/>
        <v>0</v>
      </c>
    </row>
    <row r="24" spans="2:6">
      <c r="B24" s="216" t="s">
        <v>608</v>
      </c>
      <c r="C24" s="30" t="s">
        <v>583</v>
      </c>
      <c r="D24" s="218"/>
      <c r="E24" s="205">
        <f>VLOOKUP(C24, Lookup!H18:I19, 2,FALSE )</f>
        <v>0</v>
      </c>
      <c r="F24" s="205" t="str">
        <f t="shared" si="0"/>
        <v>0</v>
      </c>
    </row>
    <row r="25" spans="2:6">
      <c r="B25" s="216" t="s">
        <v>459</v>
      </c>
      <c r="C25" s="30" t="s">
        <v>59</v>
      </c>
      <c r="D25" s="218"/>
      <c r="E25" s="205">
        <f>VLOOKUP(C25, Lookup!E34:F45, 2,FALSE )</f>
        <v>10</v>
      </c>
      <c r="F25" s="205" t="str">
        <f t="shared" si="0"/>
        <v>A</v>
      </c>
    </row>
    <row r="26" spans="2:6">
      <c r="B26" s="216" t="s">
        <v>11</v>
      </c>
      <c r="C26" s="30" t="s">
        <v>65</v>
      </c>
      <c r="D26" s="218"/>
      <c r="E26" s="205">
        <f>VLOOKUP(C26, Lookup!E23:F26, 2,FALSE )</f>
        <v>3</v>
      </c>
      <c r="F26" s="205" t="str">
        <f t="shared" si="0"/>
        <v>3</v>
      </c>
    </row>
    <row r="27" spans="2:6">
      <c r="B27" s="216" t="s">
        <v>14</v>
      </c>
      <c r="C27" s="30" t="s">
        <v>584</v>
      </c>
      <c r="D27" s="218"/>
      <c r="E27" s="205">
        <f>VLOOKUP(C27, Lookup!H23:I24, 2,FALSE )</f>
        <v>0</v>
      </c>
      <c r="F27" s="205" t="str">
        <f t="shared" si="0"/>
        <v>0</v>
      </c>
    </row>
    <row r="28" spans="2:6">
      <c r="B28" s="216" t="s">
        <v>13</v>
      </c>
      <c r="C28" s="30" t="s">
        <v>156</v>
      </c>
      <c r="D28" s="218"/>
      <c r="E28" s="205">
        <f>VLOOKUP(C28, Lookup!B34:C37, 2,FALSE )</f>
        <v>2</v>
      </c>
      <c r="F28" s="205" t="str">
        <f t="shared" si="0"/>
        <v>2</v>
      </c>
    </row>
    <row r="29" spans="2:6">
      <c r="B29" s="216" t="s">
        <v>455</v>
      </c>
      <c r="C29" s="31" t="s">
        <v>456</v>
      </c>
      <c r="D29" s="218"/>
      <c r="E29" s="205">
        <f>VLOOKUP(C29, Lookup!H68:I69, 2,FALSE )</f>
        <v>0</v>
      </c>
      <c r="F29" s="205" t="str">
        <f t="shared" ref="F29:F33" si="1">DEC2HEX(E29)</f>
        <v>0</v>
      </c>
    </row>
    <row r="30" spans="2:6">
      <c r="B30" s="216" t="s">
        <v>611</v>
      </c>
      <c r="C30" s="31" t="s">
        <v>616</v>
      </c>
      <c r="D30" s="205" t="s">
        <v>42</v>
      </c>
      <c r="E30" s="205">
        <f>VLOOKUP(C30, Lookup!H42:I43, 2,FALSE )</f>
        <v>11</v>
      </c>
      <c r="F30" s="205" t="str">
        <f t="shared" si="1"/>
        <v>B</v>
      </c>
    </row>
    <row r="31" spans="2:6">
      <c r="B31" s="216" t="s">
        <v>612</v>
      </c>
      <c r="C31" s="31" t="s">
        <v>617</v>
      </c>
      <c r="D31" s="205" t="s">
        <v>47</v>
      </c>
      <c r="E31" s="205">
        <f>VLOOKUP(C31, Lookup!H42:I43, 2,FALSE )</f>
        <v>13</v>
      </c>
      <c r="F31" s="205" t="str">
        <f t="shared" si="1"/>
        <v>D</v>
      </c>
    </row>
    <row r="32" spans="2:6">
      <c r="B32" s="216" t="s">
        <v>613</v>
      </c>
      <c r="C32" s="31" t="s">
        <v>615</v>
      </c>
      <c r="D32" s="205" t="s">
        <v>45</v>
      </c>
      <c r="E32" s="205">
        <f>VLOOKUP(C32, Lookup!H29:I29, 2,FALSE )</f>
        <v>5</v>
      </c>
      <c r="F32" s="205" t="str">
        <f t="shared" si="1"/>
        <v>5</v>
      </c>
    </row>
    <row r="33" spans="2:6">
      <c r="B33" s="216" t="s">
        <v>640</v>
      </c>
      <c r="C33" s="31" t="s">
        <v>643</v>
      </c>
      <c r="D33" s="205"/>
      <c r="E33" s="205">
        <f>VLOOKUP(C33, Lookup!B23:C24, 2,FALSE )</f>
        <v>2</v>
      </c>
      <c r="F33" s="205" t="str">
        <f t="shared" si="1"/>
        <v>2</v>
      </c>
    </row>
    <row r="36" spans="2:6" ht="25.5">
      <c r="B36" s="195" t="s">
        <v>104</v>
      </c>
      <c r="C36" s="197"/>
    </row>
    <row r="38" spans="2:6" ht="57">
      <c r="B38" s="208"/>
      <c r="C38" s="208" t="s">
        <v>112</v>
      </c>
      <c r="D38" s="203" t="s">
        <v>37</v>
      </c>
      <c r="E38" s="209" t="s">
        <v>81</v>
      </c>
      <c r="F38" s="209" t="s">
        <v>82</v>
      </c>
    </row>
    <row r="39" spans="2:6">
      <c r="B39" s="219" t="s">
        <v>98</v>
      </c>
      <c r="C39" s="32" t="s">
        <v>105</v>
      </c>
      <c r="D39" s="218"/>
      <c r="E39" s="205">
        <f>VLOOKUP(C39, Lookup!B49:C50, 2,FALSE )</f>
        <v>0</v>
      </c>
      <c r="F39" s="205" t="str">
        <f t="shared" ref="F39:F42" si="2">DEC2HEX(E39)</f>
        <v>0</v>
      </c>
    </row>
    <row r="40" spans="2:6">
      <c r="B40" s="219" t="s">
        <v>99</v>
      </c>
      <c r="C40" s="32" t="s">
        <v>106</v>
      </c>
      <c r="D40" s="218"/>
      <c r="E40" s="205">
        <f>VLOOKUP(C40, Lookup!B53:C54, 2,FALSE )</f>
        <v>0</v>
      </c>
      <c r="F40" s="205" t="str">
        <f t="shared" si="2"/>
        <v>0</v>
      </c>
    </row>
    <row r="41" spans="2:6">
      <c r="B41" s="219" t="s">
        <v>100</v>
      </c>
      <c r="C41" s="32" t="s">
        <v>453</v>
      </c>
      <c r="D41" s="218"/>
      <c r="E41" s="205">
        <f>VLOOKUP(C41, Lookup!E49:F50, 2,FALSE )</f>
        <v>1</v>
      </c>
      <c r="F41" s="205" t="str">
        <f t="shared" si="2"/>
        <v>1</v>
      </c>
    </row>
    <row r="42" spans="2:6">
      <c r="B42" s="220" t="s">
        <v>101</v>
      </c>
      <c r="C42" s="32" t="s">
        <v>660</v>
      </c>
      <c r="D42" s="218"/>
      <c r="E42" s="205">
        <f>VLOOKUP(C42, Lookup!H49:I56, 2,FALSE )</f>
        <v>0</v>
      </c>
      <c r="F42" s="205" t="str">
        <f t="shared" si="2"/>
        <v>0</v>
      </c>
    </row>
    <row r="43" spans="2:6">
      <c r="B43" s="220" t="s">
        <v>109</v>
      </c>
      <c r="C43" s="221">
        <f>64000/8192</f>
        <v>7.8125</v>
      </c>
      <c r="D43" s="203" t="s">
        <v>110</v>
      </c>
      <c r="E43" s="205">
        <f>CEILING(C43*1000/CLOCK_PERIOD, 1)</f>
        <v>5209</v>
      </c>
      <c r="F43" s="205" t="str">
        <f>DEC2HEX(E43,4)</f>
        <v>1459</v>
      </c>
    </row>
    <row r="44" spans="2:6">
      <c r="B44" s="220" t="s">
        <v>111</v>
      </c>
      <c r="C44" s="221">
        <f>32000/8192</f>
        <v>3.90625</v>
      </c>
      <c r="D44" s="203" t="s">
        <v>110</v>
      </c>
      <c r="E44" s="205">
        <f>CEILING(C44*1000/CLOCK_PERIOD, 1)</f>
        <v>2605</v>
      </c>
      <c r="F44" s="205" t="str">
        <f t="shared" ref="F44" si="3">DEC2HEX(E44,4)</f>
        <v>0A2D</v>
      </c>
    </row>
    <row r="46" spans="2:6">
      <c r="B46" s="222"/>
      <c r="C46" s="223"/>
      <c r="D46" s="196"/>
    </row>
    <row r="47" spans="2:6" ht="25.5">
      <c r="B47" s="195" t="s">
        <v>628</v>
      </c>
      <c r="C47" s="196"/>
      <c r="D47" s="196"/>
    </row>
    <row r="48" spans="2:6">
      <c r="C48" s="198"/>
      <c r="D48" s="196"/>
    </row>
    <row r="49" spans="2:7" ht="57">
      <c r="B49" s="208" t="s">
        <v>311</v>
      </c>
      <c r="C49" s="208" t="s">
        <v>67</v>
      </c>
      <c r="D49" s="203" t="s">
        <v>37</v>
      </c>
      <c r="E49" s="209" t="s">
        <v>81</v>
      </c>
      <c r="F49" s="209" t="s">
        <v>82</v>
      </c>
      <c r="G49" s="208" t="s">
        <v>312</v>
      </c>
    </row>
    <row r="50" spans="2:7">
      <c r="B50" s="216" t="s">
        <v>17</v>
      </c>
      <c r="C50" s="224">
        <f>HLOOKUP($C$9,datasheet_table,3,FALSE)</f>
        <v>13.5</v>
      </c>
      <c r="D50" s="203" t="s">
        <v>38</v>
      </c>
      <c r="E50" s="205">
        <f>CEILING(C50/CLOCK_PERIOD,1)</f>
        <v>9</v>
      </c>
      <c r="F50" s="205" t="str">
        <f t="shared" ref="F50:F56" si="4">DEC2HEX(E50)</f>
        <v>9</v>
      </c>
      <c r="G50" s="216"/>
    </row>
    <row r="51" spans="2:7">
      <c r="B51" s="216" t="s">
        <v>18</v>
      </c>
      <c r="C51" s="224">
        <f>HLOOKUP($C$9,datasheet_table,5,FALSE)</f>
        <v>13.5</v>
      </c>
      <c r="D51" s="203" t="s">
        <v>38</v>
      </c>
      <c r="E51" s="205">
        <f>CEILING(C51/CLOCK_PERIOD,1)</f>
        <v>9</v>
      </c>
      <c r="F51" s="205" t="str">
        <f t="shared" si="4"/>
        <v>9</v>
      </c>
      <c r="G51" s="216"/>
    </row>
    <row r="52" spans="2:7">
      <c r="B52" s="216" t="s">
        <v>19</v>
      </c>
      <c r="C52" s="224">
        <f>HLOOKUP($C$9,datasheet_table,7,FALSE)</f>
        <v>15</v>
      </c>
      <c r="D52" s="203" t="s">
        <v>38</v>
      </c>
      <c r="E52" s="205">
        <f>CEILING(C52/CLOCK_PERIOD,1)</f>
        <v>10</v>
      </c>
      <c r="F52" s="205" t="str">
        <f t="shared" si="4"/>
        <v>A</v>
      </c>
      <c r="G52" s="216">
        <f>VLOOKUP(t_wr_val, desc_WRITE_RECOVERY, 2,FALSE )</f>
        <v>5</v>
      </c>
    </row>
    <row r="53" spans="2:7">
      <c r="B53" s="216" t="s">
        <v>20</v>
      </c>
      <c r="C53" s="224">
        <f>HLOOKUP($C$9,datasheet_table,9,FALSE)</f>
        <v>36</v>
      </c>
      <c r="D53" s="203" t="s">
        <v>38</v>
      </c>
      <c r="E53" s="205">
        <f>CEILING(C53/CLOCK_PERIOD,1)</f>
        <v>24</v>
      </c>
      <c r="F53" s="205" t="str">
        <f t="shared" si="4"/>
        <v>18</v>
      </c>
      <c r="G53" s="216"/>
    </row>
    <row r="54" spans="2:7">
      <c r="B54" s="216" t="s">
        <v>21</v>
      </c>
      <c r="C54" s="224">
        <f>HLOOKUP($C$9,datasheet_table,11,FALSE)</f>
        <v>49.5</v>
      </c>
      <c r="D54" s="203" t="s">
        <v>38</v>
      </c>
      <c r="E54" s="205">
        <f>CEILING(C54/CLOCK_PERIOD,1)</f>
        <v>33</v>
      </c>
      <c r="F54" s="205" t="str">
        <f t="shared" si="4"/>
        <v>21</v>
      </c>
      <c r="G54" s="216"/>
    </row>
    <row r="55" spans="2:7">
      <c r="B55" s="205" t="s">
        <v>125</v>
      </c>
      <c r="C55" s="225">
        <f>HLOOKUP($C$9,datasheet_table,13,FALSE)</f>
        <v>45</v>
      </c>
      <c r="D55" s="203" t="s">
        <v>38</v>
      </c>
      <c r="E55" s="205">
        <f t="shared" ref="E55:E64" si="5">CEILING(C55/CLOCK_PERIOD,1)</f>
        <v>30</v>
      </c>
      <c r="F55" s="205" t="str">
        <f t="shared" ref="F55" si="6">DEC2HEX(E55)</f>
        <v>1E</v>
      </c>
      <c r="G55" s="216"/>
    </row>
    <row r="56" spans="2:7">
      <c r="B56" s="216" t="s">
        <v>23</v>
      </c>
      <c r="C56" s="224">
        <f>HLOOKUP($C$9,datasheet_table,15,FALSE)</f>
        <v>7.5</v>
      </c>
      <c r="D56" s="203" t="s">
        <v>38</v>
      </c>
      <c r="E56" s="205">
        <f t="shared" si="5"/>
        <v>5</v>
      </c>
      <c r="F56" s="205" t="str">
        <f t="shared" si="4"/>
        <v>5</v>
      </c>
      <c r="G56" s="216"/>
    </row>
    <row r="57" spans="2:7">
      <c r="B57" s="216" t="s">
        <v>28</v>
      </c>
      <c r="C57" s="224">
        <f>HLOOKUP($C$9,datasheet_table,17,FALSE)</f>
        <v>7.5</v>
      </c>
      <c r="D57" s="203" t="s">
        <v>38</v>
      </c>
      <c r="E57" s="205">
        <f>CEILING(C57/CLOCK_PERIOD,1)</f>
        <v>5</v>
      </c>
      <c r="F57" s="205" t="str">
        <f>DEC2HEX(E57)</f>
        <v>5</v>
      </c>
      <c r="G57" s="216"/>
    </row>
    <row r="58" spans="2:7">
      <c r="B58" s="216" t="s">
        <v>34</v>
      </c>
      <c r="C58" s="225">
        <f>HLOOKUP($C$9,datasheet_table,19,FALSE)</f>
        <v>260</v>
      </c>
      <c r="D58" s="203" t="s">
        <v>38</v>
      </c>
      <c r="E58" s="205">
        <f>CEILING(C58/CLOCK_PERIOD,1)</f>
        <v>174</v>
      </c>
      <c r="F58" s="205" t="str">
        <f>DEC2HEX(E58)</f>
        <v>AE</v>
      </c>
      <c r="G58" s="216"/>
    </row>
    <row r="59" spans="2:7">
      <c r="B59" s="226" t="s">
        <v>504</v>
      </c>
      <c r="C59" s="225">
        <f>HLOOKUP($C$9,datasheet_table,13,FALSE)</f>
        <v>45</v>
      </c>
      <c r="D59" s="203" t="s">
        <v>38</v>
      </c>
      <c r="E59" s="205">
        <f>CEILING(C59/(CLOCK_PERIOD*4),1)</f>
        <v>8</v>
      </c>
      <c r="F59" s="205" t="str">
        <f t="shared" ref="F59" si="7">DEC2HEX(E59)</f>
        <v>8</v>
      </c>
      <c r="G59" s="216"/>
    </row>
    <row r="60" spans="2:7">
      <c r="B60" s="227" t="s">
        <v>503</v>
      </c>
      <c r="C60" s="228">
        <f>HLOOKUP($C$9,datasheet_table,21,FALSE)</f>
        <v>7.5</v>
      </c>
      <c r="D60" s="229" t="s">
        <v>38</v>
      </c>
      <c r="E60" s="227">
        <f>CEILING(C60/CLOCK_PERIOD,1)</f>
        <v>5</v>
      </c>
      <c r="F60" s="227" t="str">
        <f>DEC2HEX(E60)</f>
        <v>5</v>
      </c>
      <c r="G60" s="227"/>
    </row>
    <row r="61" spans="2:7">
      <c r="B61" s="227" t="s">
        <v>24</v>
      </c>
      <c r="C61" s="228">
        <f>HLOOKUP($C$9,datasheet_table,23,FALSE)</f>
        <v>6</v>
      </c>
      <c r="D61" s="229" t="s">
        <v>38</v>
      </c>
      <c r="E61" s="227">
        <f t="shared" si="5"/>
        <v>4</v>
      </c>
      <c r="F61" s="227" t="str">
        <f t="shared" ref="F61:F75" si="8">DEC2HEX(E61)</f>
        <v>4</v>
      </c>
      <c r="G61" s="227"/>
    </row>
    <row r="62" spans="2:7">
      <c r="B62" s="227" t="s">
        <v>29</v>
      </c>
      <c r="C62" s="227">
        <f>HLOOKUP($C$9,datasheet_table,25,FALSE)</f>
        <v>5.625</v>
      </c>
      <c r="D62" s="229" t="s">
        <v>38</v>
      </c>
      <c r="E62" s="227">
        <f>CEILING(C62/CLOCK_PERIOD,1)</f>
        <v>4</v>
      </c>
      <c r="F62" s="227" t="str">
        <f>DEC2HEX(E62)</f>
        <v>4</v>
      </c>
      <c r="G62" s="227"/>
    </row>
    <row r="63" spans="2:7">
      <c r="B63" s="227" t="s">
        <v>117</v>
      </c>
      <c r="C63" s="228">
        <f>HLOOKUP($C$9,datasheet_table,27,FALSE)</f>
        <v>270</v>
      </c>
      <c r="D63" s="229" t="s">
        <v>38</v>
      </c>
      <c r="E63" s="227">
        <f t="shared" si="5"/>
        <v>180</v>
      </c>
      <c r="F63" s="227" t="str">
        <f t="shared" si="8"/>
        <v>B4</v>
      </c>
      <c r="G63" s="227"/>
    </row>
    <row r="64" spans="2:7">
      <c r="B64" s="227" t="s">
        <v>128</v>
      </c>
      <c r="C64" s="228">
        <f>HLOOKUP($C$9,datasheet_table,27,FALSE)</f>
        <v>270</v>
      </c>
      <c r="D64" s="229" t="s">
        <v>38</v>
      </c>
      <c r="E64" s="227">
        <f t="shared" si="5"/>
        <v>180</v>
      </c>
      <c r="F64" s="227" t="str">
        <f t="shared" si="8"/>
        <v>B4</v>
      </c>
      <c r="G64" s="227"/>
    </row>
    <row r="65" spans="2:7">
      <c r="B65" s="228" t="s">
        <v>118</v>
      </c>
      <c r="C65" s="227">
        <f>HLOOKUP($C$9,datasheet_table,29,FALSE)</f>
        <v>512</v>
      </c>
      <c r="D65" s="229" t="s">
        <v>122</v>
      </c>
      <c r="E65" s="227">
        <f>C65</f>
        <v>512</v>
      </c>
      <c r="F65" s="227" t="str">
        <f t="shared" si="8"/>
        <v>200</v>
      </c>
      <c r="G65" s="227"/>
    </row>
    <row r="66" spans="2:7">
      <c r="B66" s="228" t="s">
        <v>126</v>
      </c>
      <c r="C66" s="227">
        <f>HLOOKUP($C$9,datasheet_table,29,FALSE)</f>
        <v>512</v>
      </c>
      <c r="D66" s="229" t="s">
        <v>122</v>
      </c>
      <c r="E66" s="227">
        <f>C66</f>
        <v>512</v>
      </c>
      <c r="F66" s="227" t="str">
        <f t="shared" si="8"/>
        <v>200</v>
      </c>
      <c r="G66" s="227"/>
    </row>
    <row r="67" spans="2:7">
      <c r="B67" s="228" t="s">
        <v>306</v>
      </c>
      <c r="C67" s="227">
        <f>HLOOKUP($C$9,datasheet_table,29,FALSE)</f>
        <v>512</v>
      </c>
      <c r="D67" s="229" t="s">
        <v>122</v>
      </c>
      <c r="E67" s="227">
        <f>C67</f>
        <v>512</v>
      </c>
      <c r="F67" s="227" t="str">
        <f t="shared" si="8"/>
        <v>200</v>
      </c>
      <c r="G67" s="227"/>
    </row>
    <row r="68" spans="2:7">
      <c r="B68" s="227" t="s">
        <v>68</v>
      </c>
      <c r="C68" s="228">
        <f>HLOOKUP($C$9,datasheet_table,31,FALSE)</f>
        <v>7.125</v>
      </c>
      <c r="D68" s="230" t="s">
        <v>38</v>
      </c>
      <c r="E68" s="227">
        <f>CEILING(C68/CLOCK_PERIOD,1)</f>
        <v>5</v>
      </c>
      <c r="F68" s="228" t="str">
        <f t="shared" si="8"/>
        <v>5</v>
      </c>
      <c r="G68" s="227"/>
    </row>
    <row r="69" spans="2:7">
      <c r="B69" s="227" t="s">
        <v>36</v>
      </c>
      <c r="C69" s="228">
        <f>HLOOKUP($C$9,datasheet_table,33,FALSE)</f>
        <v>96</v>
      </c>
      <c r="D69" s="230" t="s">
        <v>38</v>
      </c>
      <c r="E69" s="227">
        <f>CEILING(C69/CLOCK_PERIOD,1)</f>
        <v>64</v>
      </c>
      <c r="F69" s="227" t="str">
        <f t="shared" si="8"/>
        <v>40</v>
      </c>
      <c r="G69" s="227"/>
    </row>
    <row r="70" spans="2:7">
      <c r="B70" s="227" t="s">
        <v>302</v>
      </c>
      <c r="C70" s="228">
        <f>HLOOKUP($C$9,datasheet_table,35,FALSE)</f>
        <v>4</v>
      </c>
      <c r="D70" s="229" t="s">
        <v>122</v>
      </c>
      <c r="E70" s="227">
        <f>C70</f>
        <v>4</v>
      </c>
      <c r="F70" s="227" t="str">
        <f t="shared" si="8"/>
        <v>4</v>
      </c>
      <c r="G70" s="227">
        <f>VLOOKUP(t_ccd_val, desc_COMMAND_DELAY, 2,FALSE )</f>
        <v>0</v>
      </c>
    </row>
    <row r="71" spans="2:7">
      <c r="B71" s="227" t="s">
        <v>299</v>
      </c>
      <c r="C71" s="228">
        <f>HLOOKUP($C$9,datasheet_table,37,FALSE)</f>
        <v>4</v>
      </c>
      <c r="D71" s="229" t="s">
        <v>122</v>
      </c>
      <c r="E71" s="227">
        <f>C71</f>
        <v>4</v>
      </c>
      <c r="F71" s="227" t="str">
        <f t="shared" si="8"/>
        <v>4</v>
      </c>
      <c r="G71" s="227">
        <f>VLOOKUP(t_mrd_val, desc_MODE_CYCLE_TIME, 2,FALSE )</f>
        <v>0</v>
      </c>
    </row>
    <row r="72" spans="2:7">
      <c r="B72" s="227" t="s">
        <v>298</v>
      </c>
      <c r="C72" s="228">
        <f>HLOOKUP($C$9,datasheet_table,39,FALSE)</f>
        <v>18</v>
      </c>
      <c r="D72" s="229" t="s">
        <v>38</v>
      </c>
      <c r="E72" s="227">
        <f>CEILING(C72/CLOCK_PERIOD,1)</f>
        <v>12</v>
      </c>
      <c r="F72" s="227" t="str">
        <f t="shared" si="8"/>
        <v>C</v>
      </c>
      <c r="G72" s="227">
        <f>VLOOKUP(t_mod_val, desc_MODE_UPDATE_DELAY, 2,FALSE )</f>
        <v>0</v>
      </c>
    </row>
    <row r="73" spans="2:7">
      <c r="B73" s="227" t="s">
        <v>296</v>
      </c>
      <c r="C73" s="228">
        <f>HLOOKUP($C$9,datasheet_table,41,FALSE)</f>
        <v>0</v>
      </c>
      <c r="D73" s="229" t="s">
        <v>38</v>
      </c>
      <c r="E73" s="227">
        <f>CEILING(C73/CLOCK_PERIOD,1)</f>
        <v>0</v>
      </c>
      <c r="F73" s="227" t="str">
        <f t="shared" si="8"/>
        <v>0</v>
      </c>
      <c r="G73" s="227"/>
    </row>
    <row r="74" spans="2:7">
      <c r="B74" s="227" t="s">
        <v>297</v>
      </c>
      <c r="C74" s="228">
        <f>HLOOKUP($C$9,datasheet_table,43,FALSE)</f>
        <v>40</v>
      </c>
      <c r="D74" s="229" t="s">
        <v>122</v>
      </c>
      <c r="E74" s="227">
        <f>C74</f>
        <v>40</v>
      </c>
      <c r="F74" s="227" t="str">
        <f t="shared" si="8"/>
        <v>28</v>
      </c>
      <c r="G74" s="227"/>
    </row>
    <row r="75" spans="2:7">
      <c r="B75" s="227" t="s">
        <v>317</v>
      </c>
      <c r="C75" s="228">
        <f>HLOOKUP($C$9,datasheet_table,45,FALSE)</f>
        <v>24</v>
      </c>
      <c r="D75" s="229" t="s">
        <v>38</v>
      </c>
      <c r="E75" s="227">
        <f>CEILING(C75/CLOCK_PERIOD,1)</f>
        <v>16</v>
      </c>
      <c r="F75" s="227" t="str">
        <f t="shared" si="8"/>
        <v>10</v>
      </c>
      <c r="G75" s="227"/>
    </row>
    <row r="76" spans="2:7">
      <c r="B76" s="120" t="s">
        <v>581</v>
      </c>
      <c r="C76" s="231"/>
    </row>
    <row r="77" spans="2:7">
      <c r="C77" s="231"/>
    </row>
    <row r="78" spans="2:7">
      <c r="C78" s="231"/>
    </row>
    <row r="80" spans="2:7">
      <c r="B80" s="232" t="s">
        <v>529</v>
      </c>
    </row>
  </sheetData>
  <sheetProtection password="DF21" sheet="1" objects="1" scenarios="1"/>
  <mergeCells count="1">
    <mergeCell ref="B12:G12"/>
  </mergeCells>
  <phoneticPr fontId="1" type="noConversion"/>
  <dataValidations count="20">
    <dataValidation type="list" allowBlank="1" showInputMessage="1" showErrorMessage="1" sqref="C18">
      <formula1>desc_IBANK_POS</formula1>
    </dataValidation>
    <dataValidation type="list" allowBlank="1" showInputMessage="1" showErrorMessage="1" sqref="C19">
      <formula1>desc_DDR_TERM</formula1>
    </dataValidation>
    <dataValidation type="list" allowBlank="1" showInputMessage="1" showErrorMessage="1" sqref="C20">
      <formula1>desc_DYN_ODT</formula1>
    </dataValidation>
    <dataValidation type="list" allowBlank="1" showInputMessage="1" showErrorMessage="1" sqref="C21">
      <formula1>desc_SDRAM_DRIVE</formula1>
    </dataValidation>
    <dataValidation type="list" allowBlank="1" showInputMessage="1" showErrorMessage="1" sqref="C22">
      <formula1>desc_CWL</formula1>
    </dataValidation>
    <dataValidation type="list" allowBlank="1" showInputMessage="1" showErrorMessage="1" sqref="C23">
      <formula1>desc_NM</formula1>
    </dataValidation>
    <dataValidation type="list" allowBlank="1" showInputMessage="1" showErrorMessage="1" sqref="C25">
      <formula1>desc_CL</formula1>
    </dataValidation>
    <dataValidation type="list" allowBlank="1" showInputMessage="1" showErrorMessage="1" sqref="C26">
      <formula1>desc_IBANK</formula1>
    </dataValidation>
    <dataValidation type="list" allowBlank="1" showInputMessage="1" showErrorMessage="1" sqref="C27">
      <formula1>desc_EBANK</formula1>
    </dataValidation>
    <dataValidation type="list" allowBlank="1" showInputMessage="1" showErrorMessage="1" sqref="C28">
      <formula1>desc_PAGESIZE</formula1>
    </dataValidation>
    <dataValidation type="list" allowBlank="1" showInputMessage="1" showErrorMessage="1" sqref="C39">
      <formula1>desc_INITREF_DIS</formula1>
    </dataValidation>
    <dataValidation type="list" allowBlank="1" showInputMessage="1" showErrorMessage="1" sqref="C40">
      <formula1>desc_SRT</formula1>
    </dataValidation>
    <dataValidation type="list" allowBlank="1" showInputMessage="1" showErrorMessage="1" sqref="C41">
      <formula1>desc_ASR</formula1>
    </dataValidation>
    <dataValidation type="list" allowBlank="1" showInputMessage="1" showErrorMessage="1" sqref="C42">
      <formula1>desc_PASR</formula1>
    </dataValidation>
    <dataValidation type="list" allowBlank="1" showInputMessage="1" showErrorMessage="1" sqref="C9">
      <formula1>desc_Device</formula1>
    </dataValidation>
    <dataValidation type="list" allowBlank="1" showInputMessage="1" showErrorMessage="1" sqref="C29">
      <formula1>desc_address_mirroring</formula1>
    </dataValidation>
    <dataValidation type="list" allowBlank="1" showInputMessage="1" showErrorMessage="1" sqref="C24">
      <formula1>desc_ECC_Byte</formula1>
    </dataValidation>
    <dataValidation type="list" allowBlank="1" showInputMessage="1" showErrorMessage="1" sqref="C32">
      <formula1>desc_PHY_ODT</formula1>
    </dataValidation>
    <dataValidation type="list" allowBlank="1" showInputMessage="1" showErrorMessage="1" sqref="C30:C31">
      <formula1>desc_PHY_ZO</formula1>
    </dataValidation>
    <dataValidation type="list" allowBlank="1" showInputMessage="1" showErrorMessage="1" sqref="C33">
      <formula1>desc_PHY_MODE</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sheetPr codeName="Sheet1"/>
  <dimension ref="A1:K125"/>
  <sheetViews>
    <sheetView topLeftCell="A104" zoomScaleNormal="100" workbookViewId="0">
      <selection activeCell="C70" sqref="C70"/>
    </sheetView>
  </sheetViews>
  <sheetFormatPr defaultColWidth="19" defaultRowHeight="14.25"/>
  <cols>
    <col min="1" max="1" width="4.125" style="3" customWidth="1"/>
    <col min="2" max="9" width="19" style="2" customWidth="1"/>
    <col min="10" max="10" width="13.875" style="3" customWidth="1"/>
    <col min="11" max="16384" width="19" style="3"/>
  </cols>
  <sheetData>
    <row r="1" spans="1:9">
      <c r="A1" s="34"/>
      <c r="B1" s="35"/>
    </row>
    <row r="2" spans="1:9">
      <c r="C2" s="36"/>
      <c r="D2" s="37"/>
      <c r="E2" s="38"/>
    </row>
    <row r="3" spans="1:9" s="10" customFormat="1" ht="25.5">
      <c r="B3" s="39" t="s">
        <v>91</v>
      </c>
      <c r="C3" s="35"/>
      <c r="D3" s="35"/>
      <c r="E3" s="35"/>
      <c r="F3" s="35"/>
      <c r="G3" s="35"/>
      <c r="H3" s="35"/>
      <c r="I3" s="35"/>
    </row>
    <row r="4" spans="1:9" ht="15" thickBot="1"/>
    <row r="5" spans="1:9">
      <c r="B5" s="40" t="s">
        <v>84</v>
      </c>
      <c r="C5" s="41" t="s">
        <v>184</v>
      </c>
      <c r="D5" s="42" t="s">
        <v>80</v>
      </c>
    </row>
    <row r="6" spans="1:9">
      <c r="B6" s="43" t="s">
        <v>168</v>
      </c>
      <c r="C6" s="33" t="str">
        <f>C26</f>
        <v>21020018</v>
      </c>
      <c r="D6" s="133" t="str">
        <f>D26</f>
        <v>125C8074</v>
      </c>
    </row>
    <row r="7" spans="1:9">
      <c r="B7" s="43" t="s">
        <v>169</v>
      </c>
      <c r="C7" s="33" t="str">
        <f>C38</f>
        <v>2102001C</v>
      </c>
      <c r="D7" s="133" t="str">
        <f>D38</f>
        <v>00001D08</v>
      </c>
    </row>
    <row r="8" spans="1:9">
      <c r="B8" s="43" t="s">
        <v>167</v>
      </c>
      <c r="C8" s="33" t="str">
        <f>C50</f>
        <v>21020020</v>
      </c>
      <c r="D8" s="133" t="str">
        <f>D50</f>
        <v>32CDFF43</v>
      </c>
    </row>
    <row r="9" spans="1:9">
      <c r="B9" s="43" t="s">
        <v>166</v>
      </c>
      <c r="C9" s="33" t="str">
        <f>C62</f>
        <v>21020028</v>
      </c>
      <c r="D9" s="133" t="str">
        <f>D62</f>
        <v>F43F0ADF</v>
      </c>
    </row>
    <row r="10" spans="1:9">
      <c r="B10" s="43" t="s">
        <v>0</v>
      </c>
      <c r="C10" s="33" t="str">
        <f>C74</f>
        <v>21020008</v>
      </c>
      <c r="D10" s="133" t="str">
        <f>D74</f>
        <v>62008A62</v>
      </c>
    </row>
    <row r="11" spans="1:9">
      <c r="B11" s="43" t="s">
        <v>115</v>
      </c>
      <c r="C11" s="33" t="str">
        <f>C91</f>
        <v>21020010</v>
      </c>
      <c r="D11" s="133" t="str">
        <f>D91</f>
        <v>00001458</v>
      </c>
    </row>
    <row r="12" spans="1:9" ht="28.5">
      <c r="B12" s="44" t="s">
        <v>116</v>
      </c>
      <c r="C12" s="45" t="str">
        <f>C91</f>
        <v>21020010</v>
      </c>
      <c r="D12" s="134" t="str">
        <f>E91</f>
        <v>00000A2C</v>
      </c>
    </row>
    <row r="13" spans="1:9" ht="15" thickBot="1">
      <c r="B13" s="46" t="s">
        <v>515</v>
      </c>
      <c r="C13" s="47" t="str">
        <f>C114</f>
        <v>210200C8</v>
      </c>
      <c r="D13" s="135" t="str">
        <f>D114</f>
        <v>70073200</v>
      </c>
    </row>
    <row r="14" spans="1:9">
      <c r="B14" s="3"/>
      <c r="C14" s="3"/>
      <c r="D14" s="3"/>
    </row>
    <row r="19" spans="2:11" s="10" customFormat="1" ht="25.5">
      <c r="B19" s="39" t="s">
        <v>92</v>
      </c>
      <c r="C19" s="35"/>
      <c r="D19" s="35"/>
      <c r="E19" s="35"/>
      <c r="F19" s="35"/>
      <c r="G19" s="35"/>
      <c r="H19" s="35"/>
      <c r="I19" s="35"/>
    </row>
    <row r="20" spans="2:11">
      <c r="B20" s="48"/>
      <c r="C20" s="48"/>
      <c r="G20" s="35"/>
      <c r="H20" s="35"/>
      <c r="I20" s="35"/>
      <c r="J20" s="10"/>
    </row>
    <row r="21" spans="2:11" ht="42.75">
      <c r="B21" s="48" t="s">
        <v>183</v>
      </c>
      <c r="C21" s="49">
        <v>21020000</v>
      </c>
      <c r="G21" s="35"/>
      <c r="H21" s="35"/>
      <c r="I21" s="35"/>
      <c r="J21" s="10"/>
    </row>
    <row r="22" spans="2:11">
      <c r="B22" s="48"/>
      <c r="C22" s="48"/>
      <c r="G22" s="35"/>
      <c r="H22" s="35"/>
      <c r="I22" s="35"/>
      <c r="J22" s="10"/>
    </row>
    <row r="23" spans="2:11">
      <c r="B23" s="48"/>
      <c r="C23" s="48"/>
      <c r="G23" s="35"/>
      <c r="H23" s="35"/>
      <c r="I23" s="35"/>
      <c r="J23" s="10"/>
    </row>
    <row r="24" spans="2:11" s="51" customFormat="1" ht="28.5">
      <c r="B24" s="50" t="s">
        <v>77</v>
      </c>
      <c r="C24" s="4" t="s">
        <v>69</v>
      </c>
      <c r="D24" s="4" t="s">
        <v>80</v>
      </c>
      <c r="E24" s="50"/>
      <c r="F24" s="50"/>
      <c r="G24" s="50"/>
      <c r="H24" s="50"/>
      <c r="I24" s="2"/>
      <c r="J24" s="50"/>
      <c r="K24" s="50"/>
    </row>
    <row r="25" spans="2:11">
      <c r="B25" s="52"/>
      <c r="C25" s="15"/>
      <c r="D25" s="15"/>
      <c r="E25" s="53"/>
      <c r="F25" s="53"/>
      <c r="G25" s="53"/>
      <c r="H25" s="53"/>
      <c r="J25" s="53"/>
      <c r="K25" s="53"/>
    </row>
    <row r="26" spans="2:11">
      <c r="B26" s="54" t="s">
        <v>168</v>
      </c>
      <c r="C26" s="54" t="str">
        <f>DEC2HEX(HEX2DEC($C$21)+HEX2DEC("18"),8)</f>
        <v>21020018</v>
      </c>
      <c r="D26" s="55" t="str">
        <f>DEC2HEX(SUM(B28:G28),8)</f>
        <v>125C8074</v>
      </c>
      <c r="J26" s="2"/>
      <c r="K26" s="2"/>
    </row>
    <row r="27" spans="2:11">
      <c r="J27" s="2"/>
      <c r="K27" s="2"/>
    </row>
    <row r="28" spans="2:11" s="11" customFormat="1" hidden="1">
      <c r="B28" s="56">
        <f>2^B29*B32</f>
        <v>0</v>
      </c>
      <c r="C28" s="56">
        <f t="shared" ref="C28:G28" si="0">2^C29*C32</f>
        <v>301989888</v>
      </c>
      <c r="D28" s="56">
        <f t="shared" si="0"/>
        <v>6029312</v>
      </c>
      <c r="E28" s="56">
        <f t="shared" si="0"/>
        <v>32768</v>
      </c>
      <c r="F28" s="56">
        <f t="shared" si="0"/>
        <v>112</v>
      </c>
      <c r="G28" s="56">
        <f t="shared" si="0"/>
        <v>4</v>
      </c>
      <c r="H28" s="56"/>
      <c r="I28" s="2"/>
      <c r="J28" s="2"/>
    </row>
    <row r="29" spans="2:11" s="11" customFormat="1" hidden="1">
      <c r="B29" s="56">
        <v>30</v>
      </c>
      <c r="C29" s="56">
        <v>25</v>
      </c>
      <c r="D29" s="56">
        <v>18</v>
      </c>
      <c r="E29" s="56">
        <v>10</v>
      </c>
      <c r="F29" s="56">
        <v>4</v>
      </c>
      <c r="G29" s="56">
        <v>0</v>
      </c>
      <c r="H29" s="56"/>
      <c r="I29" s="2"/>
      <c r="J29" s="2"/>
    </row>
    <row r="30" spans="2:11">
      <c r="B30" s="53" t="s">
        <v>160</v>
      </c>
      <c r="C30" s="53" t="s">
        <v>161</v>
      </c>
      <c r="D30" s="53" t="s">
        <v>162</v>
      </c>
      <c r="E30" s="53" t="s">
        <v>163</v>
      </c>
      <c r="F30" s="53" t="s">
        <v>164</v>
      </c>
      <c r="G30" s="53" t="s">
        <v>35</v>
      </c>
      <c r="H30" s="53"/>
      <c r="J30" s="2"/>
    </row>
    <row r="31" spans="2:11">
      <c r="B31" s="2" t="s">
        <v>16</v>
      </c>
      <c r="C31" s="2" t="s">
        <v>19</v>
      </c>
      <c r="D31" s="2" t="s">
        <v>20</v>
      </c>
      <c r="E31" s="2" t="s">
        <v>21</v>
      </c>
      <c r="F31" s="2" t="s">
        <v>22</v>
      </c>
      <c r="G31" s="2" t="s">
        <v>23</v>
      </c>
      <c r="H31" s="53"/>
      <c r="J31" s="2"/>
    </row>
    <row r="32" spans="2:11">
      <c r="B32" s="136">
        <v>0</v>
      </c>
      <c r="C32" s="57">
        <f>t_wr_val-1</f>
        <v>9</v>
      </c>
      <c r="D32" s="57">
        <f>t_ras_val-1</f>
        <v>23</v>
      </c>
      <c r="E32" s="57">
        <f>t_rc_val-1</f>
        <v>32</v>
      </c>
      <c r="F32" s="57">
        <f>t_rrd_emif_val-1</f>
        <v>7</v>
      </c>
      <c r="G32" s="57">
        <f>t_wtr_val-1</f>
        <v>4</v>
      </c>
      <c r="J32" s="2"/>
    </row>
    <row r="33" spans="2:11">
      <c r="C33" s="1" t="str">
        <f>DEC2HEX(C32)</f>
        <v>9</v>
      </c>
      <c r="D33" s="1" t="str">
        <f>DEC2HEX(D32)</f>
        <v>17</v>
      </c>
      <c r="E33" s="1" t="str">
        <f>DEC2HEX(E32)</f>
        <v>20</v>
      </c>
      <c r="F33" s="1" t="str">
        <f>DEC2HEX(F32)</f>
        <v>7</v>
      </c>
      <c r="G33" s="1" t="str">
        <f>DEC2HEX(G32)</f>
        <v>4</v>
      </c>
      <c r="H33" s="58" t="s">
        <v>114</v>
      </c>
    </row>
    <row r="34" spans="2:11">
      <c r="D34" s="54"/>
      <c r="F34" s="1"/>
      <c r="G34" s="1"/>
      <c r="J34" s="58"/>
      <c r="K34" s="2"/>
    </row>
    <row r="35" spans="2:11">
      <c r="B35" s="48"/>
      <c r="C35" s="48"/>
      <c r="J35" s="53"/>
      <c r="K35" s="53"/>
    </row>
    <row r="36" spans="2:11" s="51" customFormat="1" ht="28.5">
      <c r="B36" s="50" t="s">
        <v>79</v>
      </c>
      <c r="C36" s="4" t="s">
        <v>69</v>
      </c>
      <c r="D36" s="4" t="s">
        <v>80</v>
      </c>
      <c r="E36" s="50"/>
      <c r="F36" s="50"/>
      <c r="G36" s="50"/>
      <c r="H36" s="50"/>
      <c r="I36" s="50"/>
      <c r="J36" s="2"/>
      <c r="K36" s="2"/>
    </row>
    <row r="37" spans="2:11">
      <c r="B37" s="52"/>
      <c r="C37" s="15"/>
      <c r="D37" s="15"/>
      <c r="E37" s="53"/>
      <c r="F37" s="53"/>
      <c r="G37" s="53"/>
      <c r="H37" s="53"/>
      <c r="I37" s="53"/>
      <c r="J37" s="2"/>
      <c r="K37" s="2"/>
    </row>
    <row r="38" spans="2:11">
      <c r="B38" s="54" t="s">
        <v>169</v>
      </c>
      <c r="C38" s="54" t="str">
        <f>DEC2HEX(HEX2DEC($C$21)+HEX2DEC("1c"),8)</f>
        <v>2102001C</v>
      </c>
      <c r="D38" s="55" t="str">
        <f>DEC2HEX(SUM(B40:E40),8)</f>
        <v>00001D08</v>
      </c>
      <c r="J38" s="56"/>
      <c r="K38" s="56"/>
    </row>
    <row r="39" spans="2:11">
      <c r="J39" s="56"/>
      <c r="K39" s="56"/>
    </row>
    <row r="40" spans="2:11" s="11" customFormat="1" hidden="1">
      <c r="B40" s="56">
        <f>2^B41*B44</f>
        <v>0</v>
      </c>
      <c r="C40" s="56">
        <f t="shared" ref="C40:E40" si="1">2^C41*C44</f>
        <v>7168</v>
      </c>
      <c r="D40" s="56">
        <f t="shared" si="1"/>
        <v>256</v>
      </c>
      <c r="E40" s="56">
        <f t="shared" si="1"/>
        <v>8</v>
      </c>
      <c r="F40" s="56"/>
      <c r="G40" s="2"/>
      <c r="H40" s="2"/>
      <c r="I40" s="2"/>
    </row>
    <row r="41" spans="2:11" s="11" customFormat="1" hidden="1">
      <c r="B41" s="56">
        <v>13</v>
      </c>
      <c r="C41" s="56">
        <v>10</v>
      </c>
      <c r="D41" s="56">
        <v>5</v>
      </c>
      <c r="E41" s="56">
        <v>0</v>
      </c>
      <c r="F41" s="56"/>
      <c r="G41" s="2"/>
      <c r="H41" s="2"/>
      <c r="I41" s="2"/>
    </row>
    <row r="42" spans="2:11">
      <c r="B42" s="59" t="s">
        <v>170</v>
      </c>
      <c r="C42" s="59" t="s">
        <v>172</v>
      </c>
      <c r="D42" s="53" t="s">
        <v>173</v>
      </c>
      <c r="E42" s="53" t="s">
        <v>174</v>
      </c>
      <c r="F42" s="53"/>
    </row>
    <row r="43" spans="2:11">
      <c r="B43" s="60" t="s">
        <v>16</v>
      </c>
      <c r="C43" s="60" t="s">
        <v>171</v>
      </c>
      <c r="D43" s="2" t="s">
        <v>17</v>
      </c>
      <c r="E43" s="2" t="s">
        <v>18</v>
      </c>
      <c r="F43" s="53"/>
    </row>
    <row r="44" spans="2:11">
      <c r="B44" s="189">
        <v>0</v>
      </c>
      <c r="C44" s="194">
        <v>7</v>
      </c>
      <c r="D44" s="57">
        <f>t_rp_val-1</f>
        <v>8</v>
      </c>
      <c r="E44" s="57">
        <f>t_rcd_val-1</f>
        <v>8</v>
      </c>
    </row>
    <row r="45" spans="2:11">
      <c r="B45" s="56"/>
      <c r="C45" s="1" t="str">
        <f>DEC2HEX(C44)</f>
        <v>7</v>
      </c>
      <c r="D45" s="1" t="str">
        <f>DEC2HEX(D44)</f>
        <v>8</v>
      </c>
      <c r="E45" s="1" t="str">
        <f>DEC2HEX(E44)</f>
        <v>8</v>
      </c>
      <c r="F45" s="58"/>
    </row>
    <row r="46" spans="2:11" ht="15.6" customHeight="1">
      <c r="J46" s="2"/>
      <c r="K46" s="2"/>
    </row>
    <row r="47" spans="2:11">
      <c r="J47" s="53"/>
      <c r="K47" s="53"/>
    </row>
    <row r="48" spans="2:11" s="51" customFormat="1" ht="28.5">
      <c r="B48" s="50" t="s">
        <v>78</v>
      </c>
      <c r="C48" s="4" t="s">
        <v>69</v>
      </c>
      <c r="D48" s="4" t="s">
        <v>80</v>
      </c>
      <c r="E48" s="50"/>
      <c r="F48" s="50"/>
      <c r="G48" s="50"/>
      <c r="H48" s="50"/>
      <c r="I48" s="50"/>
      <c r="J48" s="2"/>
      <c r="K48" s="2"/>
    </row>
    <row r="49" spans="2:11">
      <c r="B49" s="52"/>
      <c r="C49" s="15"/>
      <c r="D49" s="15"/>
      <c r="E49" s="53"/>
      <c r="F49" s="53"/>
      <c r="G49" s="53"/>
      <c r="H49" s="53"/>
      <c r="I49" s="53"/>
      <c r="J49" s="2"/>
      <c r="K49" s="2"/>
    </row>
    <row r="50" spans="2:11">
      <c r="B50" s="54" t="s">
        <v>167</v>
      </c>
      <c r="C50" s="54" t="str">
        <f>DEC2HEX(HEX2DEC($C$21)+HEX2DEC("20"),8)</f>
        <v>21020020</v>
      </c>
      <c r="D50" s="55" t="str">
        <f>DEC2HEX(SUM(B52:F52),8)</f>
        <v>32CDFF43</v>
      </c>
      <c r="E50" s="53"/>
      <c r="J50" s="56"/>
      <c r="K50" s="56"/>
    </row>
    <row r="51" spans="2:11">
      <c r="J51" s="56"/>
      <c r="K51" s="56"/>
    </row>
    <row r="52" spans="2:11" s="11" customFormat="1" hidden="1">
      <c r="B52" s="56">
        <f t="shared" ref="B52" si="2">2^B53*B56</f>
        <v>805306368</v>
      </c>
      <c r="C52" s="56">
        <f t="shared" ref="C52" si="3">2^C53*C56</f>
        <v>46923776</v>
      </c>
      <c r="D52" s="56">
        <f t="shared" ref="D52" si="4">2^D53*D56</f>
        <v>130816</v>
      </c>
      <c r="E52" s="56">
        <f t="shared" ref="E52" si="5">2^E53*E56</f>
        <v>64</v>
      </c>
      <c r="F52" s="56">
        <f t="shared" ref="F52" si="6">2^F53*F56</f>
        <v>3</v>
      </c>
      <c r="G52" s="2"/>
      <c r="H52" s="53"/>
      <c r="I52" s="53"/>
    </row>
    <row r="53" spans="2:11" s="11" customFormat="1" hidden="1">
      <c r="B53" s="56">
        <v>28</v>
      </c>
      <c r="C53" s="56">
        <v>18</v>
      </c>
      <c r="D53" s="56">
        <v>8</v>
      </c>
      <c r="E53" s="56">
        <v>4</v>
      </c>
      <c r="F53" s="56">
        <v>0</v>
      </c>
      <c r="G53" s="2"/>
      <c r="H53" s="53"/>
      <c r="I53" s="53"/>
    </row>
    <row r="54" spans="2:11">
      <c r="B54" s="53" t="s">
        <v>30</v>
      </c>
      <c r="C54" s="53" t="s">
        <v>175</v>
      </c>
      <c r="D54" s="53" t="s">
        <v>176</v>
      </c>
      <c r="E54" s="53" t="s">
        <v>177</v>
      </c>
      <c r="F54" s="53" t="s">
        <v>35</v>
      </c>
      <c r="G54" s="53"/>
    </row>
    <row r="55" spans="2:11">
      <c r="B55" s="2" t="s">
        <v>24</v>
      </c>
      <c r="C55" s="2" t="s">
        <v>26</v>
      </c>
      <c r="D55" s="2" t="s">
        <v>27</v>
      </c>
      <c r="E55" s="2" t="s">
        <v>28</v>
      </c>
      <c r="F55" s="2" t="s">
        <v>29</v>
      </c>
      <c r="G55" s="53"/>
      <c r="H55" s="35"/>
      <c r="I55" s="35"/>
    </row>
    <row r="56" spans="2:11">
      <c r="B56" s="57">
        <f>t_xp_val-1</f>
        <v>3</v>
      </c>
      <c r="C56" s="61">
        <f>t_xsnr_val-1</f>
        <v>179</v>
      </c>
      <c r="D56" s="61">
        <f>t_xsrd_val-1</f>
        <v>511</v>
      </c>
      <c r="E56" s="57">
        <f>t_rtp_val-1</f>
        <v>4</v>
      </c>
      <c r="F56" s="57">
        <f>t_cke_val-1</f>
        <v>3</v>
      </c>
      <c r="H56" s="35"/>
      <c r="I56" s="35"/>
    </row>
    <row r="57" spans="2:11" s="10" customFormat="1">
      <c r="B57" s="1" t="str">
        <f>DEC2HEX(B56)</f>
        <v>3</v>
      </c>
      <c r="C57" s="1" t="str">
        <f>DEC2HEX(C56)</f>
        <v>B3</v>
      </c>
      <c r="D57" s="1" t="str">
        <f>DEC2HEX(D56)</f>
        <v>1FF</v>
      </c>
      <c r="E57" s="1" t="str">
        <f>DEC2HEX(E56)</f>
        <v>4</v>
      </c>
      <c r="F57" s="1" t="str">
        <f>DEC2HEX(F56)</f>
        <v>3</v>
      </c>
      <c r="G57" s="58" t="s">
        <v>114</v>
      </c>
      <c r="H57" s="3"/>
      <c r="I57" s="3"/>
    </row>
    <row r="58" spans="2:11" s="10" customFormat="1">
      <c r="B58" s="2"/>
      <c r="C58" s="2"/>
      <c r="D58" s="2"/>
      <c r="E58" s="1"/>
      <c r="F58" s="1"/>
      <c r="G58" s="2"/>
      <c r="H58" s="2"/>
      <c r="I58" s="58"/>
      <c r="J58" s="51"/>
      <c r="K58" s="51"/>
    </row>
    <row r="60" spans="2:11" s="51" customFormat="1" ht="28.5">
      <c r="B60" s="50" t="s">
        <v>165</v>
      </c>
      <c r="C60" s="4" t="s">
        <v>69</v>
      </c>
      <c r="D60" s="4" t="s">
        <v>80</v>
      </c>
      <c r="E60" s="50"/>
      <c r="F60" s="50"/>
      <c r="G60" s="50"/>
      <c r="H60" s="50"/>
      <c r="I60" s="50"/>
      <c r="J60" s="3"/>
      <c r="K60" s="3"/>
    </row>
    <row r="61" spans="2:11">
      <c r="B61" s="52"/>
      <c r="C61" s="15"/>
      <c r="D61" s="15"/>
      <c r="E61" s="53"/>
      <c r="F61" s="53"/>
      <c r="G61" s="53"/>
      <c r="H61" s="53"/>
      <c r="I61" s="53"/>
    </row>
    <row r="62" spans="2:11">
      <c r="B62" s="54" t="s">
        <v>166</v>
      </c>
      <c r="C62" s="54" t="str">
        <f>DEC2HEX(HEX2DEC($C$21)+HEX2DEC("28"),8)</f>
        <v>21020028</v>
      </c>
      <c r="D62" s="55" t="str">
        <f>DEC2HEX(SUM(B64:G64),8)</f>
        <v>F43F0ADF</v>
      </c>
      <c r="E62" s="53"/>
      <c r="J62" s="56"/>
    </row>
    <row r="63" spans="2:11">
      <c r="J63" s="56"/>
    </row>
    <row r="64" spans="2:11" s="11" customFormat="1" hidden="1">
      <c r="B64" s="56">
        <f>2^B65*B68</f>
        <v>4026531840</v>
      </c>
      <c r="C64" s="56">
        <f t="shared" ref="C64" si="7">2^C65*C68</f>
        <v>67108864</v>
      </c>
      <c r="D64" s="56">
        <f t="shared" ref="D64" si="8">2^D65*D68</f>
        <v>4128768</v>
      </c>
      <c r="E64" s="56">
        <f t="shared" ref="E64" si="9">2^E65*E68</f>
        <v>0</v>
      </c>
      <c r="F64" s="56">
        <f t="shared" ref="F64" si="10">2^F65*F68</f>
        <v>2768</v>
      </c>
      <c r="G64" s="56">
        <f t="shared" ref="G64" si="11">2^G65*G68</f>
        <v>15</v>
      </c>
      <c r="H64" s="2"/>
      <c r="I64" s="3"/>
      <c r="J64" s="3"/>
      <c r="K64" s="3"/>
    </row>
    <row r="65" spans="2:11" s="11" customFormat="1" hidden="1">
      <c r="B65" s="56">
        <v>28</v>
      </c>
      <c r="C65" s="56">
        <v>24</v>
      </c>
      <c r="D65" s="56">
        <v>16</v>
      </c>
      <c r="E65" s="56">
        <v>14</v>
      </c>
      <c r="F65" s="56">
        <v>4</v>
      </c>
      <c r="G65" s="56">
        <v>0</v>
      </c>
      <c r="H65" s="2"/>
      <c r="I65" s="3"/>
      <c r="J65" s="3"/>
      <c r="K65" s="3"/>
    </row>
    <row r="66" spans="2:11">
      <c r="B66" s="53" t="s">
        <v>30</v>
      </c>
      <c r="C66" s="53" t="s">
        <v>31</v>
      </c>
      <c r="D66" s="53" t="s">
        <v>96</v>
      </c>
      <c r="E66" s="53" t="s">
        <v>10</v>
      </c>
      <c r="F66" s="53" t="s">
        <v>178</v>
      </c>
      <c r="G66" s="53" t="s">
        <v>35</v>
      </c>
      <c r="H66" s="53"/>
      <c r="I66" s="3"/>
    </row>
    <row r="67" spans="2:11">
      <c r="B67" s="2" t="s">
        <v>32</v>
      </c>
      <c r="C67" s="2" t="s">
        <v>68</v>
      </c>
      <c r="D67" s="2" t="s">
        <v>33</v>
      </c>
      <c r="E67" s="2" t="s">
        <v>16</v>
      </c>
      <c r="F67" s="2" t="s">
        <v>34</v>
      </c>
      <c r="G67" s="2" t="s">
        <v>607</v>
      </c>
      <c r="H67" s="53"/>
      <c r="I67" s="3"/>
    </row>
    <row r="68" spans="2:11">
      <c r="B68" s="194">
        <v>15</v>
      </c>
      <c r="C68" s="57">
        <f>t_ckesr_val-1</f>
        <v>4</v>
      </c>
      <c r="D68" s="57">
        <f>t_zqcs_val-1</f>
        <v>63</v>
      </c>
      <c r="E68" s="136">
        <v>0</v>
      </c>
      <c r="F68" s="57">
        <f>t_rfc_val-1</f>
        <v>173</v>
      </c>
      <c r="G68" s="189">
        <v>15</v>
      </c>
      <c r="I68" s="3"/>
    </row>
    <row r="69" spans="2:11" s="11" customFormat="1">
      <c r="B69" s="130" t="str">
        <f>DEC2HEX(B68)</f>
        <v>F</v>
      </c>
      <c r="C69" s="130" t="str">
        <f>DEC2HEX(C68)</f>
        <v>4</v>
      </c>
      <c r="D69" s="1" t="str">
        <f>DEC2HEX(D68)</f>
        <v>3F</v>
      </c>
      <c r="E69" s="35"/>
      <c r="F69" s="1" t="str">
        <f>DEC2HEX(F68)</f>
        <v>AD</v>
      </c>
      <c r="G69" s="1" t="str">
        <f>DEC2HEX(G68)</f>
        <v>F</v>
      </c>
      <c r="H69" s="58" t="s">
        <v>114</v>
      </c>
      <c r="I69" s="3"/>
      <c r="J69" s="3"/>
    </row>
    <row r="70" spans="2:11" s="11" customFormat="1" ht="15" customHeight="1">
      <c r="I70" s="58"/>
      <c r="J70" s="3"/>
      <c r="K70" s="3"/>
    </row>
    <row r="72" spans="2:11" ht="28.5">
      <c r="B72" s="4" t="s">
        <v>83</v>
      </c>
      <c r="C72" s="4" t="s">
        <v>69</v>
      </c>
      <c r="D72" s="4" t="s">
        <v>80</v>
      </c>
      <c r="E72" s="4"/>
      <c r="F72" s="4"/>
      <c r="G72" s="4"/>
      <c r="H72" s="4"/>
      <c r="I72" s="4"/>
    </row>
    <row r="73" spans="2:11">
      <c r="B73" s="62"/>
      <c r="C73" s="15"/>
      <c r="D73" s="15"/>
      <c r="E73" s="15"/>
      <c r="F73" s="15"/>
      <c r="G73" s="15"/>
      <c r="H73" s="15"/>
      <c r="I73" s="15"/>
    </row>
    <row r="74" spans="2:11">
      <c r="B74" s="55" t="s">
        <v>0</v>
      </c>
      <c r="C74" s="55" t="str">
        <f>DEC2HEX(HEX2DEC($C$21)+HEX2DEC("8"),8)</f>
        <v>21020008</v>
      </c>
      <c r="D74" s="55" t="str">
        <f>DEC2HEX(SUM(B76:I76)+SUM(B81:H81),8)</f>
        <v>62008A62</v>
      </c>
      <c r="E74" s="15"/>
      <c r="F74" s="15"/>
      <c r="G74" s="15"/>
      <c r="H74" s="15"/>
      <c r="I74" s="15"/>
    </row>
    <row r="75" spans="2:11">
      <c r="B75" s="15"/>
      <c r="C75" s="15"/>
      <c r="D75" s="15"/>
      <c r="E75" s="15"/>
      <c r="F75" s="15"/>
      <c r="G75" s="15"/>
      <c r="H75" s="15"/>
      <c r="I75" s="15"/>
    </row>
    <row r="76" spans="2:11" hidden="1">
      <c r="B76" s="56">
        <f>2^B77*B80</f>
        <v>1610612736</v>
      </c>
      <c r="C76" s="56">
        <f t="shared" ref="C76" si="12">2^C77*C80</f>
        <v>0</v>
      </c>
      <c r="D76" s="56">
        <f t="shared" ref="D76" si="13">2^D77*D80</f>
        <v>33554432</v>
      </c>
      <c r="E76" s="56">
        <f t="shared" ref="E76" si="14">2^E77*E80</f>
        <v>0</v>
      </c>
      <c r="F76" s="56">
        <f t="shared" ref="F76" si="15">2^F77*F80</f>
        <v>0</v>
      </c>
      <c r="G76" s="56">
        <f t="shared" ref="G76:H76" si="16">2^G77*G80</f>
        <v>0</v>
      </c>
      <c r="H76" s="56">
        <f t="shared" si="16"/>
        <v>32768</v>
      </c>
      <c r="I76" s="56">
        <f t="shared" ref="I76" si="17">2^I77*I80</f>
        <v>0</v>
      </c>
    </row>
    <row r="77" spans="2:11" hidden="1">
      <c r="B77" s="56">
        <v>29</v>
      </c>
      <c r="C77" s="56">
        <v>28</v>
      </c>
      <c r="D77" s="56">
        <v>25</v>
      </c>
      <c r="E77" s="56">
        <v>24</v>
      </c>
      <c r="F77" s="56">
        <v>22</v>
      </c>
      <c r="G77" s="56">
        <v>17</v>
      </c>
      <c r="H77" s="56">
        <v>14</v>
      </c>
      <c r="I77" s="56">
        <v>12</v>
      </c>
    </row>
    <row r="78" spans="2:11">
      <c r="B78" s="63" t="s">
        <v>2</v>
      </c>
      <c r="C78" s="63" t="s">
        <v>95</v>
      </c>
      <c r="D78" s="63" t="s">
        <v>25</v>
      </c>
      <c r="E78" s="63" t="s">
        <v>134</v>
      </c>
      <c r="F78" s="63" t="s">
        <v>135</v>
      </c>
      <c r="G78" s="63" t="s">
        <v>136</v>
      </c>
      <c r="H78" s="63" t="s">
        <v>137</v>
      </c>
      <c r="I78" s="63" t="s">
        <v>143</v>
      </c>
    </row>
    <row r="79" spans="2:11">
      <c r="B79" s="15" t="s">
        <v>1</v>
      </c>
      <c r="C79" s="15" t="s">
        <v>16</v>
      </c>
      <c r="D79" s="15" t="s">
        <v>4</v>
      </c>
      <c r="E79" s="15" t="s">
        <v>16</v>
      </c>
      <c r="F79" s="15" t="s">
        <v>5</v>
      </c>
      <c r="G79" s="15" t="s">
        <v>16</v>
      </c>
      <c r="H79" s="15" t="s">
        <v>7</v>
      </c>
      <c r="I79" s="15" t="s">
        <v>8</v>
      </c>
      <c r="J79" s="11"/>
      <c r="K79" s="11"/>
    </row>
    <row r="80" spans="2:11">
      <c r="B80" s="190">
        <v>3</v>
      </c>
      <c r="C80" s="190">
        <v>0</v>
      </c>
      <c r="D80" s="64">
        <f>ddr_term_val</f>
        <v>1</v>
      </c>
      <c r="E80" s="190">
        <v>0</v>
      </c>
      <c r="F80" s="64">
        <f>dyn_odt_val</f>
        <v>0</v>
      </c>
      <c r="G80" s="190">
        <v>0</v>
      </c>
      <c r="H80" s="64">
        <f>cwl_val</f>
        <v>2</v>
      </c>
      <c r="I80" s="64">
        <f>nm_val</f>
        <v>0</v>
      </c>
      <c r="J80" s="11"/>
      <c r="K80" s="11"/>
    </row>
    <row r="81" spans="2:11" s="11" customFormat="1" hidden="1">
      <c r="B81" s="56">
        <f t="shared" ref="B81" si="18">2^B82*B85</f>
        <v>2560</v>
      </c>
      <c r="C81" s="56">
        <f t="shared" ref="C81" si="19">2^C82*C85</f>
        <v>0</v>
      </c>
      <c r="D81" s="56">
        <f t="shared" ref="D81" si="20">2^D82*D85</f>
        <v>96</v>
      </c>
      <c r="E81" s="56">
        <f t="shared" ref="E81:F81" si="21">2^E82*E85</f>
        <v>0</v>
      </c>
      <c r="F81" s="56">
        <f t="shared" si="21"/>
        <v>0</v>
      </c>
      <c r="G81" s="56">
        <f t="shared" ref="G81:H81" si="22">2^G82*G85</f>
        <v>0</v>
      </c>
      <c r="H81" s="56">
        <f t="shared" si="22"/>
        <v>2</v>
      </c>
      <c r="I81" s="56"/>
      <c r="J81" s="3"/>
      <c r="K81" s="3"/>
    </row>
    <row r="82" spans="2:11" s="11" customFormat="1" hidden="1">
      <c r="B82" s="56">
        <v>8</v>
      </c>
      <c r="C82" s="56">
        <v>7</v>
      </c>
      <c r="D82" s="56">
        <v>5</v>
      </c>
      <c r="E82" s="56">
        <v>4</v>
      </c>
      <c r="F82" s="56">
        <v>3</v>
      </c>
      <c r="G82" s="56">
        <v>2</v>
      </c>
      <c r="H82" s="56">
        <v>0</v>
      </c>
      <c r="I82" s="56"/>
      <c r="J82" s="3"/>
      <c r="K82" s="3"/>
    </row>
    <row r="83" spans="2:11">
      <c r="B83" s="63" t="s">
        <v>144</v>
      </c>
      <c r="C83" s="63" t="s">
        <v>150</v>
      </c>
      <c r="D83" s="63" t="s">
        <v>151</v>
      </c>
      <c r="E83" s="63" t="s">
        <v>152</v>
      </c>
      <c r="F83" s="63" t="s">
        <v>12</v>
      </c>
      <c r="G83" s="63" t="s">
        <v>153</v>
      </c>
      <c r="H83" s="63" t="s">
        <v>158</v>
      </c>
      <c r="I83" s="53"/>
    </row>
    <row r="84" spans="2:11">
      <c r="B84" s="15" t="s">
        <v>9</v>
      </c>
      <c r="C84" s="15" t="s">
        <v>16</v>
      </c>
      <c r="D84" s="15" t="s">
        <v>11</v>
      </c>
      <c r="E84" s="15" t="s">
        <v>16</v>
      </c>
      <c r="F84" s="15" t="s">
        <v>14</v>
      </c>
      <c r="G84" s="15" t="s">
        <v>16</v>
      </c>
      <c r="H84" s="15" t="s">
        <v>13</v>
      </c>
      <c r="J84" s="10"/>
      <c r="K84" s="10"/>
    </row>
    <row r="85" spans="2:11">
      <c r="B85" s="64">
        <f>cl_val</f>
        <v>10</v>
      </c>
      <c r="C85" s="190">
        <v>0</v>
      </c>
      <c r="D85" s="64">
        <f>ibank_val</f>
        <v>3</v>
      </c>
      <c r="E85" s="190">
        <v>0</v>
      </c>
      <c r="F85" s="64">
        <f>ebank_val</f>
        <v>0</v>
      </c>
      <c r="G85" s="190">
        <v>0</v>
      </c>
      <c r="H85" s="64">
        <f>pagesize_val</f>
        <v>2</v>
      </c>
      <c r="J85" s="10"/>
      <c r="K85" s="10"/>
    </row>
    <row r="86" spans="2:11" s="10" customFormat="1">
      <c r="B86" s="1" t="str">
        <f>DEC2HEX(B85)</f>
        <v>A</v>
      </c>
      <c r="C86" s="2"/>
      <c r="D86" s="2"/>
      <c r="E86" s="2"/>
      <c r="F86" s="2"/>
      <c r="G86" s="2"/>
      <c r="H86" s="2"/>
      <c r="I86" s="58" t="s">
        <v>114</v>
      </c>
      <c r="J86" s="11"/>
      <c r="K86" s="11"/>
    </row>
    <row r="87" spans="2:11" s="10" customFormat="1">
      <c r="B87" s="2"/>
      <c r="C87" s="2"/>
      <c r="D87" s="2"/>
      <c r="E87" s="2"/>
      <c r="F87" s="2"/>
      <c r="G87" s="2"/>
      <c r="H87" s="2"/>
      <c r="I87" s="2"/>
      <c r="J87" s="11"/>
      <c r="K87" s="11"/>
    </row>
    <row r="88" spans="2:11" s="11" customFormat="1">
      <c r="B88" s="2"/>
      <c r="C88" s="2"/>
      <c r="D88" s="2"/>
      <c r="E88" s="2"/>
      <c r="F88" s="2"/>
      <c r="G88" s="2"/>
      <c r="H88" s="2"/>
      <c r="I88" s="2"/>
    </row>
    <row r="89" spans="2:11" s="11" customFormat="1" ht="28.5">
      <c r="B89" s="4" t="s">
        <v>93</v>
      </c>
      <c r="C89" s="5" t="s">
        <v>69</v>
      </c>
      <c r="D89" s="4" t="s">
        <v>103</v>
      </c>
      <c r="E89" s="4" t="s">
        <v>113</v>
      </c>
      <c r="F89" s="2"/>
      <c r="G89" s="6"/>
      <c r="H89" s="6"/>
      <c r="I89" s="6"/>
      <c r="J89" s="13"/>
      <c r="K89" s="13"/>
    </row>
    <row r="90" spans="2:11" s="11" customFormat="1">
      <c r="B90" s="7"/>
      <c r="C90" s="5"/>
      <c r="D90" s="5"/>
      <c r="E90" s="6"/>
      <c r="F90" s="2"/>
      <c r="G90" s="6"/>
      <c r="H90" s="6"/>
      <c r="I90" s="6"/>
      <c r="J90" s="3"/>
      <c r="K90" s="3"/>
    </row>
    <row r="91" spans="2:11" s="13" customFormat="1">
      <c r="B91" s="8" t="s">
        <v>94</v>
      </c>
      <c r="C91" s="8" t="str">
        <f>DEC2HEX(HEX2DEC($C$21)+HEX2DEC("10"),8)</f>
        <v>21020010</v>
      </c>
      <c r="D91" s="55" t="str">
        <f>DEC2HEX(SUM(B93:D93), 8)</f>
        <v>00001458</v>
      </c>
      <c r="E91" s="16" t="str">
        <f>DEC2HEX(SUM(B100:D100), 8)</f>
        <v>00000A2C</v>
      </c>
      <c r="F91" s="2"/>
      <c r="G91" s="6"/>
      <c r="H91" s="6"/>
      <c r="I91" s="6"/>
      <c r="J91" s="10"/>
      <c r="K91" s="10"/>
    </row>
    <row r="92" spans="2:11">
      <c r="B92" s="8"/>
      <c r="C92" s="8"/>
      <c r="D92" s="37"/>
      <c r="E92" s="6"/>
      <c r="G92" s="1"/>
      <c r="H92" s="1"/>
      <c r="I92" s="1"/>
      <c r="J92" s="10"/>
      <c r="K92" s="10"/>
    </row>
    <row r="93" spans="2:11" s="10" customFormat="1" hidden="1">
      <c r="B93" s="56">
        <f>2^B94*B97</f>
        <v>0</v>
      </c>
      <c r="C93" s="56">
        <f t="shared" ref="C93" si="23">2^C94*C97</f>
        <v>0</v>
      </c>
      <c r="D93" s="56">
        <f t="shared" ref="D93" si="24">2^D94*D97</f>
        <v>5208</v>
      </c>
      <c r="E93" s="56"/>
      <c r="F93" s="56"/>
      <c r="G93" s="11"/>
      <c r="H93" s="11"/>
      <c r="I93" s="11"/>
      <c r="J93" s="11"/>
      <c r="K93" s="11"/>
    </row>
    <row r="94" spans="2:11" s="10" customFormat="1" hidden="1">
      <c r="B94" s="56">
        <v>31</v>
      </c>
      <c r="C94" s="56">
        <v>16</v>
      </c>
      <c r="D94" s="56">
        <v>0</v>
      </c>
      <c r="E94" s="56"/>
      <c r="F94" s="56"/>
      <c r="G94" s="11"/>
      <c r="H94" s="11"/>
      <c r="I94" s="11"/>
      <c r="J94" s="11"/>
      <c r="K94" s="11"/>
    </row>
    <row r="95" spans="2:11" s="11" customFormat="1">
      <c r="B95" s="9" t="s">
        <v>15</v>
      </c>
      <c r="C95" s="9" t="s">
        <v>159</v>
      </c>
      <c r="D95" s="9" t="s">
        <v>97</v>
      </c>
      <c r="E95" s="3"/>
      <c r="F95" s="3"/>
      <c r="G95" s="3"/>
      <c r="H95" s="3"/>
      <c r="I95" s="3"/>
    </row>
    <row r="96" spans="2:11" s="11" customFormat="1">
      <c r="B96" s="6" t="s">
        <v>98</v>
      </c>
      <c r="C96" s="6" t="s">
        <v>16</v>
      </c>
      <c r="D96" s="6" t="s">
        <v>102</v>
      </c>
      <c r="E96" s="3"/>
      <c r="F96" s="3"/>
      <c r="G96" s="3"/>
      <c r="H96" s="3"/>
      <c r="I96" s="3"/>
      <c r="J96" s="13"/>
      <c r="K96" s="13"/>
    </row>
    <row r="97" spans="2:11" s="11" customFormat="1">
      <c r="B97" s="191">
        <v>0</v>
      </c>
      <c r="C97" s="192">
        <v>0</v>
      </c>
      <c r="D97" s="17">
        <f>refresh_clocks_normal-1</f>
        <v>5208</v>
      </c>
      <c r="E97" s="3"/>
      <c r="F97" s="3"/>
      <c r="G97" s="3"/>
      <c r="H97" s="3"/>
      <c r="I97" s="3"/>
      <c r="J97" s="3"/>
      <c r="K97" s="3"/>
    </row>
    <row r="98" spans="2:11" s="13" customFormat="1">
      <c r="B98" s="1"/>
      <c r="C98" s="1"/>
      <c r="D98" s="1" t="str">
        <f>DEC2HEX(D97,4)</f>
        <v>1458</v>
      </c>
      <c r="E98" s="10" t="s">
        <v>114</v>
      </c>
      <c r="F98" s="10"/>
      <c r="G98" s="10"/>
      <c r="H98" s="10"/>
      <c r="I98" s="10"/>
      <c r="J98" s="3"/>
      <c r="K98" s="3"/>
    </row>
    <row r="99" spans="2:11">
      <c r="B99" s="1"/>
      <c r="C99" s="1"/>
      <c r="D99" s="1"/>
      <c r="E99" s="10"/>
      <c r="F99" s="10"/>
      <c r="G99" s="10"/>
      <c r="H99" s="10"/>
      <c r="I99" s="10"/>
    </row>
    <row r="100" spans="2:11" hidden="1">
      <c r="B100" s="56">
        <f>2^B101*B104</f>
        <v>0</v>
      </c>
      <c r="C100" s="56">
        <f t="shared" ref="C100" si="25">2^C101*C104</f>
        <v>0</v>
      </c>
      <c r="D100" s="56">
        <f t="shared" ref="D100" si="26">2^D101*D104</f>
        <v>2604</v>
      </c>
      <c r="E100" s="56"/>
      <c r="F100" s="56"/>
      <c r="G100" s="11"/>
      <c r="H100" s="11"/>
      <c r="I100" s="11"/>
    </row>
    <row r="101" spans="2:11" hidden="1">
      <c r="B101" s="56">
        <v>31</v>
      </c>
      <c r="C101" s="56">
        <v>16</v>
      </c>
      <c r="D101" s="56">
        <v>0</v>
      </c>
      <c r="E101" s="56"/>
      <c r="F101" s="56"/>
      <c r="G101" s="11"/>
      <c r="H101" s="11"/>
      <c r="I101" s="11"/>
    </row>
    <row r="102" spans="2:11" hidden="1">
      <c r="B102" s="12" t="s">
        <v>15</v>
      </c>
      <c r="C102" s="12" t="s">
        <v>159</v>
      </c>
      <c r="D102" s="12" t="s">
        <v>97</v>
      </c>
      <c r="E102" s="11"/>
      <c r="F102" s="11"/>
      <c r="G102" s="11"/>
      <c r="H102" s="11"/>
      <c r="I102" s="11"/>
    </row>
    <row r="103" spans="2:11" hidden="1">
      <c r="B103" s="14" t="s">
        <v>98</v>
      </c>
      <c r="C103" s="14" t="s">
        <v>16</v>
      </c>
      <c r="D103" s="14" t="s">
        <v>102</v>
      </c>
      <c r="E103" s="13"/>
      <c r="F103" s="13"/>
      <c r="G103" s="13"/>
      <c r="H103" s="13"/>
      <c r="I103" s="13"/>
    </row>
    <row r="104" spans="2:11">
      <c r="B104" s="192">
        <v>0</v>
      </c>
      <c r="C104" s="192">
        <v>0</v>
      </c>
      <c r="D104" s="17">
        <f>refresh_clocks_ext_temp-1</f>
        <v>2604</v>
      </c>
      <c r="E104" s="3"/>
      <c r="F104" s="3"/>
      <c r="G104" s="3"/>
      <c r="H104" s="3"/>
      <c r="I104" s="3"/>
    </row>
    <row r="105" spans="2:11">
      <c r="B105" s="1"/>
      <c r="C105" s="1"/>
      <c r="D105" s="1" t="str">
        <f>DEC2HEX(D104,4)</f>
        <v>0A2C</v>
      </c>
      <c r="E105" s="10" t="s">
        <v>114</v>
      </c>
      <c r="F105" s="10"/>
      <c r="G105" s="10"/>
      <c r="H105" s="10"/>
      <c r="I105" s="10"/>
    </row>
    <row r="106" spans="2:11">
      <c r="B106" s="1"/>
      <c r="C106" s="1"/>
      <c r="D106" s="1"/>
      <c r="E106" s="10"/>
      <c r="F106" s="10"/>
      <c r="G106" s="10"/>
      <c r="H106" s="10"/>
      <c r="I106" s="10"/>
    </row>
    <row r="107" spans="2:11" hidden="1">
      <c r="B107" s="56" t="e">
        <f>2^B108*#REF!</f>
        <v>#REF!</v>
      </c>
      <c r="C107" s="56" t="e">
        <f>2^C108*#REF!</f>
        <v>#REF!</v>
      </c>
      <c r="D107" s="56" t="e">
        <f>2^D108*#REF!</f>
        <v>#REF!</v>
      </c>
      <c r="E107" s="56"/>
      <c r="F107" s="56"/>
      <c r="G107" s="11"/>
      <c r="H107" s="11"/>
      <c r="I107" s="11"/>
    </row>
    <row r="108" spans="2:11" hidden="1">
      <c r="B108" s="56">
        <v>31</v>
      </c>
      <c r="C108" s="56">
        <v>16</v>
      </c>
      <c r="D108" s="56">
        <v>0</v>
      </c>
      <c r="E108" s="56"/>
      <c r="F108" s="56"/>
      <c r="G108" s="11"/>
      <c r="H108" s="11"/>
      <c r="I108" s="11"/>
    </row>
    <row r="109" spans="2:11" hidden="1">
      <c r="B109" s="12" t="s">
        <v>15</v>
      </c>
      <c r="C109" s="12" t="s">
        <v>159</v>
      </c>
      <c r="D109" s="12" t="s">
        <v>97</v>
      </c>
      <c r="E109" s="11"/>
      <c r="F109" s="11"/>
      <c r="G109" s="11"/>
      <c r="H109" s="11"/>
      <c r="I109" s="11"/>
    </row>
    <row r="110" spans="2:11" hidden="1">
      <c r="B110" s="14" t="s">
        <v>98</v>
      </c>
      <c r="C110" s="14" t="s">
        <v>16</v>
      </c>
      <c r="D110" s="14" t="s">
        <v>102</v>
      </c>
      <c r="E110" s="13"/>
      <c r="F110" s="13"/>
      <c r="G110" s="13"/>
      <c r="H110" s="13"/>
      <c r="I110" s="13"/>
    </row>
    <row r="111" spans="2:11" s="11" customFormat="1">
      <c r="B111" s="2"/>
      <c r="C111" s="2"/>
      <c r="D111" s="2"/>
      <c r="E111" s="2"/>
      <c r="F111" s="2"/>
      <c r="G111" s="2"/>
      <c r="H111" s="2"/>
      <c r="I111" s="2"/>
    </row>
    <row r="112" spans="2:11" s="11" customFormat="1" ht="42.75">
      <c r="B112" s="4" t="s">
        <v>444</v>
      </c>
      <c r="C112" s="5" t="s">
        <v>69</v>
      </c>
      <c r="D112" s="4" t="s">
        <v>80</v>
      </c>
      <c r="E112" s="2"/>
      <c r="F112" s="2"/>
      <c r="G112" s="6"/>
      <c r="H112" s="6"/>
      <c r="I112" s="6"/>
      <c r="J112" s="13"/>
      <c r="K112" s="13"/>
    </row>
    <row r="113" spans="2:11" s="11" customFormat="1">
      <c r="B113" s="7"/>
      <c r="C113" s="5"/>
      <c r="D113" s="5"/>
      <c r="E113" s="2"/>
      <c r="F113" s="2"/>
      <c r="G113" s="6"/>
      <c r="H113" s="6"/>
      <c r="I113" s="6"/>
      <c r="J113" s="3"/>
      <c r="K113" s="3"/>
    </row>
    <row r="114" spans="2:11" s="13" customFormat="1">
      <c r="B114" s="8" t="s">
        <v>445</v>
      </c>
      <c r="C114" s="8" t="str">
        <f>DEC2HEX(HEX2DEC($C$21)+HEX2DEC("c8"),8)</f>
        <v>210200C8</v>
      </c>
      <c r="D114" s="55" t="str">
        <f>DEC2HEX(SUM(B116:H116), 8)</f>
        <v>70073200</v>
      </c>
      <c r="E114" s="2"/>
      <c r="F114" s="2"/>
      <c r="G114" s="6"/>
      <c r="H114" s="6"/>
      <c r="I114" s="6"/>
      <c r="J114" s="10"/>
      <c r="K114" s="10"/>
    </row>
    <row r="115" spans="2:11">
      <c r="B115" s="8"/>
      <c r="C115" s="8"/>
      <c r="D115" s="37"/>
      <c r="E115" s="6"/>
      <c r="G115" s="1"/>
      <c r="H115" s="1"/>
      <c r="I115" s="1"/>
      <c r="J115" s="10"/>
      <c r="K115" s="10"/>
    </row>
    <row r="116" spans="2:11" s="10" customFormat="1" hidden="1">
      <c r="B116" s="56">
        <f t="shared" ref="B116:H116" si="27">2^B117*B120</f>
        <v>0</v>
      </c>
      <c r="C116" s="56">
        <f t="shared" si="27"/>
        <v>1073741824</v>
      </c>
      <c r="D116" s="56">
        <f t="shared" si="27"/>
        <v>536870912</v>
      </c>
      <c r="E116" s="56">
        <f t="shared" si="27"/>
        <v>268435456</v>
      </c>
      <c r="F116" s="56">
        <f t="shared" si="27"/>
        <v>0</v>
      </c>
      <c r="G116" s="56">
        <f t="shared" si="27"/>
        <v>458752</v>
      </c>
      <c r="H116" s="56">
        <f t="shared" si="27"/>
        <v>12800</v>
      </c>
      <c r="I116" s="1"/>
      <c r="J116" s="11"/>
      <c r="K116" s="11"/>
    </row>
    <row r="117" spans="2:11" s="10" customFormat="1" hidden="1">
      <c r="B117" s="56">
        <v>31</v>
      </c>
      <c r="C117" s="56">
        <v>30</v>
      </c>
      <c r="D117" s="56">
        <v>29</v>
      </c>
      <c r="E117" s="56">
        <v>28</v>
      </c>
      <c r="F117" s="56">
        <v>19</v>
      </c>
      <c r="G117" s="56">
        <v>16</v>
      </c>
      <c r="H117" s="56">
        <v>0</v>
      </c>
      <c r="I117" s="1"/>
      <c r="J117" s="11"/>
      <c r="K117" s="11"/>
    </row>
    <row r="118" spans="2:11" s="11" customFormat="1">
      <c r="B118" s="9" t="s">
        <v>15</v>
      </c>
      <c r="C118" s="9" t="s">
        <v>303</v>
      </c>
      <c r="D118" s="9" t="s">
        <v>305</v>
      </c>
      <c r="E118" s="9" t="s">
        <v>95</v>
      </c>
      <c r="F118" s="9" t="s">
        <v>447</v>
      </c>
      <c r="G118" s="9" t="s">
        <v>448</v>
      </c>
      <c r="H118" s="9" t="s">
        <v>97</v>
      </c>
      <c r="I118" s="1"/>
    </row>
    <row r="119" spans="2:11" s="11" customFormat="1" ht="28.5">
      <c r="B119" s="15" t="s">
        <v>500</v>
      </c>
      <c r="C119" s="15" t="s">
        <v>451</v>
      </c>
      <c r="D119" s="15" t="s">
        <v>446</v>
      </c>
      <c r="E119" s="15" t="s">
        <v>450</v>
      </c>
      <c r="F119" s="6" t="s">
        <v>16</v>
      </c>
      <c r="G119" s="15" t="s">
        <v>449</v>
      </c>
      <c r="H119" s="15" t="s">
        <v>454</v>
      </c>
      <c r="I119" s="1"/>
      <c r="J119" s="13"/>
      <c r="K119" s="13"/>
    </row>
    <row r="120" spans="2:11" s="11" customFormat="1">
      <c r="B120" s="17">
        <f>IF(ebank_val=1,1,0)</f>
        <v>0</v>
      </c>
      <c r="C120" s="191">
        <v>1</v>
      </c>
      <c r="D120" s="191">
        <v>1</v>
      </c>
      <c r="E120" s="191">
        <v>1</v>
      </c>
      <c r="F120" s="192">
        <v>0</v>
      </c>
      <c r="G120" s="193">
        <v>7</v>
      </c>
      <c r="H120" s="193">
        <f>CEILING(100000/refresh_period_normal,1)</f>
        <v>12800</v>
      </c>
      <c r="I120" s="1"/>
      <c r="J120" s="3"/>
      <c r="K120" s="3"/>
    </row>
    <row r="121" spans="2:11" s="13" customFormat="1">
      <c r="B121" s="1"/>
      <c r="C121" s="1"/>
      <c r="D121" s="1"/>
      <c r="E121" s="1"/>
      <c r="F121" s="10"/>
      <c r="H121" s="1" t="str">
        <f>DEC2HEX(H120,4)</f>
        <v>3200</v>
      </c>
      <c r="I121" s="10" t="s">
        <v>114</v>
      </c>
      <c r="J121" s="3"/>
      <c r="K121" s="3"/>
    </row>
    <row r="122" spans="2:11">
      <c r="B122" s="3"/>
      <c r="C122" s="3"/>
      <c r="D122" s="3"/>
      <c r="E122" s="3"/>
      <c r="F122" s="3"/>
      <c r="G122" s="3"/>
      <c r="H122" s="71" t="s">
        <v>647</v>
      </c>
      <c r="I122" s="3"/>
    </row>
    <row r="125" spans="2:11">
      <c r="B125" s="20" t="s">
        <v>529</v>
      </c>
    </row>
  </sheetData>
  <sheetProtection password="DF21" sheet="1" objects="1" scenarios="1"/>
  <phoneticPr fontId="1"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dimension ref="A1:W322"/>
  <sheetViews>
    <sheetView topLeftCell="A13" zoomScaleNormal="100" workbookViewId="0">
      <selection activeCell="B34" sqref="B34"/>
    </sheetView>
  </sheetViews>
  <sheetFormatPr defaultColWidth="19" defaultRowHeight="14.25"/>
  <cols>
    <col min="1" max="1" width="4.125" style="3" customWidth="1"/>
    <col min="2" max="9" width="19" style="2" customWidth="1"/>
    <col min="10" max="10" width="19" style="3" customWidth="1"/>
    <col min="11" max="16384" width="19" style="3"/>
  </cols>
  <sheetData>
    <row r="1" spans="1:9">
      <c r="A1" s="34"/>
      <c r="B1" s="35"/>
    </row>
    <row r="2" spans="1:9">
      <c r="C2" s="36"/>
      <c r="D2" s="37"/>
      <c r="E2" s="38"/>
    </row>
    <row r="3" spans="1:9" s="10" customFormat="1" ht="25.5">
      <c r="B3" s="39" t="s">
        <v>180</v>
      </c>
      <c r="C3" s="35"/>
      <c r="D3" s="35"/>
      <c r="E3" s="35"/>
      <c r="F3" s="35"/>
      <c r="G3" s="35"/>
      <c r="H3" s="35"/>
      <c r="I3" s="35"/>
    </row>
    <row r="4" spans="1:9" ht="15" thickBot="1">
      <c r="F4" s="35"/>
      <c r="G4" s="35"/>
      <c r="H4" s="35"/>
    </row>
    <row r="5" spans="1:9" ht="28.5">
      <c r="B5" s="40" t="s">
        <v>186</v>
      </c>
      <c r="C5" s="41" t="s">
        <v>184</v>
      </c>
      <c r="D5" s="42" t="s">
        <v>80</v>
      </c>
      <c r="F5" s="35"/>
      <c r="G5" s="35"/>
      <c r="H5" s="35"/>
    </row>
    <row r="6" spans="1:9">
      <c r="B6" s="65" t="str">
        <f>B47</f>
        <v>DDR3_PGCR0</v>
      </c>
      <c r="C6" s="28" t="str">
        <f>C47</f>
        <v>02328008</v>
      </c>
      <c r="D6" s="131" t="str">
        <f>D47</f>
        <v>A8000E3F</v>
      </c>
      <c r="F6" s="35"/>
      <c r="G6" s="35"/>
      <c r="H6" s="35"/>
    </row>
    <row r="7" spans="1:9">
      <c r="B7" s="65" t="str">
        <f>B59</f>
        <v>DDR3_PGCR1</v>
      </c>
      <c r="C7" s="28" t="str">
        <f t="shared" ref="C7" si="0">C59</f>
        <v>0232800C</v>
      </c>
      <c r="D7" s="131" t="str">
        <f t="shared" ref="D7" si="1">D59</f>
        <v>0080C507</v>
      </c>
      <c r="F7" s="35"/>
      <c r="G7" s="35"/>
      <c r="H7" s="35"/>
    </row>
    <row r="8" spans="1:9">
      <c r="B8" s="65" t="str">
        <f>B70</f>
        <v>DDR3_PGCR2</v>
      </c>
      <c r="C8" s="28" t="str">
        <f t="shared" ref="C8" si="2">C70</f>
        <v>0232808C</v>
      </c>
      <c r="D8" s="131" t="str">
        <f t="shared" ref="D8" si="3">D70</f>
        <v>00F065BD</v>
      </c>
      <c r="F8" s="35"/>
      <c r="G8" s="35"/>
      <c r="H8" s="35"/>
    </row>
    <row r="9" spans="1:9">
      <c r="B9" s="65" t="str">
        <f>B84</f>
        <v>DDR3_PLLCR</v>
      </c>
      <c r="C9" s="28" t="str">
        <f t="shared" ref="C9" si="4">C84</f>
        <v>02328018</v>
      </c>
      <c r="D9" s="131" t="str">
        <f t="shared" ref="D9" si="5">D84</f>
        <v>0005C000</v>
      </c>
      <c r="F9" s="35"/>
      <c r="G9" s="35"/>
      <c r="H9" s="35"/>
    </row>
    <row r="10" spans="1:9">
      <c r="B10" s="65" t="str">
        <f>B97</f>
        <v>DDR3_MR0</v>
      </c>
      <c r="C10" s="28" t="str">
        <f>C97</f>
        <v>02328054</v>
      </c>
      <c r="D10" s="131" t="str">
        <f>D97</f>
        <v>00001A50</v>
      </c>
      <c r="F10" s="35"/>
      <c r="G10" s="35"/>
      <c r="H10" s="35"/>
    </row>
    <row r="11" spans="1:9">
      <c r="B11" s="65" t="str">
        <f>B108</f>
        <v>DDR3_MR1</v>
      </c>
      <c r="C11" s="28" t="str">
        <f t="shared" ref="C11" si="6">C108</f>
        <v>02328058</v>
      </c>
      <c r="D11" s="131" t="str">
        <f t="shared" ref="D11" si="7">D108</f>
        <v>00000006</v>
      </c>
      <c r="F11" s="35"/>
      <c r="G11" s="35"/>
      <c r="H11" s="35"/>
    </row>
    <row r="12" spans="1:9">
      <c r="B12" s="65" t="str">
        <f>B119</f>
        <v>DDR3_MR2</v>
      </c>
      <c r="C12" s="28" t="str">
        <f t="shared" ref="C12" si="8">C119</f>
        <v>0232805C</v>
      </c>
      <c r="D12" s="131" t="str">
        <f t="shared" ref="D12" si="9">D119</f>
        <v>00000050</v>
      </c>
      <c r="F12" s="35"/>
      <c r="G12" s="35"/>
      <c r="H12" s="35"/>
    </row>
    <row r="13" spans="1:9">
      <c r="B13" s="65" t="str">
        <f>B130</f>
        <v>DDR3_MR3</v>
      </c>
      <c r="C13" s="28" t="str">
        <f t="shared" ref="C13" si="10">C130</f>
        <v>02328060</v>
      </c>
      <c r="D13" s="131" t="str">
        <f t="shared" ref="D13" si="11">D130</f>
        <v>00000000</v>
      </c>
      <c r="F13" s="35"/>
      <c r="G13" s="35"/>
      <c r="H13" s="35"/>
    </row>
    <row r="14" spans="1:9">
      <c r="B14" s="65" t="str">
        <f>B143</f>
        <v>DDR3_DTPR0</v>
      </c>
      <c r="C14" s="28" t="str">
        <f t="shared" ref="C14" si="12">C143</f>
        <v>02328048</v>
      </c>
      <c r="D14" s="131" t="str">
        <f t="shared" ref="D14" si="13">D143</f>
        <v>85589955</v>
      </c>
      <c r="F14" s="35"/>
      <c r="G14" s="35"/>
      <c r="H14" s="35"/>
    </row>
    <row r="15" spans="1:9">
      <c r="B15" s="65" t="str">
        <f>B154</f>
        <v>DDR3_DTPR1</v>
      </c>
      <c r="C15" s="28" t="str">
        <f t="shared" ref="C15" si="14">C154</f>
        <v>0232804C</v>
      </c>
      <c r="D15" s="131" t="str">
        <f>D154</f>
        <v>328573C0</v>
      </c>
      <c r="F15" s="35"/>
      <c r="G15" s="35"/>
      <c r="H15" s="35"/>
    </row>
    <row r="16" spans="1:9">
      <c r="B16" s="65" t="str">
        <f>B166</f>
        <v>DDR3_DTPR2</v>
      </c>
      <c r="C16" s="28" t="str">
        <f t="shared" ref="C16" si="15">C166</f>
        <v>02328050</v>
      </c>
      <c r="D16" s="131" t="str">
        <f t="shared" ref="D16" si="16">D166</f>
        <v>5002C200</v>
      </c>
      <c r="F16" s="35"/>
      <c r="G16" s="35"/>
      <c r="H16" s="35"/>
    </row>
    <row r="17" spans="2:8">
      <c r="B17" s="65" t="str">
        <f>B179</f>
        <v>DDR3_PTR0</v>
      </c>
      <c r="C17" s="28" t="str">
        <f t="shared" ref="C17" si="17">C179</f>
        <v>0232801C</v>
      </c>
      <c r="D17" s="131" t="str">
        <f t="shared" ref="D17" si="18">D179</f>
        <v>42C21590</v>
      </c>
      <c r="F17" s="35"/>
      <c r="G17" s="35"/>
      <c r="H17" s="35"/>
    </row>
    <row r="18" spans="2:8">
      <c r="B18" s="65" t="str">
        <f>B191</f>
        <v>DDR3_PTR1</v>
      </c>
      <c r="C18" s="28" t="str">
        <f t="shared" ref="C18" si="19">C191</f>
        <v>02328020</v>
      </c>
      <c r="D18" s="131" t="str">
        <f t="shared" ref="D18" si="20">D191</f>
        <v>D05612C0</v>
      </c>
      <c r="F18" s="35"/>
      <c r="G18" s="35"/>
      <c r="H18" s="35"/>
    </row>
    <row r="19" spans="2:8">
      <c r="B19" s="65" t="str">
        <f>B203</f>
        <v>DDR3_PTR2</v>
      </c>
      <c r="C19" s="28" t="str">
        <f t="shared" ref="C19" si="21">C203</f>
        <v>02328024</v>
      </c>
      <c r="D19" s="131" t="str">
        <f t="shared" ref="D19" si="22">D203</f>
        <v>00083DEF</v>
      </c>
      <c r="F19" s="35"/>
      <c r="G19" s="35"/>
      <c r="H19" s="35"/>
    </row>
    <row r="20" spans="2:8">
      <c r="B20" s="65" t="str">
        <f>B214</f>
        <v>DDR3_PTR3</v>
      </c>
      <c r="C20" s="28" t="str">
        <f t="shared" ref="C20" si="23">C214</f>
        <v>02328028</v>
      </c>
      <c r="D20" s="131" t="str">
        <f t="shared" ref="D20" si="24">D214</f>
        <v>0B451616</v>
      </c>
      <c r="F20" s="35"/>
      <c r="G20" s="35"/>
      <c r="H20" s="35"/>
    </row>
    <row r="21" spans="2:8">
      <c r="B21" s="66" t="str">
        <f>B226</f>
        <v>DDR3_PTR4</v>
      </c>
      <c r="C21" s="27" t="str">
        <f t="shared" ref="C21" si="25">C226</f>
        <v>0232802C</v>
      </c>
      <c r="D21" s="131" t="str">
        <f t="shared" ref="D21" si="26">D226</f>
        <v>0A6E08D6</v>
      </c>
      <c r="F21" s="35"/>
      <c r="G21" s="35"/>
      <c r="H21" s="35"/>
    </row>
    <row r="22" spans="2:8">
      <c r="B22" s="65" t="str">
        <f>B241</f>
        <v>DDR3_DCR</v>
      </c>
      <c r="C22" s="28" t="str">
        <f t="shared" ref="C22" si="27">C241</f>
        <v>02328044</v>
      </c>
      <c r="D22" s="131" t="str">
        <f t="shared" ref="D22" si="28">D241</f>
        <v>0000040B</v>
      </c>
      <c r="F22" s="35"/>
      <c r="G22" s="35"/>
      <c r="H22" s="35"/>
    </row>
    <row r="23" spans="2:8">
      <c r="B23" s="65" t="str">
        <f>B254</f>
        <v>DDR3_DTCR</v>
      </c>
      <c r="C23" s="28" t="str">
        <f t="shared" ref="C23" si="29">C254</f>
        <v>02328068</v>
      </c>
      <c r="D23" s="131" t="str">
        <f t="shared" ref="D23" si="30">D254</f>
        <v>710035C7</v>
      </c>
      <c r="F23" s="35"/>
      <c r="G23" s="35"/>
      <c r="H23" s="35"/>
    </row>
    <row r="24" spans="2:8" hidden="1">
      <c r="B24" s="65" t="str">
        <f>B267</f>
        <v>DDR3_DXCCR</v>
      </c>
      <c r="C24" s="28" t="str">
        <f t="shared" ref="C24" si="31">C267</f>
        <v>232803C</v>
      </c>
      <c r="D24" s="131" t="str">
        <f t="shared" ref="D24" si="32">D267</f>
        <v>44181884</v>
      </c>
      <c r="F24" s="35"/>
      <c r="G24" s="35"/>
      <c r="H24" s="35"/>
    </row>
    <row r="25" spans="2:8">
      <c r="B25" s="65" t="str">
        <f>B280</f>
        <v>DDR3_ZQ0CR1</v>
      </c>
      <c r="C25" s="28" t="str">
        <f>C280</f>
        <v>02328184</v>
      </c>
      <c r="D25" s="131" t="str">
        <f>D280</f>
        <v>0001005D</v>
      </c>
      <c r="F25" s="35"/>
      <c r="G25" s="35"/>
      <c r="H25" s="35"/>
    </row>
    <row r="26" spans="2:8">
      <c r="B26" s="65" t="str">
        <f>B281</f>
        <v>DDR3_ZQ1CR1</v>
      </c>
      <c r="C26" s="28" t="str">
        <f t="shared" ref="C26" si="33">C281</f>
        <v>02328194</v>
      </c>
      <c r="D26" s="131" t="str">
        <f t="shared" ref="D26:D27" si="34">D281</f>
        <v>0001005B</v>
      </c>
      <c r="F26" s="35"/>
      <c r="G26" s="35"/>
      <c r="H26" s="35"/>
    </row>
    <row r="27" spans="2:8">
      <c r="B27" s="65" t="str">
        <f>B282</f>
        <v>DDR3_ZQ2CR1</v>
      </c>
      <c r="C27" s="28" t="str">
        <f t="shared" ref="C27" si="35">C282</f>
        <v>023281A4</v>
      </c>
      <c r="D27" s="131" t="str">
        <f t="shared" si="34"/>
        <v>0001005B</v>
      </c>
      <c r="F27" s="35"/>
      <c r="G27" s="35"/>
      <c r="H27" s="35"/>
    </row>
    <row r="28" spans="2:8">
      <c r="B28" s="65" t="str">
        <f>B299</f>
        <v xml:space="preserve">DDR3_DX2GCR </v>
      </c>
      <c r="C28" s="28" t="str">
        <f>C299</f>
        <v>02328240</v>
      </c>
      <c r="D28" s="131" t="str">
        <f>D299</f>
        <v>7C000E81</v>
      </c>
      <c r="F28" s="35"/>
      <c r="G28" s="35"/>
      <c r="H28" s="35"/>
    </row>
    <row r="29" spans="2:8">
      <c r="B29" s="65" t="str">
        <f t="shared" ref="B29:D29" si="36">B300</f>
        <v xml:space="preserve">DDR3_DX3GCR </v>
      </c>
      <c r="C29" s="28" t="str">
        <f t="shared" si="36"/>
        <v>02328280</v>
      </c>
      <c r="D29" s="131" t="str">
        <f t="shared" si="36"/>
        <v>7C000E81</v>
      </c>
      <c r="F29" s="35"/>
      <c r="G29" s="35"/>
      <c r="H29" s="35"/>
    </row>
    <row r="30" spans="2:8">
      <c r="B30" s="65" t="str">
        <f t="shared" ref="B30:D30" si="37">B301</f>
        <v xml:space="preserve">DDR3_DX4GCR </v>
      </c>
      <c r="C30" s="28" t="str">
        <f t="shared" si="37"/>
        <v>023282C0</v>
      </c>
      <c r="D30" s="131" t="str">
        <f t="shared" si="37"/>
        <v>7C000E81</v>
      </c>
      <c r="F30" s="35"/>
      <c r="G30" s="35"/>
      <c r="H30" s="35"/>
    </row>
    <row r="31" spans="2:8">
      <c r="B31" s="65" t="str">
        <f t="shared" ref="B31:D31" si="38">B302</f>
        <v xml:space="preserve">DDR3_DX5GCR </v>
      </c>
      <c r="C31" s="28" t="str">
        <f t="shared" si="38"/>
        <v>02328300</v>
      </c>
      <c r="D31" s="131" t="str">
        <f t="shared" si="38"/>
        <v>7C000E81</v>
      </c>
      <c r="F31" s="35"/>
      <c r="G31" s="35"/>
      <c r="H31" s="35"/>
    </row>
    <row r="32" spans="2:8">
      <c r="B32" s="65" t="str">
        <f t="shared" ref="B32:D32" si="39">B303</f>
        <v xml:space="preserve">DDR3_DX6GCR </v>
      </c>
      <c r="C32" s="28" t="str">
        <f t="shared" si="39"/>
        <v>02328340</v>
      </c>
      <c r="D32" s="131" t="str">
        <f t="shared" si="39"/>
        <v>7C000E81</v>
      </c>
      <c r="F32" s="35"/>
      <c r="G32" s="35"/>
      <c r="H32" s="35"/>
    </row>
    <row r="33" spans="2:11">
      <c r="B33" s="65" t="str">
        <f t="shared" ref="B33:D33" si="40">B304</f>
        <v xml:space="preserve">DDR3_DX7GCR </v>
      </c>
      <c r="C33" s="28" t="str">
        <f t="shared" si="40"/>
        <v>02328380</v>
      </c>
      <c r="D33" s="131" t="str">
        <f t="shared" si="40"/>
        <v>7C000E81</v>
      </c>
      <c r="F33" s="35"/>
      <c r="G33" s="35"/>
      <c r="H33" s="35"/>
    </row>
    <row r="34" spans="2:11" ht="15" thickBot="1">
      <c r="B34" s="67" t="str">
        <f t="shared" ref="B34:D34" si="41">B305</f>
        <v xml:space="preserve">DDR3_DX8GCR </v>
      </c>
      <c r="C34" s="68" t="str">
        <f t="shared" si="41"/>
        <v>023283C0</v>
      </c>
      <c r="D34" s="132" t="str">
        <f t="shared" si="41"/>
        <v>7C000E80</v>
      </c>
      <c r="F34" s="35"/>
      <c r="G34" s="35"/>
      <c r="H34" s="35"/>
    </row>
    <row r="35" spans="2:11">
      <c r="B35" s="3"/>
      <c r="C35" s="3"/>
      <c r="D35" s="3"/>
      <c r="E35" s="3"/>
      <c r="F35" s="35"/>
      <c r="G35" s="35"/>
      <c r="H35" s="35"/>
    </row>
    <row r="36" spans="2:11">
      <c r="F36" s="35"/>
      <c r="G36" s="35"/>
      <c r="H36" s="35"/>
    </row>
    <row r="37" spans="2:11" ht="42.75">
      <c r="B37" s="48" t="s">
        <v>182</v>
      </c>
      <c r="C37" s="49">
        <v>2328000</v>
      </c>
    </row>
    <row r="38" spans="2:11">
      <c r="B38" s="48"/>
      <c r="C38" s="48"/>
    </row>
    <row r="40" spans="2:11" s="10" customFormat="1" ht="25.5">
      <c r="B40" s="39" t="s">
        <v>179</v>
      </c>
      <c r="C40" s="35"/>
      <c r="D40" s="35"/>
      <c r="E40" s="35"/>
      <c r="F40" s="35"/>
      <c r="G40" s="35"/>
      <c r="H40" s="35"/>
      <c r="I40" s="35"/>
    </row>
    <row r="41" spans="2:11">
      <c r="B41" s="48"/>
      <c r="C41" s="48"/>
    </row>
    <row r="42" spans="2:11">
      <c r="B42" s="48"/>
      <c r="C42" s="48"/>
      <c r="F42" s="35"/>
      <c r="G42" s="35"/>
    </row>
    <row r="43" spans="2:11" s="10" customFormat="1" ht="20.25">
      <c r="B43" s="69" t="s">
        <v>336</v>
      </c>
      <c r="C43" s="35"/>
      <c r="D43" s="35"/>
      <c r="E43" s="35"/>
      <c r="F43" s="35"/>
      <c r="G43" s="35"/>
      <c r="H43" s="35"/>
      <c r="I43" s="35"/>
    </row>
    <row r="44" spans="2:11">
      <c r="B44" s="48"/>
      <c r="C44" s="48"/>
    </row>
    <row r="45" spans="2:11" s="51" customFormat="1" ht="28.5">
      <c r="B45" s="50" t="s">
        <v>337</v>
      </c>
      <c r="C45" s="4" t="s">
        <v>69</v>
      </c>
      <c r="D45" s="4" t="s">
        <v>80</v>
      </c>
      <c r="E45" s="50"/>
      <c r="F45" s="50"/>
      <c r="G45" s="50"/>
      <c r="H45" s="50"/>
      <c r="I45" s="2"/>
      <c r="J45" s="50"/>
      <c r="K45" s="50"/>
    </row>
    <row r="46" spans="2:11">
      <c r="B46" s="52"/>
      <c r="C46" s="15"/>
      <c r="D46" s="15"/>
      <c r="E46" s="53"/>
      <c r="F46" s="53"/>
      <c r="G46" s="53"/>
      <c r="H46" s="53"/>
      <c r="J46" s="53"/>
      <c r="K46" s="53"/>
    </row>
    <row r="47" spans="2:11">
      <c r="B47" s="54" t="s">
        <v>338</v>
      </c>
      <c r="C47" s="54" t="str">
        <f>DEC2HEX(HEX2DEC($C$37)+(HEX2DEC("02")*4),8)</f>
        <v>02328008</v>
      </c>
      <c r="D47" s="55" t="str">
        <f>DEC2HEX(SUM(B49:O49),8)</f>
        <v>A8000E3F</v>
      </c>
      <c r="E47" s="188" t="s">
        <v>483</v>
      </c>
      <c r="J47" s="2"/>
      <c r="K47" s="2"/>
    </row>
    <row r="48" spans="2:11">
      <c r="J48" s="2"/>
      <c r="K48" s="2"/>
    </row>
    <row r="49" spans="2:19" s="11" customFormat="1" hidden="1">
      <c r="B49" s="56">
        <f>2^B50*B53</f>
        <v>2818572288</v>
      </c>
      <c r="C49" s="56">
        <f t="shared" ref="C49" si="42">2^C50*C53</f>
        <v>0</v>
      </c>
      <c r="D49" s="56">
        <f t="shared" ref="D49:M49" si="43">2^D50*D53</f>
        <v>0</v>
      </c>
      <c r="E49" s="56">
        <f t="shared" si="43"/>
        <v>0</v>
      </c>
      <c r="F49" s="56">
        <f t="shared" si="43"/>
        <v>3584</v>
      </c>
      <c r="G49" s="56">
        <f t="shared" si="43"/>
        <v>0</v>
      </c>
      <c r="H49" s="56">
        <f t="shared" si="43"/>
        <v>0</v>
      </c>
      <c r="I49" s="56">
        <f t="shared" si="43"/>
        <v>0</v>
      </c>
      <c r="J49" s="56">
        <f t="shared" si="43"/>
        <v>32</v>
      </c>
      <c r="K49" s="56">
        <f t="shared" si="43"/>
        <v>16</v>
      </c>
      <c r="L49" s="56">
        <f t="shared" si="43"/>
        <v>8</v>
      </c>
      <c r="M49" s="56">
        <f t="shared" si="43"/>
        <v>4</v>
      </c>
      <c r="N49" s="56">
        <f t="shared" ref="N49:O49" si="44">2^N50*N53</f>
        <v>2</v>
      </c>
      <c r="O49" s="56">
        <f t="shared" si="44"/>
        <v>1</v>
      </c>
    </row>
    <row r="50" spans="2:19" s="11" customFormat="1" hidden="1">
      <c r="B50" s="56">
        <v>26</v>
      </c>
      <c r="C50" s="56">
        <v>19</v>
      </c>
      <c r="D50" s="56">
        <v>14</v>
      </c>
      <c r="E50" s="56">
        <v>12</v>
      </c>
      <c r="F50" s="56">
        <v>9</v>
      </c>
      <c r="G50" s="56">
        <v>8</v>
      </c>
      <c r="H50" s="56">
        <v>7</v>
      </c>
      <c r="I50" s="56">
        <v>6</v>
      </c>
      <c r="J50" s="56">
        <v>5</v>
      </c>
      <c r="K50" s="56">
        <v>4</v>
      </c>
      <c r="L50" s="56">
        <v>3</v>
      </c>
      <c r="M50" s="56">
        <v>2</v>
      </c>
      <c r="N50" s="56">
        <v>1</v>
      </c>
      <c r="O50" s="56">
        <v>0</v>
      </c>
    </row>
    <row r="51" spans="2:19">
      <c r="B51" s="53" t="s">
        <v>282</v>
      </c>
      <c r="C51" s="53" t="s">
        <v>340</v>
      </c>
      <c r="D51" s="53" t="s">
        <v>342</v>
      </c>
      <c r="E51" s="53" t="s">
        <v>143</v>
      </c>
      <c r="F51" s="53" t="s">
        <v>191</v>
      </c>
      <c r="G51" s="53" t="s">
        <v>193</v>
      </c>
      <c r="H51" s="53" t="s">
        <v>150</v>
      </c>
      <c r="I51" s="53" t="s">
        <v>210</v>
      </c>
      <c r="J51" s="53" t="s">
        <v>212</v>
      </c>
      <c r="K51" s="53" t="s">
        <v>152</v>
      </c>
      <c r="L51" s="53" t="s">
        <v>12</v>
      </c>
      <c r="M51" s="53" t="s">
        <v>153</v>
      </c>
      <c r="N51" s="53" t="s">
        <v>217</v>
      </c>
      <c r="O51" s="53" t="s">
        <v>219</v>
      </c>
    </row>
    <row r="52" spans="2:19">
      <c r="B52" s="2" t="s">
        <v>339</v>
      </c>
      <c r="C52" s="2" t="s">
        <v>16</v>
      </c>
      <c r="D52" s="2" t="s">
        <v>341</v>
      </c>
      <c r="E52" s="2" t="s">
        <v>343</v>
      </c>
      <c r="F52" s="2" t="s">
        <v>344</v>
      </c>
      <c r="G52" s="2" t="s">
        <v>345</v>
      </c>
      <c r="H52" s="2" t="s">
        <v>346</v>
      </c>
      <c r="I52" s="2" t="s">
        <v>347</v>
      </c>
      <c r="J52" s="2" t="s">
        <v>348</v>
      </c>
      <c r="K52" s="2" t="s">
        <v>349</v>
      </c>
      <c r="L52" s="2" t="s">
        <v>350</v>
      </c>
      <c r="M52" s="2" t="s">
        <v>351</v>
      </c>
      <c r="N52" s="2" t="s">
        <v>352</v>
      </c>
      <c r="O52" s="2" t="s">
        <v>353</v>
      </c>
    </row>
    <row r="53" spans="2:19">
      <c r="B53" s="136">
        <v>42</v>
      </c>
      <c r="C53" s="136">
        <v>0</v>
      </c>
      <c r="D53" s="136">
        <v>0</v>
      </c>
      <c r="E53" s="136">
        <v>0</v>
      </c>
      <c r="F53" s="136">
        <v>7</v>
      </c>
      <c r="G53" s="136">
        <v>0</v>
      </c>
      <c r="H53" s="136">
        <v>0</v>
      </c>
      <c r="I53" s="136">
        <v>0</v>
      </c>
      <c r="J53" s="136">
        <v>1</v>
      </c>
      <c r="K53" s="136">
        <v>1</v>
      </c>
      <c r="L53" s="136">
        <v>1</v>
      </c>
      <c r="M53" s="136">
        <v>1</v>
      </c>
      <c r="N53" s="136">
        <v>1</v>
      </c>
      <c r="O53" s="136">
        <v>1</v>
      </c>
    </row>
    <row r="54" spans="2:19">
      <c r="B54" s="2" t="str">
        <f>DEC2HEX(B53)</f>
        <v>2A</v>
      </c>
      <c r="P54" s="2" t="s">
        <v>114</v>
      </c>
    </row>
    <row r="55" spans="2:19">
      <c r="B55" s="3"/>
      <c r="C55" s="3"/>
      <c r="D55" s="3"/>
      <c r="F55" s="35"/>
      <c r="G55" s="35"/>
    </row>
    <row r="56" spans="2:19">
      <c r="B56" s="48"/>
      <c r="C56" s="48"/>
    </row>
    <row r="57" spans="2:19" s="51" customFormat="1" ht="28.5">
      <c r="B57" s="50" t="s">
        <v>354</v>
      </c>
      <c r="C57" s="4" t="s">
        <v>69</v>
      </c>
      <c r="D57" s="4" t="s">
        <v>80</v>
      </c>
      <c r="E57" s="50"/>
      <c r="F57" s="50"/>
      <c r="G57" s="50"/>
      <c r="H57" s="50"/>
      <c r="I57" s="2"/>
      <c r="J57" s="50"/>
      <c r="K57" s="50"/>
    </row>
    <row r="58" spans="2:19">
      <c r="B58" s="52"/>
      <c r="C58" s="15"/>
      <c r="D58" s="15"/>
      <c r="E58" s="53"/>
      <c r="F58" s="53"/>
      <c r="G58" s="53"/>
      <c r="H58" s="53"/>
      <c r="J58" s="53"/>
      <c r="K58" s="53"/>
    </row>
    <row r="59" spans="2:19">
      <c r="B59" s="54" t="s">
        <v>355</v>
      </c>
      <c r="C59" s="54" t="str">
        <f>DEC2HEX(HEX2DEC($C$37)+(HEX2DEC("03")*4),8)</f>
        <v>0232800C</v>
      </c>
      <c r="D59" s="55" t="str">
        <f>DEC2HEX(SUM(B61:S61),8)</f>
        <v>0080C507</v>
      </c>
      <c r="E59" s="184" t="s">
        <v>646</v>
      </c>
      <c r="F59" s="185"/>
      <c r="J59" s="2"/>
      <c r="K59" s="2"/>
    </row>
    <row r="60" spans="2:19">
      <c r="J60" s="2"/>
      <c r="K60" s="2"/>
    </row>
    <row r="61" spans="2:19" s="11" customFormat="1" hidden="1">
      <c r="B61" s="56">
        <f>2^B62*B65</f>
        <v>0</v>
      </c>
      <c r="C61" s="56">
        <f t="shared" ref="C61:S61" si="45">2^C62*C65</f>
        <v>0</v>
      </c>
      <c r="D61" s="56">
        <f t="shared" si="45"/>
        <v>0</v>
      </c>
      <c r="E61" s="56">
        <f t="shared" si="45"/>
        <v>0</v>
      </c>
      <c r="F61" s="56">
        <f t="shared" si="45"/>
        <v>0</v>
      </c>
      <c r="G61" s="56">
        <f t="shared" si="45"/>
        <v>0</v>
      </c>
      <c r="H61" s="56">
        <f t="shared" si="45"/>
        <v>8388608</v>
      </c>
      <c r="I61" s="56">
        <f t="shared" si="45"/>
        <v>32768</v>
      </c>
      <c r="J61" s="56">
        <f t="shared" si="45"/>
        <v>16384</v>
      </c>
      <c r="K61" s="56">
        <f t="shared" si="45"/>
        <v>0</v>
      </c>
      <c r="L61" s="56">
        <f t="shared" si="45"/>
        <v>1024</v>
      </c>
      <c r="M61" s="56">
        <f t="shared" si="45"/>
        <v>0</v>
      </c>
      <c r="N61" s="56">
        <f t="shared" si="45"/>
        <v>256</v>
      </c>
      <c r="O61" s="56">
        <f t="shared" si="45"/>
        <v>0</v>
      </c>
      <c r="P61" s="56">
        <f t="shared" si="45"/>
        <v>0</v>
      </c>
      <c r="Q61" s="56">
        <f t="shared" si="45"/>
        <v>4</v>
      </c>
      <c r="R61" s="56">
        <f t="shared" si="45"/>
        <v>2</v>
      </c>
      <c r="S61" s="56">
        <f t="shared" si="45"/>
        <v>1</v>
      </c>
    </row>
    <row r="62" spans="2:19" s="11" customFormat="1" hidden="1">
      <c r="B62" s="56">
        <v>31</v>
      </c>
      <c r="C62" s="56">
        <v>29</v>
      </c>
      <c r="D62" s="56">
        <v>28</v>
      </c>
      <c r="E62" s="56">
        <v>27</v>
      </c>
      <c r="F62" s="56">
        <v>26</v>
      </c>
      <c r="G62" s="56">
        <v>25</v>
      </c>
      <c r="H62" s="56">
        <v>23</v>
      </c>
      <c r="I62" s="56">
        <v>15</v>
      </c>
      <c r="J62" s="56">
        <v>13</v>
      </c>
      <c r="K62" s="56">
        <v>11</v>
      </c>
      <c r="L62" s="56">
        <v>10</v>
      </c>
      <c r="M62" s="56">
        <v>9</v>
      </c>
      <c r="N62" s="56">
        <v>7</v>
      </c>
      <c r="O62" s="56">
        <v>6</v>
      </c>
      <c r="P62" s="56">
        <v>3</v>
      </c>
      <c r="Q62" s="56">
        <v>2</v>
      </c>
      <c r="R62" s="56">
        <v>1</v>
      </c>
      <c r="S62" s="56">
        <v>0</v>
      </c>
    </row>
    <row r="63" spans="2:19">
      <c r="B63" s="53" t="s">
        <v>15</v>
      </c>
      <c r="C63" s="53" t="s">
        <v>356</v>
      </c>
      <c r="D63" s="53" t="s">
        <v>95</v>
      </c>
      <c r="E63" s="53" t="s">
        <v>360</v>
      </c>
      <c r="F63" s="53" t="s">
        <v>362</v>
      </c>
      <c r="G63" s="53" t="s">
        <v>364</v>
      </c>
      <c r="H63" s="53" t="s">
        <v>366</v>
      </c>
      <c r="I63" s="53" t="s">
        <v>368</v>
      </c>
      <c r="J63" s="53" t="s">
        <v>370</v>
      </c>
      <c r="K63" s="53" t="s">
        <v>334</v>
      </c>
      <c r="L63" s="53" t="s">
        <v>205</v>
      </c>
      <c r="M63" s="53" t="s">
        <v>206</v>
      </c>
      <c r="N63" s="53" t="s">
        <v>375</v>
      </c>
      <c r="O63" s="53" t="s">
        <v>210</v>
      </c>
      <c r="P63" s="53" t="s">
        <v>232</v>
      </c>
      <c r="Q63" s="53" t="s">
        <v>153</v>
      </c>
      <c r="R63" s="53" t="s">
        <v>217</v>
      </c>
      <c r="S63" s="53" t="s">
        <v>219</v>
      </c>
    </row>
    <row r="64" spans="2:19">
      <c r="B64" s="2" t="s">
        <v>600</v>
      </c>
      <c r="C64" s="2" t="s">
        <v>357</v>
      </c>
      <c r="D64" s="2" t="s">
        <v>358</v>
      </c>
      <c r="E64" s="2" t="s">
        <v>359</v>
      </c>
      <c r="F64" s="2" t="s">
        <v>361</v>
      </c>
      <c r="G64" s="2" t="s">
        <v>363</v>
      </c>
      <c r="H64" s="2" t="s">
        <v>365</v>
      </c>
      <c r="I64" s="2" t="s">
        <v>367</v>
      </c>
      <c r="J64" s="2" t="s">
        <v>369</v>
      </c>
      <c r="K64" s="2" t="s">
        <v>371</v>
      </c>
      <c r="L64" s="2" t="s">
        <v>372</v>
      </c>
      <c r="M64" s="2" t="s">
        <v>373</v>
      </c>
      <c r="N64" s="2" t="s">
        <v>374</v>
      </c>
      <c r="O64" s="2" t="s">
        <v>376</v>
      </c>
      <c r="P64" s="2" t="s">
        <v>16</v>
      </c>
      <c r="Q64" s="2" t="s">
        <v>378</v>
      </c>
      <c r="R64" s="2" t="s">
        <v>379</v>
      </c>
      <c r="S64" s="2" t="s">
        <v>380</v>
      </c>
    </row>
    <row r="65" spans="2:21">
      <c r="B65" s="136">
        <v>0</v>
      </c>
      <c r="C65" s="136">
        <v>0</v>
      </c>
      <c r="D65" s="136">
        <v>0</v>
      </c>
      <c r="E65" s="136">
        <v>0</v>
      </c>
      <c r="F65" s="136">
        <v>0</v>
      </c>
      <c r="G65" s="136">
        <v>0</v>
      </c>
      <c r="H65" s="57">
        <v>1</v>
      </c>
      <c r="I65" s="136">
        <v>1</v>
      </c>
      <c r="J65" s="136">
        <v>2</v>
      </c>
      <c r="K65" s="136">
        <v>0</v>
      </c>
      <c r="L65" s="136">
        <v>1</v>
      </c>
      <c r="M65" s="136">
        <v>0</v>
      </c>
      <c r="N65" s="57">
        <f>phy_mode_val</f>
        <v>2</v>
      </c>
      <c r="O65" s="136">
        <v>0</v>
      </c>
      <c r="P65" s="136">
        <v>0</v>
      </c>
      <c r="Q65" s="57">
        <v>1</v>
      </c>
      <c r="R65" s="136">
        <v>1</v>
      </c>
      <c r="S65" s="136">
        <v>1</v>
      </c>
    </row>
    <row r="67" spans="2:21">
      <c r="B67" s="48"/>
      <c r="C67" s="48"/>
    </row>
    <row r="68" spans="2:21" s="51" customFormat="1" ht="28.5">
      <c r="B68" s="50" t="s">
        <v>381</v>
      </c>
      <c r="C68" s="4" t="s">
        <v>69</v>
      </c>
      <c r="D68" s="4" t="s">
        <v>80</v>
      </c>
      <c r="E68" s="50"/>
      <c r="F68" s="50"/>
      <c r="G68" s="50"/>
      <c r="H68" s="50"/>
      <c r="I68" s="2"/>
      <c r="J68" s="50"/>
      <c r="K68" s="50"/>
    </row>
    <row r="69" spans="2:21">
      <c r="B69" s="52"/>
      <c r="C69" s="15"/>
      <c r="D69" s="15"/>
      <c r="E69" s="53"/>
      <c r="F69" s="53"/>
      <c r="G69" s="53"/>
      <c r="H69" s="53"/>
      <c r="J69" s="53"/>
      <c r="K69" s="53"/>
    </row>
    <row r="70" spans="2:21">
      <c r="B70" s="54" t="s">
        <v>382</v>
      </c>
      <c r="C70" s="54" t="str">
        <f>DEC2HEX(HEX2DEC($C$37)+(HEX2DEC("23")*4),8)</f>
        <v>0232808C</v>
      </c>
      <c r="D70" s="55" t="str">
        <f>DEC2HEX(SUM(B72:G72),8)</f>
        <v>00F065BD</v>
      </c>
      <c r="J70" s="2"/>
      <c r="K70" s="2"/>
    </row>
    <row r="71" spans="2:21">
      <c r="J71" s="2"/>
      <c r="K71" s="2"/>
    </row>
    <row r="72" spans="2:21" s="11" customFormat="1" hidden="1">
      <c r="B72" s="56">
        <f>2^B73*B76</f>
        <v>0</v>
      </c>
      <c r="C72" s="56">
        <f>2^C73*C76</f>
        <v>0</v>
      </c>
      <c r="D72" s="56">
        <f t="shared" ref="D72:G72" si="46">2^D73*D76</f>
        <v>15728640</v>
      </c>
      <c r="E72" s="56">
        <f t="shared" si="46"/>
        <v>0</v>
      </c>
      <c r="F72" s="56">
        <f t="shared" si="46"/>
        <v>0</v>
      </c>
      <c r="G72" s="56">
        <f t="shared" si="46"/>
        <v>26045</v>
      </c>
      <c r="H72" s="2"/>
      <c r="I72" s="2"/>
      <c r="J72" s="2"/>
      <c r="K72" s="2"/>
      <c r="L72" s="2"/>
      <c r="M72" s="3"/>
      <c r="N72" s="3"/>
      <c r="O72" s="3"/>
      <c r="P72" s="3"/>
      <c r="Q72" s="3"/>
      <c r="R72" s="3"/>
      <c r="S72" s="3"/>
      <c r="T72" s="3"/>
      <c r="U72" s="3"/>
    </row>
    <row r="73" spans="2:21" s="11" customFormat="1" hidden="1">
      <c r="B73" s="56">
        <v>31</v>
      </c>
      <c r="C73" s="56">
        <v>28</v>
      </c>
      <c r="D73" s="56">
        <v>20</v>
      </c>
      <c r="E73" s="56">
        <v>19</v>
      </c>
      <c r="F73" s="56">
        <v>18</v>
      </c>
      <c r="G73" s="56">
        <v>0</v>
      </c>
      <c r="H73" s="2"/>
      <c r="I73" s="2"/>
      <c r="J73" s="2"/>
      <c r="K73" s="2"/>
      <c r="L73" s="2"/>
      <c r="M73" s="3"/>
      <c r="N73" s="3"/>
      <c r="O73" s="3"/>
      <c r="P73" s="3"/>
      <c r="Q73" s="3"/>
      <c r="R73" s="3"/>
      <c r="S73" s="3"/>
      <c r="T73" s="3"/>
      <c r="U73" s="3"/>
    </row>
    <row r="74" spans="2:21">
      <c r="B74" s="53" t="s">
        <v>15</v>
      </c>
      <c r="C74" s="53" t="s">
        <v>601</v>
      </c>
      <c r="D74" s="53" t="s">
        <v>384</v>
      </c>
      <c r="E74" s="53" t="s">
        <v>387</v>
      </c>
      <c r="F74" s="53" t="s">
        <v>388</v>
      </c>
      <c r="G74" s="53" t="s">
        <v>275</v>
      </c>
      <c r="J74" s="2"/>
      <c r="K74" s="2"/>
      <c r="L74" s="2"/>
    </row>
    <row r="75" spans="2:21">
      <c r="B75" s="2" t="s">
        <v>602</v>
      </c>
      <c r="C75" s="2" t="s">
        <v>16</v>
      </c>
      <c r="D75" s="2" t="s">
        <v>383</v>
      </c>
      <c r="E75" s="2" t="s">
        <v>385</v>
      </c>
      <c r="F75" s="2" t="s">
        <v>386</v>
      </c>
      <c r="G75" s="2" t="s">
        <v>389</v>
      </c>
      <c r="J75" s="2"/>
      <c r="K75" s="2"/>
      <c r="L75" s="2"/>
    </row>
    <row r="76" spans="2:21">
      <c r="B76" s="136">
        <v>0</v>
      </c>
      <c r="C76" s="136">
        <v>0</v>
      </c>
      <c r="D76" s="136">
        <v>15</v>
      </c>
      <c r="E76" s="136">
        <v>0</v>
      </c>
      <c r="F76" s="136">
        <v>0</v>
      </c>
      <c r="G76" s="57">
        <f>5*refresh_clocks_normal</f>
        <v>26045</v>
      </c>
      <c r="J76" s="2"/>
      <c r="K76" s="2"/>
      <c r="L76" s="2"/>
    </row>
    <row r="77" spans="2:21">
      <c r="D77" s="2" t="str">
        <f>DEC2HEX(D76)</f>
        <v>F</v>
      </c>
      <c r="G77" s="2" t="str">
        <f>DEC2HEX(G76)</f>
        <v>65BD</v>
      </c>
      <c r="H77" s="2" t="s">
        <v>114</v>
      </c>
      <c r="J77" s="2"/>
      <c r="K77" s="2"/>
    </row>
    <row r="78" spans="2:21">
      <c r="B78" s="48"/>
      <c r="C78" s="48"/>
      <c r="F78" s="35"/>
      <c r="G78" s="35"/>
      <c r="J78" s="2"/>
    </row>
    <row r="79" spans="2:21">
      <c r="B79" s="48"/>
      <c r="C79" s="48"/>
      <c r="F79" s="35"/>
      <c r="G79" s="35"/>
      <c r="J79" s="2"/>
    </row>
    <row r="80" spans="2:21" s="10" customFormat="1" ht="20.25">
      <c r="B80" s="69" t="s">
        <v>321</v>
      </c>
      <c r="C80" s="35"/>
      <c r="D80" s="35"/>
      <c r="E80" s="35"/>
      <c r="F80" s="35"/>
      <c r="G80" s="35"/>
      <c r="H80" s="35"/>
      <c r="I80" s="2"/>
      <c r="J80" s="2"/>
    </row>
    <row r="81" spans="2:12">
      <c r="B81" s="48"/>
      <c r="C81" s="48"/>
    </row>
    <row r="82" spans="2:12" s="51" customFormat="1" ht="28.5">
      <c r="B82" s="50" t="s">
        <v>322</v>
      </c>
      <c r="C82" s="4" t="s">
        <v>69</v>
      </c>
      <c r="D82" s="4" t="s">
        <v>80</v>
      </c>
      <c r="E82" s="50"/>
      <c r="F82" s="50"/>
      <c r="G82" s="50"/>
      <c r="H82" s="50"/>
      <c r="I82" s="2"/>
      <c r="J82" s="50"/>
      <c r="K82" s="50"/>
    </row>
    <row r="83" spans="2:12">
      <c r="B83" s="52"/>
      <c r="C83" s="15"/>
      <c r="D83" s="15"/>
      <c r="E83" s="53"/>
      <c r="F83" s="53"/>
      <c r="G83" s="53"/>
      <c r="H83" s="53"/>
      <c r="J83" s="53"/>
      <c r="K83" s="53"/>
    </row>
    <row r="84" spans="2:12">
      <c r="B84" s="54" t="s">
        <v>323</v>
      </c>
      <c r="C84" s="54" t="str">
        <f>DEC2HEX(HEX2DEC($C$37)+(HEX2DEC("06")*4),8)</f>
        <v>02328018</v>
      </c>
      <c r="D84" s="55" t="str">
        <f>DEC2HEX(SUM(B86:K86),8)</f>
        <v>0005C000</v>
      </c>
      <c r="J84" s="2"/>
      <c r="K84" s="2"/>
    </row>
    <row r="85" spans="2:12">
      <c r="J85" s="2"/>
      <c r="K85" s="2"/>
    </row>
    <row r="86" spans="2:12" s="11" customFormat="1" hidden="1">
      <c r="B86" s="56">
        <f>2^B87*B90</f>
        <v>0</v>
      </c>
      <c r="C86" s="56">
        <f t="shared" ref="C86:J86" si="47">2^C87*C90</f>
        <v>0</v>
      </c>
      <c r="D86" s="56">
        <f t="shared" si="47"/>
        <v>0</v>
      </c>
      <c r="E86" s="56">
        <f t="shared" si="47"/>
        <v>0</v>
      </c>
      <c r="F86" s="56">
        <f t="shared" si="47"/>
        <v>262144</v>
      </c>
      <c r="G86" s="56">
        <f t="shared" si="47"/>
        <v>0</v>
      </c>
      <c r="H86" s="56">
        <f t="shared" si="47"/>
        <v>114688</v>
      </c>
      <c r="I86" s="56">
        <f t="shared" si="47"/>
        <v>0</v>
      </c>
      <c r="J86" s="56">
        <f t="shared" si="47"/>
        <v>0</v>
      </c>
      <c r="K86" s="56">
        <f t="shared" ref="K86" si="48">2^K87*K90</f>
        <v>0</v>
      </c>
    </row>
    <row r="87" spans="2:12" s="11" customFormat="1" hidden="1">
      <c r="B87" s="56">
        <v>31</v>
      </c>
      <c r="C87" s="56">
        <v>30</v>
      </c>
      <c r="D87" s="56">
        <v>29</v>
      </c>
      <c r="E87" s="56">
        <v>20</v>
      </c>
      <c r="F87" s="56">
        <v>18</v>
      </c>
      <c r="G87" s="56">
        <v>17</v>
      </c>
      <c r="H87" s="56">
        <v>13</v>
      </c>
      <c r="I87" s="56">
        <v>11</v>
      </c>
      <c r="J87" s="56">
        <v>10</v>
      </c>
      <c r="K87" s="56">
        <v>0</v>
      </c>
    </row>
    <row r="88" spans="2:12">
      <c r="B88" s="53" t="s">
        <v>15</v>
      </c>
      <c r="C88" s="53" t="s">
        <v>303</v>
      </c>
      <c r="D88" s="53" t="s">
        <v>305</v>
      </c>
      <c r="E88" s="53" t="s">
        <v>269</v>
      </c>
      <c r="F88" s="53" t="s">
        <v>327</v>
      </c>
      <c r="G88" s="53" t="s">
        <v>329</v>
      </c>
      <c r="H88" s="53" t="s">
        <v>332</v>
      </c>
      <c r="I88" s="53" t="s">
        <v>334</v>
      </c>
      <c r="J88" s="53" t="s">
        <v>205</v>
      </c>
      <c r="K88" s="53" t="s">
        <v>309</v>
      </c>
    </row>
    <row r="89" spans="2:12">
      <c r="B89" s="2" t="s">
        <v>324</v>
      </c>
      <c r="C89" s="2" t="s">
        <v>325</v>
      </c>
      <c r="D89" s="2" t="s">
        <v>326</v>
      </c>
      <c r="E89" s="2" t="s">
        <v>16</v>
      </c>
      <c r="F89" s="2" t="s">
        <v>328</v>
      </c>
      <c r="G89" s="2" t="s">
        <v>330</v>
      </c>
      <c r="H89" s="2" t="s">
        <v>331</v>
      </c>
      <c r="I89" s="2" t="s">
        <v>333</v>
      </c>
      <c r="J89" s="2" t="s">
        <v>335</v>
      </c>
      <c r="K89" s="2" t="s">
        <v>16</v>
      </c>
    </row>
    <row r="90" spans="2:12">
      <c r="B90" s="136">
        <v>0</v>
      </c>
      <c r="C90" s="136">
        <v>0</v>
      </c>
      <c r="D90" s="136">
        <v>0</v>
      </c>
      <c r="E90" s="136">
        <v>0</v>
      </c>
      <c r="F90" s="57">
        <f>IF(AND(CLOCK_FREQ/2&gt;=166,CLOCK_FREQ/2&lt;275),3,IF(AND(CLOCK_FREQ/2&gt;225,CLOCK_FREQ/2&lt;385),1,(IF(AND(CLOCK_FREQ/2&gt;335,CLOCK_FREQ/2&lt;534),0,"FALSE"))))</f>
        <v>1</v>
      </c>
      <c r="G90" s="136">
        <v>0</v>
      </c>
      <c r="H90" s="136">
        <v>14</v>
      </c>
      <c r="I90" s="136">
        <v>0</v>
      </c>
      <c r="J90" s="136">
        <v>0</v>
      </c>
      <c r="K90" s="136">
        <v>0</v>
      </c>
    </row>
    <row r="91" spans="2:12">
      <c r="H91" s="35" t="str">
        <f>DEC2HEX(H90)</f>
        <v>E</v>
      </c>
      <c r="J91" s="2"/>
      <c r="K91" s="2"/>
      <c r="L91" s="2" t="s">
        <v>114</v>
      </c>
    </row>
    <row r="92" spans="2:12">
      <c r="B92" s="48"/>
      <c r="C92" s="48"/>
      <c r="F92" s="35"/>
      <c r="G92" s="35"/>
    </row>
    <row r="93" spans="2:12" s="10" customFormat="1" ht="20.25">
      <c r="B93" s="69" t="s">
        <v>286</v>
      </c>
      <c r="C93" s="35"/>
      <c r="D93" s="35"/>
      <c r="E93" s="35"/>
      <c r="F93" s="35"/>
      <c r="G93" s="35"/>
      <c r="H93" s="35"/>
      <c r="I93" s="35"/>
    </row>
    <row r="94" spans="2:12">
      <c r="B94" s="48"/>
      <c r="C94" s="48"/>
    </row>
    <row r="95" spans="2:12" s="51" customFormat="1" ht="28.5">
      <c r="B95" s="50" t="s">
        <v>181</v>
      </c>
      <c r="C95" s="4" t="s">
        <v>69</v>
      </c>
      <c r="D95" s="4" t="s">
        <v>80</v>
      </c>
      <c r="E95" s="50"/>
      <c r="F95" s="50"/>
      <c r="G95" s="50"/>
      <c r="H95" s="50"/>
      <c r="I95" s="2"/>
      <c r="J95" s="50"/>
      <c r="K95" s="50"/>
    </row>
    <row r="96" spans="2:12">
      <c r="B96" s="52"/>
      <c r="C96" s="15"/>
      <c r="D96" s="15"/>
      <c r="E96" s="53"/>
      <c r="F96" s="53"/>
      <c r="G96" s="53"/>
      <c r="H96" s="53"/>
      <c r="J96" s="53"/>
      <c r="K96" s="53"/>
    </row>
    <row r="97" spans="2:14">
      <c r="B97" s="54" t="s">
        <v>185</v>
      </c>
      <c r="C97" s="54" t="str">
        <f>DEC2HEX(HEX2DEC($C$37)+(HEX2DEC("15")*4),8)</f>
        <v>02328054</v>
      </c>
      <c r="D97" s="55" t="str">
        <f>DEC2HEX(SUM(B99:J99),8)</f>
        <v>00001A50</v>
      </c>
      <c r="J97" s="2"/>
      <c r="K97" s="2"/>
    </row>
    <row r="98" spans="2:14">
      <c r="J98" s="2"/>
      <c r="K98" s="2"/>
    </row>
    <row r="99" spans="2:14" s="11" customFormat="1" hidden="1">
      <c r="B99" s="56">
        <f>2^B100*B103</f>
        <v>0</v>
      </c>
      <c r="C99" s="56">
        <f t="shared" ref="C99:H99" si="49">2^C100*C103</f>
        <v>4096</v>
      </c>
      <c r="D99" s="56">
        <f t="shared" si="49"/>
        <v>2560</v>
      </c>
      <c r="E99" s="56">
        <f t="shared" ref="E99:F99" si="50">2^E100*E103</f>
        <v>0</v>
      </c>
      <c r="F99" s="56">
        <f t="shared" si="50"/>
        <v>0</v>
      </c>
      <c r="G99" s="56">
        <f t="shared" si="49"/>
        <v>80</v>
      </c>
      <c r="H99" s="56">
        <f t="shared" si="49"/>
        <v>0</v>
      </c>
      <c r="I99" s="56">
        <f t="shared" ref="I99:J99" si="51">2^I100*I103</f>
        <v>0</v>
      </c>
      <c r="J99" s="56">
        <f t="shared" si="51"/>
        <v>0</v>
      </c>
    </row>
    <row r="100" spans="2:14" s="11" customFormat="1" hidden="1">
      <c r="B100" s="56">
        <v>13</v>
      </c>
      <c r="C100" s="56">
        <v>12</v>
      </c>
      <c r="D100" s="56">
        <v>9</v>
      </c>
      <c r="E100" s="56">
        <v>8</v>
      </c>
      <c r="F100" s="56">
        <v>8</v>
      </c>
      <c r="G100" s="56">
        <v>4</v>
      </c>
      <c r="H100" s="56">
        <v>3</v>
      </c>
      <c r="I100" s="56">
        <v>2</v>
      </c>
      <c r="J100" s="56">
        <v>0</v>
      </c>
    </row>
    <row r="101" spans="2:14">
      <c r="B101" s="53" t="s">
        <v>170</v>
      </c>
      <c r="C101" s="53" t="s">
        <v>188</v>
      </c>
      <c r="D101" s="53" t="s">
        <v>191</v>
      </c>
      <c r="E101" s="53" t="s">
        <v>193</v>
      </c>
      <c r="F101" s="53" t="s">
        <v>150</v>
      </c>
      <c r="G101" s="53" t="s">
        <v>196</v>
      </c>
      <c r="H101" s="53" t="s">
        <v>12</v>
      </c>
      <c r="I101" s="53" t="s">
        <v>153</v>
      </c>
      <c r="J101" s="53" t="s">
        <v>158</v>
      </c>
    </row>
    <row r="102" spans="2:14">
      <c r="B102" s="2" t="s">
        <v>16</v>
      </c>
      <c r="C102" s="2" t="s">
        <v>187</v>
      </c>
      <c r="D102" s="2" t="s">
        <v>190</v>
      </c>
      <c r="E102" s="2" t="s">
        <v>192</v>
      </c>
      <c r="F102" s="2" t="s">
        <v>194</v>
      </c>
      <c r="G102" s="2" t="s">
        <v>195</v>
      </c>
      <c r="H102" s="2" t="s">
        <v>198</v>
      </c>
      <c r="I102" s="2" t="s">
        <v>197</v>
      </c>
      <c r="J102" s="2" t="s">
        <v>199</v>
      </c>
    </row>
    <row r="103" spans="2:14">
      <c r="B103" s="182">
        <v>0</v>
      </c>
      <c r="C103" s="136">
        <v>1</v>
      </c>
      <c r="D103" s="57">
        <f>t_wr_lookup_val</f>
        <v>5</v>
      </c>
      <c r="E103" s="136">
        <v>0</v>
      </c>
      <c r="F103" s="136">
        <v>0</v>
      </c>
      <c r="G103" s="57">
        <f>(cl_val-I103)/2</f>
        <v>5</v>
      </c>
      <c r="H103" s="136">
        <v>0</v>
      </c>
      <c r="I103" s="57">
        <f>MOD(cl_val,2)</f>
        <v>0</v>
      </c>
      <c r="J103" s="136">
        <v>0</v>
      </c>
    </row>
    <row r="104" spans="2:14">
      <c r="H104" s="58"/>
    </row>
    <row r="105" spans="2:14">
      <c r="B105" s="48"/>
      <c r="C105" s="48"/>
    </row>
    <row r="106" spans="2:14" s="51" customFormat="1" ht="28.5">
      <c r="B106" s="50" t="s">
        <v>200</v>
      </c>
      <c r="C106" s="4" t="s">
        <v>69</v>
      </c>
      <c r="D106" s="4" t="s">
        <v>80</v>
      </c>
      <c r="E106" s="50"/>
      <c r="F106" s="50"/>
      <c r="G106" s="50"/>
      <c r="H106" s="50"/>
      <c r="I106" s="2"/>
      <c r="J106" s="50"/>
      <c r="K106" s="50"/>
    </row>
    <row r="107" spans="2:14">
      <c r="B107" s="52"/>
      <c r="C107" s="15"/>
      <c r="D107" s="15"/>
      <c r="E107" s="53"/>
      <c r="F107" s="53"/>
      <c r="G107" s="53"/>
      <c r="H107" s="53"/>
      <c r="J107" s="53"/>
      <c r="K107" s="53"/>
    </row>
    <row r="108" spans="2:14">
      <c r="B108" s="54" t="s">
        <v>201</v>
      </c>
      <c r="C108" s="54" t="str">
        <f>DEC2HEX(HEX2DEC($C$37)+(HEX2DEC("16")*4),8)</f>
        <v>02328058</v>
      </c>
      <c r="D108" s="55" t="str">
        <f>DEC2HEX(SUM(B110:N110),8)</f>
        <v>00000006</v>
      </c>
      <c r="J108" s="2"/>
      <c r="K108" s="2"/>
    </row>
    <row r="109" spans="2:14">
      <c r="J109" s="2"/>
      <c r="K109" s="2"/>
    </row>
    <row r="110" spans="2:14" s="11" customFormat="1" hidden="1">
      <c r="B110" s="56">
        <f>2^B111*B114</f>
        <v>0</v>
      </c>
      <c r="C110" s="56">
        <f t="shared" ref="C110:I110" si="52">2^C111*C114</f>
        <v>0</v>
      </c>
      <c r="D110" s="56">
        <f t="shared" ref="D110" si="53">2^D111*D114</f>
        <v>0</v>
      </c>
      <c r="E110" s="56">
        <f t="shared" si="52"/>
        <v>0</v>
      </c>
      <c r="F110" s="56">
        <f t="shared" ref="F110:G110" si="54">2^F111*F114</f>
        <v>0</v>
      </c>
      <c r="G110" s="56">
        <f t="shared" si="54"/>
        <v>0</v>
      </c>
      <c r="H110" s="56">
        <f t="shared" si="52"/>
        <v>0</v>
      </c>
      <c r="I110" s="56">
        <f t="shared" si="52"/>
        <v>0</v>
      </c>
      <c r="J110" s="56">
        <f t="shared" ref="J110:L110" si="55">2^J111*J114</f>
        <v>0</v>
      </c>
      <c r="K110" s="56">
        <f t="shared" si="55"/>
        <v>0</v>
      </c>
      <c r="L110" s="56">
        <f t="shared" si="55"/>
        <v>4</v>
      </c>
      <c r="M110" s="56">
        <f t="shared" ref="M110:N110" si="56">2^M111*M114</f>
        <v>2</v>
      </c>
      <c r="N110" s="56">
        <f t="shared" si="56"/>
        <v>0</v>
      </c>
    </row>
    <row r="111" spans="2:14" s="11" customFormat="1" hidden="1">
      <c r="B111" s="56">
        <v>13</v>
      </c>
      <c r="C111" s="56">
        <v>12</v>
      </c>
      <c r="D111" s="56">
        <v>12</v>
      </c>
      <c r="E111" s="56">
        <v>10</v>
      </c>
      <c r="F111" s="56">
        <v>9</v>
      </c>
      <c r="G111" s="56">
        <v>8</v>
      </c>
      <c r="H111" s="56">
        <v>7</v>
      </c>
      <c r="I111" s="56">
        <v>6</v>
      </c>
      <c r="J111" s="56">
        <v>5</v>
      </c>
      <c r="K111" s="56">
        <v>3</v>
      </c>
      <c r="L111" s="56">
        <v>2</v>
      </c>
      <c r="M111" s="56">
        <v>1</v>
      </c>
      <c r="N111" s="56">
        <v>0</v>
      </c>
    </row>
    <row r="112" spans="2:14">
      <c r="B112" s="53" t="s">
        <v>170</v>
      </c>
      <c r="C112" s="53" t="s">
        <v>188</v>
      </c>
      <c r="D112" s="53" t="s">
        <v>203</v>
      </c>
      <c r="E112" s="53" t="s">
        <v>205</v>
      </c>
      <c r="F112" s="53" t="s">
        <v>206</v>
      </c>
      <c r="G112" s="53" t="s">
        <v>193</v>
      </c>
      <c r="H112" s="53" t="s">
        <v>150</v>
      </c>
      <c r="I112" s="53" t="s">
        <v>210</v>
      </c>
      <c r="J112" s="53" t="s">
        <v>212</v>
      </c>
      <c r="K112" s="53" t="s">
        <v>213</v>
      </c>
      <c r="L112" s="53" t="s">
        <v>153</v>
      </c>
      <c r="M112" s="53" t="s">
        <v>217</v>
      </c>
      <c r="N112" s="53" t="s">
        <v>219</v>
      </c>
    </row>
    <row r="113" spans="2:14">
      <c r="B113" s="2" t="s">
        <v>16</v>
      </c>
      <c r="C113" s="2" t="s">
        <v>202</v>
      </c>
      <c r="D113" s="2" t="s">
        <v>204</v>
      </c>
      <c r="E113" s="2" t="s">
        <v>16</v>
      </c>
      <c r="F113" s="2" t="s">
        <v>207</v>
      </c>
      <c r="G113" s="2" t="s">
        <v>16</v>
      </c>
      <c r="H113" s="2" t="s">
        <v>208</v>
      </c>
      <c r="I113" s="2" t="s">
        <v>209</v>
      </c>
      <c r="J113" s="2" t="s">
        <v>211</v>
      </c>
      <c r="K113" s="2" t="s">
        <v>214</v>
      </c>
      <c r="L113" s="2" t="s">
        <v>215</v>
      </c>
      <c r="M113" s="2" t="s">
        <v>216</v>
      </c>
      <c r="N113" s="2" t="s">
        <v>218</v>
      </c>
    </row>
    <row r="114" spans="2:14">
      <c r="B114" s="182">
        <v>0</v>
      </c>
      <c r="C114" s="136">
        <v>0</v>
      </c>
      <c r="D114" s="136">
        <v>0</v>
      </c>
      <c r="E114" s="136">
        <v>0</v>
      </c>
      <c r="F114" s="57">
        <f>(ddr_term_val-2*I114-L114)/4</f>
        <v>0</v>
      </c>
      <c r="G114" s="136">
        <v>0</v>
      </c>
      <c r="H114" s="136">
        <v>0</v>
      </c>
      <c r="I114" s="57">
        <f>(MOD(ddr_term_val,4)-L114)/2</f>
        <v>0</v>
      </c>
      <c r="J114" s="57">
        <f>(sdram_drive_val-M114)/2</f>
        <v>0</v>
      </c>
      <c r="K114" s="136">
        <v>0</v>
      </c>
      <c r="L114" s="57">
        <f>MOD(ddr_term_val,2)</f>
        <v>1</v>
      </c>
      <c r="M114" s="57">
        <f>MOD(sdram_drive_val,2)</f>
        <v>1</v>
      </c>
      <c r="N114" s="136">
        <v>0</v>
      </c>
    </row>
    <row r="115" spans="2:14">
      <c r="H115" s="58"/>
    </row>
    <row r="116" spans="2:14">
      <c r="B116" s="48"/>
      <c r="C116" s="48"/>
    </row>
    <row r="117" spans="2:14" s="51" customFormat="1" ht="28.5">
      <c r="B117" s="50" t="s">
        <v>220</v>
      </c>
      <c r="C117" s="4" t="s">
        <v>69</v>
      </c>
      <c r="D117" s="4" t="s">
        <v>80</v>
      </c>
      <c r="E117" s="50"/>
      <c r="F117" s="50"/>
      <c r="G117" s="50"/>
      <c r="H117" s="50"/>
      <c r="I117" s="2"/>
      <c r="J117" s="50"/>
      <c r="K117" s="50"/>
    </row>
    <row r="118" spans="2:14">
      <c r="B118" s="52"/>
      <c r="C118" s="15"/>
      <c r="D118" s="15"/>
      <c r="E118" s="53"/>
      <c r="F118" s="53"/>
      <c r="G118" s="53"/>
      <c r="H118" s="53"/>
      <c r="J118" s="53"/>
      <c r="K118" s="53"/>
    </row>
    <row r="119" spans="2:14">
      <c r="B119" s="54" t="s">
        <v>221</v>
      </c>
      <c r="C119" s="54" t="str">
        <f>DEC2HEX(HEX2DEC($C$37)+(HEX2DEC("17")*4),8)</f>
        <v>0232805C</v>
      </c>
      <c r="D119" s="55" t="str">
        <f>DEC2HEX(SUM(B121:H121),8)</f>
        <v>00000050</v>
      </c>
      <c r="J119" s="2"/>
      <c r="K119" s="2"/>
    </row>
    <row r="120" spans="2:14">
      <c r="J120" s="2"/>
      <c r="K120" s="2"/>
    </row>
    <row r="121" spans="2:14" s="11" customFormat="1" hidden="1">
      <c r="B121" s="56">
        <f>2^B122*B125</f>
        <v>0</v>
      </c>
      <c r="C121" s="56">
        <f t="shared" ref="C121:H121" si="57">2^C122*C125</f>
        <v>0</v>
      </c>
      <c r="D121" s="56">
        <f t="shared" ref="D121:E121" si="58">2^D122*D125</f>
        <v>0</v>
      </c>
      <c r="E121" s="56">
        <f t="shared" si="58"/>
        <v>0</v>
      </c>
      <c r="F121" s="56">
        <f t="shared" si="57"/>
        <v>64</v>
      </c>
      <c r="G121" s="56">
        <f t="shared" si="57"/>
        <v>16</v>
      </c>
      <c r="H121" s="56">
        <f t="shared" si="57"/>
        <v>0</v>
      </c>
      <c r="I121" s="2"/>
      <c r="J121" s="2"/>
      <c r="K121" s="2"/>
      <c r="L121" s="3"/>
    </row>
    <row r="122" spans="2:14" s="11" customFormat="1" hidden="1">
      <c r="B122" s="56">
        <v>11</v>
      </c>
      <c r="C122" s="56">
        <v>9</v>
      </c>
      <c r="D122" s="56">
        <v>8</v>
      </c>
      <c r="E122" s="56">
        <v>7</v>
      </c>
      <c r="F122" s="56">
        <v>6</v>
      </c>
      <c r="G122" s="56">
        <v>3</v>
      </c>
      <c r="H122" s="56">
        <v>0</v>
      </c>
      <c r="I122" s="2"/>
      <c r="J122" s="2"/>
      <c r="K122" s="2"/>
      <c r="L122" s="3"/>
    </row>
    <row r="123" spans="2:14">
      <c r="B123" s="53" t="s">
        <v>222</v>
      </c>
      <c r="C123" s="53" t="s">
        <v>223</v>
      </c>
      <c r="D123" s="53" t="s">
        <v>193</v>
      </c>
      <c r="E123" s="53" t="s">
        <v>150</v>
      </c>
      <c r="F123" s="53" t="s">
        <v>210</v>
      </c>
      <c r="G123" s="53" t="s">
        <v>232</v>
      </c>
      <c r="H123" s="53" t="s">
        <v>233</v>
      </c>
      <c r="J123" s="2"/>
      <c r="K123" s="2"/>
    </row>
    <row r="124" spans="2:14">
      <c r="B124" s="2" t="s">
        <v>16</v>
      </c>
      <c r="C124" s="2" t="s">
        <v>224</v>
      </c>
      <c r="D124" s="2" t="s">
        <v>16</v>
      </c>
      <c r="E124" s="2" t="s">
        <v>99</v>
      </c>
      <c r="F124" s="2" t="s">
        <v>100</v>
      </c>
      <c r="G124" s="2" t="s">
        <v>7</v>
      </c>
      <c r="H124" s="2" t="s">
        <v>101</v>
      </c>
      <c r="J124" s="2"/>
      <c r="K124" s="2"/>
    </row>
    <row r="125" spans="2:14">
      <c r="B125" s="182">
        <v>0</v>
      </c>
      <c r="C125" s="57">
        <f>dyn_odt_val</f>
        <v>0</v>
      </c>
      <c r="D125" s="136">
        <v>0</v>
      </c>
      <c r="E125" s="57">
        <f>srt_val</f>
        <v>0</v>
      </c>
      <c r="F125" s="57">
        <f>asr_val</f>
        <v>1</v>
      </c>
      <c r="G125" s="57">
        <f>cwl_val</f>
        <v>2</v>
      </c>
      <c r="H125" s="57">
        <f>pasr_val</f>
        <v>0</v>
      </c>
      <c r="J125" s="2"/>
      <c r="K125" s="2"/>
    </row>
    <row r="126" spans="2:14">
      <c r="H126" s="58"/>
      <c r="J126" s="2"/>
      <c r="K126" s="2"/>
    </row>
    <row r="127" spans="2:14">
      <c r="B127" s="48"/>
      <c r="C127" s="48"/>
    </row>
    <row r="128" spans="2:14" s="51" customFormat="1" ht="28.5">
      <c r="B128" s="50" t="s">
        <v>234</v>
      </c>
      <c r="C128" s="4" t="s">
        <v>69</v>
      </c>
      <c r="D128" s="4" t="s">
        <v>80</v>
      </c>
      <c r="E128" s="50"/>
      <c r="F128" s="50"/>
      <c r="G128" s="50"/>
      <c r="H128" s="50"/>
      <c r="I128" s="2"/>
      <c r="J128" s="50"/>
      <c r="K128" s="50"/>
    </row>
    <row r="129" spans="2:12">
      <c r="B129" s="52"/>
      <c r="C129" s="15"/>
      <c r="D129" s="15"/>
      <c r="E129" s="53"/>
      <c r="F129" s="53"/>
      <c r="G129" s="53"/>
      <c r="H129" s="53"/>
      <c r="J129" s="53"/>
      <c r="K129" s="53"/>
    </row>
    <row r="130" spans="2:12">
      <c r="B130" s="54" t="s">
        <v>238</v>
      </c>
      <c r="C130" s="54" t="str">
        <f>DEC2HEX(HEX2DEC($C$37)+(HEX2DEC("18")*4),8)</f>
        <v>02328060</v>
      </c>
      <c r="D130" s="55" t="str">
        <f>DEC2HEX(SUM(B132:D132),8)</f>
        <v>00000000</v>
      </c>
      <c r="E130" s="188" t="s">
        <v>483</v>
      </c>
      <c r="J130" s="2"/>
      <c r="K130" s="2"/>
    </row>
    <row r="131" spans="2:12">
      <c r="J131" s="2"/>
      <c r="K131" s="2"/>
    </row>
    <row r="132" spans="2:12" s="11" customFormat="1" hidden="1">
      <c r="B132" s="56">
        <f>2^B133*B136</f>
        <v>0</v>
      </c>
      <c r="C132" s="56">
        <f t="shared" ref="C132" si="59">2^C133*C136</f>
        <v>0</v>
      </c>
      <c r="D132" s="56">
        <f t="shared" ref="D132" si="60">2^D133*D136</f>
        <v>0</v>
      </c>
      <c r="E132" s="2"/>
      <c r="F132" s="2"/>
      <c r="G132" s="2"/>
      <c r="H132" s="2"/>
      <c r="I132" s="2"/>
      <c r="J132" s="2"/>
      <c r="K132" s="2"/>
      <c r="L132" s="3"/>
    </row>
    <row r="133" spans="2:12" s="11" customFormat="1" hidden="1">
      <c r="B133" s="56">
        <v>3</v>
      </c>
      <c r="C133" s="56">
        <v>2</v>
      </c>
      <c r="D133" s="56">
        <v>0</v>
      </c>
      <c r="E133" s="2"/>
      <c r="F133" s="2"/>
      <c r="G133" s="2"/>
      <c r="H133" s="2"/>
      <c r="I133" s="2"/>
      <c r="J133" s="2"/>
      <c r="K133" s="2"/>
      <c r="L133" s="3"/>
    </row>
    <row r="134" spans="2:12">
      <c r="B134" s="53" t="s">
        <v>235</v>
      </c>
      <c r="C134" s="53" t="s">
        <v>153</v>
      </c>
      <c r="D134" s="53" t="s">
        <v>158</v>
      </c>
      <c r="J134" s="2"/>
      <c r="K134" s="2"/>
    </row>
    <row r="135" spans="2:12">
      <c r="B135" s="2" t="s">
        <v>16</v>
      </c>
      <c r="C135" s="2" t="s">
        <v>236</v>
      </c>
      <c r="D135" s="2" t="s">
        <v>237</v>
      </c>
      <c r="J135" s="2"/>
      <c r="K135" s="2"/>
    </row>
    <row r="136" spans="2:12">
      <c r="B136" s="182">
        <v>0</v>
      </c>
      <c r="C136" s="136">
        <v>0</v>
      </c>
      <c r="D136" s="136">
        <v>0</v>
      </c>
      <c r="J136" s="2"/>
      <c r="K136" s="2"/>
    </row>
    <row r="137" spans="2:12">
      <c r="H137" s="58"/>
      <c r="J137" s="2"/>
      <c r="K137" s="2"/>
    </row>
    <row r="138" spans="2:12">
      <c r="H138" s="58"/>
      <c r="J138" s="2"/>
      <c r="K138" s="2"/>
    </row>
    <row r="139" spans="2:12" s="10" customFormat="1" ht="20.25">
      <c r="B139" s="69" t="s">
        <v>287</v>
      </c>
      <c r="C139" s="35"/>
      <c r="D139" s="35"/>
      <c r="E139" s="35"/>
      <c r="F139" s="35"/>
      <c r="G139" s="35"/>
      <c r="H139" s="35"/>
      <c r="I139" s="35"/>
    </row>
    <row r="140" spans="2:12">
      <c r="B140" s="48"/>
      <c r="C140" s="48"/>
    </row>
    <row r="141" spans="2:12" s="51" customFormat="1" ht="28.5">
      <c r="B141" s="50" t="s">
        <v>280</v>
      </c>
      <c r="C141" s="4" t="s">
        <v>69</v>
      </c>
      <c r="D141" s="4" t="s">
        <v>80</v>
      </c>
      <c r="E141" s="2"/>
      <c r="F141" s="2"/>
      <c r="G141" s="50"/>
      <c r="H141" s="50"/>
      <c r="I141" s="2"/>
      <c r="J141" s="50"/>
      <c r="K141" s="50"/>
    </row>
    <row r="142" spans="2:12">
      <c r="B142" s="52"/>
      <c r="C142" s="15"/>
      <c r="D142" s="15"/>
      <c r="G142" s="53"/>
      <c r="H142" s="53"/>
      <c r="J142" s="53"/>
      <c r="K142" s="53"/>
    </row>
    <row r="143" spans="2:12">
      <c r="B143" s="54" t="s">
        <v>281</v>
      </c>
      <c r="C143" s="54" t="str">
        <f>DEC2HEX(HEX2DEC($C$37)+(HEX2DEC("12")*4),8)</f>
        <v>02328048</v>
      </c>
      <c r="D143" s="55" t="str">
        <f>DEC2HEX(SUM(B145:H145),8)</f>
        <v>85589955</v>
      </c>
      <c r="J143" s="2"/>
      <c r="K143" s="2"/>
    </row>
    <row r="144" spans="2:12">
      <c r="J144" s="2"/>
      <c r="K144" s="2"/>
    </row>
    <row r="145" spans="2:12" s="11" customFormat="1" hidden="1">
      <c r="B145" s="56">
        <f t="shared" ref="B145:H145" si="61">2^B146*B149</f>
        <v>2214592512</v>
      </c>
      <c r="C145" s="56">
        <f t="shared" si="61"/>
        <v>20971520</v>
      </c>
      <c r="D145" s="56">
        <f t="shared" si="61"/>
        <v>1572864</v>
      </c>
      <c r="E145" s="56">
        <f t="shared" si="61"/>
        <v>36864</v>
      </c>
      <c r="F145" s="56">
        <f t="shared" si="61"/>
        <v>2304</v>
      </c>
      <c r="G145" s="56">
        <f t="shared" si="61"/>
        <v>80</v>
      </c>
      <c r="H145" s="56">
        <f t="shared" si="61"/>
        <v>5</v>
      </c>
      <c r="I145" s="2"/>
      <c r="J145" s="2"/>
      <c r="K145" s="2"/>
      <c r="L145" s="3"/>
    </row>
    <row r="146" spans="2:12" s="11" customFormat="1" hidden="1">
      <c r="B146" s="56">
        <v>26</v>
      </c>
      <c r="C146" s="56">
        <v>22</v>
      </c>
      <c r="D146" s="56">
        <v>16</v>
      </c>
      <c r="E146" s="56">
        <v>12</v>
      </c>
      <c r="F146" s="56">
        <v>8</v>
      </c>
      <c r="G146" s="56">
        <v>4</v>
      </c>
      <c r="H146" s="56">
        <v>0</v>
      </c>
      <c r="I146" s="2"/>
      <c r="J146" s="2"/>
      <c r="K146" s="2"/>
      <c r="L146" s="3"/>
    </row>
    <row r="147" spans="2:12">
      <c r="B147" s="53" t="s">
        <v>282</v>
      </c>
      <c r="C147" s="53" t="s">
        <v>283</v>
      </c>
      <c r="D147" s="53" t="s">
        <v>284</v>
      </c>
      <c r="E147" s="53" t="s">
        <v>285</v>
      </c>
      <c r="F147" s="53" t="s">
        <v>144</v>
      </c>
      <c r="G147" s="53" t="s">
        <v>177</v>
      </c>
      <c r="H147" s="53" t="s">
        <v>35</v>
      </c>
      <c r="J147" s="2"/>
      <c r="K147" s="2"/>
    </row>
    <row r="148" spans="2:12">
      <c r="B148" s="2" t="s">
        <v>21</v>
      </c>
      <c r="C148" s="2" t="s">
        <v>22</v>
      </c>
      <c r="D148" s="2" t="s">
        <v>20</v>
      </c>
      <c r="E148" s="2" t="s">
        <v>18</v>
      </c>
      <c r="F148" s="2" t="s">
        <v>17</v>
      </c>
      <c r="G148" s="2" t="s">
        <v>23</v>
      </c>
      <c r="H148" s="2" t="s">
        <v>28</v>
      </c>
      <c r="J148" s="2"/>
      <c r="K148" s="2"/>
    </row>
    <row r="149" spans="2:12">
      <c r="B149" s="57">
        <f>t_rc_val</f>
        <v>33</v>
      </c>
      <c r="C149" s="57">
        <f>t_rrd_val</f>
        <v>5</v>
      </c>
      <c r="D149" s="57">
        <f>t_ras_val</f>
        <v>24</v>
      </c>
      <c r="E149" s="57">
        <f>t_rcd_val</f>
        <v>9</v>
      </c>
      <c r="F149" s="57">
        <f>t_rp_val</f>
        <v>9</v>
      </c>
      <c r="G149" s="57">
        <f>t_wtr_val</f>
        <v>5</v>
      </c>
      <c r="H149" s="57">
        <f>t_rtp_val</f>
        <v>5</v>
      </c>
      <c r="J149" s="2"/>
      <c r="K149" s="2"/>
    </row>
    <row r="150" spans="2:12">
      <c r="B150" s="71" t="str">
        <f>DEC2HEX(B149)</f>
        <v>21</v>
      </c>
      <c r="C150" s="3"/>
      <c r="D150" s="71" t="str">
        <f>DEC2HEX(D149)</f>
        <v>18</v>
      </c>
      <c r="E150" s="71" t="str">
        <f t="shared" ref="E150:F150" si="62">DEC2HEX(E149)</f>
        <v>9</v>
      </c>
      <c r="F150" s="71" t="str">
        <f t="shared" si="62"/>
        <v>9</v>
      </c>
      <c r="I150" s="2" t="s">
        <v>114</v>
      </c>
      <c r="J150" s="2"/>
      <c r="K150" s="2"/>
    </row>
    <row r="151" spans="2:12">
      <c r="B151" s="48"/>
      <c r="C151" s="48"/>
    </row>
    <row r="152" spans="2:12" s="51" customFormat="1" ht="28.5">
      <c r="B152" s="50" t="s">
        <v>289</v>
      </c>
      <c r="C152" s="4" t="s">
        <v>69</v>
      </c>
      <c r="D152" s="4" t="s">
        <v>80</v>
      </c>
      <c r="E152" s="2"/>
      <c r="F152" s="2"/>
      <c r="G152" s="50"/>
      <c r="H152" s="50"/>
      <c r="I152" s="2"/>
      <c r="J152" s="50"/>
      <c r="K152" s="50"/>
    </row>
    <row r="153" spans="2:12">
      <c r="B153" s="52"/>
      <c r="C153" s="15"/>
      <c r="D153" s="15"/>
      <c r="G153" s="53"/>
      <c r="H153" s="53"/>
      <c r="J153" s="53"/>
      <c r="K153" s="53"/>
    </row>
    <row r="154" spans="2:12">
      <c r="B154" s="54" t="s">
        <v>290</v>
      </c>
      <c r="C154" s="54" t="str">
        <f>DEC2HEX(HEX2DEC($C$37)+(HEX2DEC("13")*4),8)</f>
        <v>0232804C</v>
      </c>
      <c r="D154" s="55" t="str">
        <f>DEC2HEX(SUM(B156:H156),8)</f>
        <v>328573C0</v>
      </c>
      <c r="J154" s="2"/>
      <c r="K154" s="2"/>
    </row>
    <row r="155" spans="2:12">
      <c r="J155" s="2"/>
      <c r="K155" s="2"/>
    </row>
    <row r="156" spans="2:12" s="11" customFormat="1" hidden="1">
      <c r="B156" s="56">
        <f t="shared" ref="B156:H156" si="63">2^B157*B160</f>
        <v>0</v>
      </c>
      <c r="C156" s="56">
        <f t="shared" si="63"/>
        <v>805306368</v>
      </c>
      <c r="D156" s="56">
        <f t="shared" si="63"/>
        <v>41943040</v>
      </c>
      <c r="E156" s="56">
        <f t="shared" si="63"/>
        <v>356352</v>
      </c>
      <c r="F156" s="56">
        <f t="shared" si="63"/>
        <v>960</v>
      </c>
      <c r="G156" s="56">
        <f t="shared" si="63"/>
        <v>0</v>
      </c>
      <c r="H156" s="56">
        <f t="shared" si="63"/>
        <v>0</v>
      </c>
      <c r="I156" s="2"/>
      <c r="J156" s="2"/>
      <c r="K156" s="2"/>
      <c r="L156" s="3"/>
    </row>
    <row r="157" spans="2:12" s="11" customFormat="1" hidden="1">
      <c r="B157" s="56">
        <v>30</v>
      </c>
      <c r="C157" s="56">
        <v>26</v>
      </c>
      <c r="D157" s="56">
        <v>20</v>
      </c>
      <c r="E157" s="56">
        <v>11</v>
      </c>
      <c r="F157" s="56">
        <v>5</v>
      </c>
      <c r="G157" s="56">
        <v>2</v>
      </c>
      <c r="H157" s="56">
        <v>0</v>
      </c>
      <c r="I157" s="2"/>
      <c r="J157" s="2"/>
      <c r="K157" s="2"/>
      <c r="L157" s="3"/>
    </row>
    <row r="158" spans="2:12">
      <c r="B158" s="53" t="s">
        <v>160</v>
      </c>
      <c r="C158" s="53" t="s">
        <v>291</v>
      </c>
      <c r="D158" s="53" t="s">
        <v>292</v>
      </c>
      <c r="E158" s="53" t="s">
        <v>293</v>
      </c>
      <c r="F158" s="53" t="s">
        <v>294</v>
      </c>
      <c r="G158" s="53" t="s">
        <v>295</v>
      </c>
      <c r="H158" s="53" t="s">
        <v>158</v>
      </c>
      <c r="J158" s="2"/>
      <c r="K158" s="2"/>
    </row>
    <row r="159" spans="2:12">
      <c r="B159" s="2" t="s">
        <v>16</v>
      </c>
      <c r="C159" s="2" t="s">
        <v>296</v>
      </c>
      <c r="D159" s="2" t="s">
        <v>297</v>
      </c>
      <c r="E159" s="2" t="s">
        <v>34</v>
      </c>
      <c r="F159" s="2" t="s">
        <v>125</v>
      </c>
      <c r="G159" s="2" t="s">
        <v>298</v>
      </c>
      <c r="H159" s="2" t="s">
        <v>299</v>
      </c>
      <c r="J159" s="2"/>
      <c r="K159" s="2"/>
    </row>
    <row r="160" spans="2:12">
      <c r="B160" s="136">
        <v>0</v>
      </c>
      <c r="C160" s="136">
        <f>t_wlo_val+12</f>
        <v>12</v>
      </c>
      <c r="D160" s="57">
        <f>t_wlmrd_val</f>
        <v>40</v>
      </c>
      <c r="E160" s="57">
        <f>t_rfc_val</f>
        <v>174</v>
      </c>
      <c r="F160" s="57">
        <f>t_faw_val</f>
        <v>30</v>
      </c>
      <c r="G160" s="57">
        <f>t_mod_lookup_val</f>
        <v>0</v>
      </c>
      <c r="H160" s="57">
        <f>t_mrd_lookup_val</f>
        <v>0</v>
      </c>
      <c r="J160" s="2"/>
      <c r="K160" s="2"/>
    </row>
    <row r="161" spans="2:12">
      <c r="B161" s="3"/>
      <c r="C161" s="3"/>
      <c r="D161" s="71" t="str">
        <f>DEC2HEX(D160)</f>
        <v>28</v>
      </c>
      <c r="E161" s="71" t="str">
        <f>DEC2HEX(E160)</f>
        <v>AE</v>
      </c>
      <c r="F161" s="71" t="str">
        <f>DEC2HEX(F160)</f>
        <v>1E</v>
      </c>
      <c r="I161" s="2" t="s">
        <v>114</v>
      </c>
      <c r="J161" s="2"/>
      <c r="K161" s="2"/>
    </row>
    <row r="162" spans="2:12" ht="31.5" hidden="1" customHeight="1">
      <c r="B162" s="3"/>
      <c r="C162" s="3"/>
      <c r="D162" s="71"/>
      <c r="E162" s="71"/>
      <c r="J162" s="2"/>
      <c r="K162" s="2"/>
    </row>
    <row r="163" spans="2:12">
      <c r="B163" s="48"/>
      <c r="C163" s="48"/>
    </row>
    <row r="164" spans="2:12" s="51" customFormat="1" ht="28.5">
      <c r="B164" s="50" t="s">
        <v>300</v>
      </c>
      <c r="C164" s="4" t="s">
        <v>69</v>
      </c>
      <c r="D164" s="4" t="s">
        <v>80</v>
      </c>
      <c r="E164" s="2"/>
      <c r="F164" s="2"/>
      <c r="G164" s="50"/>
      <c r="H164" s="50"/>
      <c r="I164" s="2"/>
      <c r="J164" s="50"/>
      <c r="K164" s="50"/>
    </row>
    <row r="165" spans="2:12">
      <c r="B165" s="52"/>
      <c r="C165" s="15"/>
      <c r="D165" s="15"/>
      <c r="G165" s="53"/>
      <c r="H165" s="53"/>
      <c r="J165" s="53"/>
      <c r="K165" s="53"/>
    </row>
    <row r="166" spans="2:12">
      <c r="B166" s="54" t="s">
        <v>301</v>
      </c>
      <c r="C166" s="54" t="str">
        <f>DEC2HEX(HEX2DEC($C$37)+(HEX2DEC("14")*4),8)</f>
        <v>02328050</v>
      </c>
      <c r="D166" s="55" t="str">
        <f>DEC2HEX(SUM(B168:H168),8)</f>
        <v>5002C200</v>
      </c>
      <c r="J166" s="2"/>
      <c r="K166" s="2"/>
    </row>
    <row r="167" spans="2:12">
      <c r="J167" s="2"/>
      <c r="K167" s="2"/>
    </row>
    <row r="168" spans="2:12" s="11" customFormat="1" hidden="1">
      <c r="B168" s="56">
        <f t="shared" ref="B168:H168" si="64">2^B169*B172</f>
        <v>0</v>
      </c>
      <c r="C168" s="56">
        <f t="shared" si="64"/>
        <v>1073741824</v>
      </c>
      <c r="D168" s="56">
        <f t="shared" si="64"/>
        <v>0</v>
      </c>
      <c r="E168" s="56">
        <f t="shared" si="64"/>
        <v>268435456</v>
      </c>
      <c r="F168" s="56">
        <f t="shared" si="64"/>
        <v>163840</v>
      </c>
      <c r="G168" s="56">
        <f t="shared" si="64"/>
        <v>16384</v>
      </c>
      <c r="H168" s="56">
        <f t="shared" si="64"/>
        <v>512</v>
      </c>
      <c r="I168" s="2"/>
      <c r="J168" s="2"/>
      <c r="K168" s="2"/>
      <c r="L168" s="3"/>
    </row>
    <row r="169" spans="2:12" s="11" customFormat="1" hidden="1">
      <c r="B169" s="56">
        <v>31</v>
      </c>
      <c r="C169" s="56">
        <v>30</v>
      </c>
      <c r="D169" s="56">
        <v>29</v>
      </c>
      <c r="E169" s="56">
        <v>19</v>
      </c>
      <c r="F169" s="56">
        <v>15</v>
      </c>
      <c r="G169" s="56">
        <v>10</v>
      </c>
      <c r="H169" s="56">
        <v>0</v>
      </c>
      <c r="I169" s="2"/>
      <c r="J169" s="2"/>
      <c r="K169" s="2"/>
      <c r="L169" s="3"/>
    </row>
    <row r="170" spans="2:12">
      <c r="B170" s="53" t="s">
        <v>15</v>
      </c>
      <c r="C170" s="53" t="s">
        <v>303</v>
      </c>
      <c r="D170" s="53" t="s">
        <v>305</v>
      </c>
      <c r="E170" s="53" t="s">
        <v>307</v>
      </c>
      <c r="F170" s="53" t="s">
        <v>308</v>
      </c>
      <c r="G170" s="53" t="s">
        <v>260</v>
      </c>
      <c r="H170" s="53" t="s">
        <v>309</v>
      </c>
      <c r="J170" s="2"/>
      <c r="K170" s="2"/>
    </row>
    <row r="171" spans="2:12">
      <c r="B171" s="2" t="s">
        <v>302</v>
      </c>
      <c r="C171" s="2" t="s">
        <v>171</v>
      </c>
      <c r="D171" s="2" t="s">
        <v>304</v>
      </c>
      <c r="E171" s="2" t="s">
        <v>306</v>
      </c>
      <c r="F171" s="2" t="s">
        <v>29</v>
      </c>
      <c r="G171" s="2" t="s">
        <v>24</v>
      </c>
      <c r="H171" s="2" t="s">
        <v>128</v>
      </c>
      <c r="J171" s="2"/>
      <c r="K171" s="2"/>
    </row>
    <row r="172" spans="2:12">
      <c r="B172" s="57">
        <f>t_ccd_lookup_val</f>
        <v>0</v>
      </c>
      <c r="C172" s="183">
        <v>1</v>
      </c>
      <c r="D172" s="183">
        <v>0</v>
      </c>
      <c r="E172" s="57">
        <f>t_dllk_val</f>
        <v>512</v>
      </c>
      <c r="F172" s="57">
        <f>t_ckesr_val</f>
        <v>5</v>
      </c>
      <c r="G172" s="57">
        <f>MAX(t_xp_val, t_xpdll_val)</f>
        <v>16</v>
      </c>
      <c r="H172" s="57">
        <f>MAX(t_xs_val, t_xsdll_val)</f>
        <v>512</v>
      </c>
      <c r="J172" s="2"/>
      <c r="K172" s="2"/>
    </row>
    <row r="173" spans="2:12">
      <c r="B173" s="3"/>
      <c r="C173" s="3"/>
      <c r="D173" s="3"/>
      <c r="E173" s="71" t="str">
        <f>DEC2HEX(E172)</f>
        <v>200</v>
      </c>
      <c r="G173" s="71" t="str">
        <f>DEC2HEX(G172)</f>
        <v>10</v>
      </c>
      <c r="H173" s="71" t="str">
        <f>DEC2HEX(H172)</f>
        <v>200</v>
      </c>
      <c r="I173" s="2" t="s">
        <v>114</v>
      </c>
      <c r="J173" s="2"/>
      <c r="K173" s="2"/>
    </row>
    <row r="174" spans="2:12">
      <c r="B174" s="3"/>
      <c r="C174" s="3"/>
      <c r="D174" s="3"/>
      <c r="J174" s="2"/>
      <c r="K174" s="2"/>
    </row>
    <row r="175" spans="2:12" s="10" customFormat="1" ht="20.25">
      <c r="B175" s="69" t="s">
        <v>288</v>
      </c>
      <c r="C175" s="35"/>
      <c r="D175" s="35"/>
      <c r="E175" s="35"/>
      <c r="F175" s="35"/>
      <c r="G175" s="35"/>
      <c r="H175" s="35"/>
      <c r="I175" s="35"/>
    </row>
    <row r="176" spans="2:12">
      <c r="B176" s="48"/>
      <c r="C176" s="48"/>
    </row>
    <row r="177" spans="2:12" s="51" customFormat="1" ht="42.75">
      <c r="B177" s="50" t="s">
        <v>239</v>
      </c>
      <c r="C177" s="4" t="s">
        <v>69</v>
      </c>
      <c r="D177" s="4" t="s">
        <v>80</v>
      </c>
      <c r="E177" s="53" t="s">
        <v>659</v>
      </c>
      <c r="F177" s="53" t="s">
        <v>657</v>
      </c>
      <c r="G177" s="50"/>
      <c r="H177" s="50"/>
      <c r="I177" s="2"/>
      <c r="J177" s="50"/>
      <c r="K177" s="50"/>
    </row>
    <row r="178" spans="2:12">
      <c r="B178" s="52"/>
      <c r="C178" s="15"/>
      <c r="D178" s="15"/>
      <c r="E178" s="53"/>
      <c r="F178" s="53"/>
      <c r="G178" s="53"/>
      <c r="H178" s="53"/>
      <c r="J178" s="53"/>
      <c r="K178" s="53"/>
    </row>
    <row r="179" spans="2:12" ht="35.450000000000003" customHeight="1">
      <c r="B179" s="54" t="s">
        <v>240</v>
      </c>
      <c r="C179" s="54" t="str">
        <f>DEC2HEX(HEX2DEC($C$37)+(HEX2DEC("07")*4),8)</f>
        <v>0232801C</v>
      </c>
      <c r="D179" s="55" t="str">
        <f>DEC2HEX(SUM(B181:D181),8)</f>
        <v>42C21590</v>
      </c>
      <c r="E179" s="187">
        <f>1600/3</f>
        <v>533.33333333333337</v>
      </c>
      <c r="F179" s="187">
        <f>1/E179*1000</f>
        <v>1.875</v>
      </c>
      <c r="G179" s="238" t="s">
        <v>658</v>
      </c>
      <c r="H179" s="238"/>
      <c r="I179" s="238"/>
      <c r="J179" s="2"/>
      <c r="K179" s="2"/>
    </row>
    <row r="180" spans="2:12">
      <c r="J180" s="2"/>
      <c r="K180" s="2"/>
    </row>
    <row r="181" spans="2:12" s="11" customFormat="1" hidden="1">
      <c r="B181" s="56">
        <f>2^B182*B185</f>
        <v>1119879168</v>
      </c>
      <c r="C181" s="56">
        <f t="shared" ref="C181:D181" si="65">2^C182*C185</f>
        <v>136576</v>
      </c>
      <c r="D181" s="56">
        <f t="shared" si="65"/>
        <v>16</v>
      </c>
      <c r="E181" s="2"/>
      <c r="F181" s="2"/>
      <c r="G181" s="2"/>
      <c r="H181" s="2"/>
      <c r="I181" s="2"/>
      <c r="J181" s="2"/>
      <c r="K181" s="2"/>
      <c r="L181" s="3"/>
    </row>
    <row r="182" spans="2:12" s="11" customFormat="1" hidden="1">
      <c r="B182" s="56">
        <v>21</v>
      </c>
      <c r="C182" s="56">
        <v>6</v>
      </c>
      <c r="D182" s="56">
        <v>0</v>
      </c>
      <c r="E182" s="2"/>
      <c r="F182" s="2"/>
      <c r="G182" s="2"/>
      <c r="H182" s="2"/>
      <c r="I182" s="2"/>
      <c r="J182" s="2"/>
      <c r="K182" s="2"/>
      <c r="L182" s="3"/>
    </row>
    <row r="183" spans="2:12">
      <c r="B183" s="53" t="s">
        <v>241</v>
      </c>
      <c r="C183" s="53" t="s">
        <v>242</v>
      </c>
      <c r="D183" s="53" t="s">
        <v>243</v>
      </c>
      <c r="J183" s="2"/>
      <c r="K183" s="2"/>
    </row>
    <row r="184" spans="2:12">
      <c r="B184" s="2" t="s">
        <v>244</v>
      </c>
      <c r="C184" s="2" t="s">
        <v>245</v>
      </c>
      <c r="D184" s="2" t="s">
        <v>246</v>
      </c>
      <c r="J184" s="2"/>
      <c r="K184" s="2"/>
    </row>
    <row r="185" spans="2:12">
      <c r="B185" s="182">
        <f>CEILING(1/F179*1000,1)</f>
        <v>534</v>
      </c>
      <c r="C185" s="136">
        <f>CEILING(4/F179*1000,1)</f>
        <v>2134</v>
      </c>
      <c r="D185" s="136">
        <v>16</v>
      </c>
      <c r="J185" s="2"/>
      <c r="K185" s="2"/>
    </row>
    <row r="186" spans="2:12">
      <c r="B186" s="71" t="str">
        <f>DEC2HEX(B185)</f>
        <v>216</v>
      </c>
      <c r="C186" s="71" t="str">
        <f>DEC2HEX(C185)</f>
        <v>856</v>
      </c>
      <c r="D186" s="71" t="str">
        <f>DEC2HEX(D185)</f>
        <v>10</v>
      </c>
      <c r="E186" s="2" t="s">
        <v>114</v>
      </c>
      <c r="J186" s="2"/>
      <c r="K186" s="2"/>
    </row>
    <row r="187" spans="2:12">
      <c r="B187" s="2" t="s">
        <v>266</v>
      </c>
      <c r="C187" s="2" t="s">
        <v>265</v>
      </c>
      <c r="H187" s="58"/>
      <c r="J187" s="2"/>
      <c r="K187" s="2"/>
    </row>
    <row r="188" spans="2:12">
      <c r="B188" s="48"/>
      <c r="C188" s="48"/>
    </row>
    <row r="189" spans="2:12" s="51" customFormat="1" ht="28.5">
      <c r="B189" s="50" t="s">
        <v>247</v>
      </c>
      <c r="C189" s="4" t="s">
        <v>69</v>
      </c>
      <c r="D189" s="4" t="s">
        <v>80</v>
      </c>
      <c r="E189" s="53"/>
      <c r="F189" s="53"/>
      <c r="G189" s="50"/>
      <c r="H189" s="50"/>
      <c r="I189" s="2"/>
      <c r="J189" s="50"/>
      <c r="K189" s="50"/>
    </row>
    <row r="190" spans="2:12">
      <c r="B190" s="52"/>
      <c r="C190" s="15"/>
      <c r="D190" s="15"/>
      <c r="E190" s="53"/>
      <c r="F190" s="53"/>
      <c r="G190" s="53"/>
      <c r="H190" s="53"/>
      <c r="J190" s="53"/>
      <c r="K190" s="53"/>
    </row>
    <row r="191" spans="2:12">
      <c r="B191" s="54" t="s">
        <v>254</v>
      </c>
      <c r="C191" s="54" t="str">
        <f>DEC2HEX(HEX2DEC($C$37)+(HEX2DEC("08")*4),8)</f>
        <v>02328020</v>
      </c>
      <c r="D191" s="55" t="str">
        <f>DEC2HEX(SUM(B193:D193),8)</f>
        <v>D05612C0</v>
      </c>
      <c r="E191" s="72"/>
      <c r="F191" s="72"/>
      <c r="J191" s="2"/>
      <c r="K191" s="2"/>
    </row>
    <row r="192" spans="2:12">
      <c r="J192" s="2"/>
      <c r="K192" s="2"/>
    </row>
    <row r="193" spans="2:12" s="11" customFormat="1" hidden="1">
      <c r="B193" s="56">
        <f>2^B194*B197</f>
        <v>3495297024</v>
      </c>
      <c r="C193" s="56">
        <f t="shared" ref="C193:D193" si="66">2^C194*C197</f>
        <v>0</v>
      </c>
      <c r="D193" s="56">
        <f t="shared" si="66"/>
        <v>4800</v>
      </c>
      <c r="E193" s="2"/>
      <c r="F193" s="2"/>
      <c r="G193" s="2"/>
      <c r="H193" s="2"/>
      <c r="I193" s="2"/>
      <c r="J193" s="2"/>
      <c r="K193" s="2"/>
      <c r="L193" s="3"/>
    </row>
    <row r="194" spans="2:12" s="11" customFormat="1" hidden="1">
      <c r="B194" s="56">
        <v>16</v>
      </c>
      <c r="C194" s="56">
        <v>13</v>
      </c>
      <c r="D194" s="56">
        <v>0</v>
      </c>
      <c r="E194" s="2"/>
      <c r="F194" s="2"/>
      <c r="G194" s="2"/>
      <c r="H194" s="2"/>
      <c r="I194" s="2"/>
      <c r="J194" s="2"/>
      <c r="K194" s="2"/>
      <c r="L194" s="3"/>
    </row>
    <row r="195" spans="2:12">
      <c r="B195" s="53" t="s">
        <v>251</v>
      </c>
      <c r="C195" s="53" t="s">
        <v>248</v>
      </c>
      <c r="D195" s="53" t="s">
        <v>249</v>
      </c>
      <c r="J195" s="2"/>
      <c r="K195" s="2"/>
    </row>
    <row r="196" spans="2:12">
      <c r="B196" s="2" t="s">
        <v>252</v>
      </c>
      <c r="C196" s="2" t="s">
        <v>16</v>
      </c>
      <c r="D196" s="2" t="s">
        <v>250</v>
      </c>
      <c r="J196" s="2"/>
      <c r="K196" s="2"/>
    </row>
    <row r="197" spans="2:12">
      <c r="B197" s="182">
        <f>CEILING(100/F179*1000,1)</f>
        <v>53334</v>
      </c>
      <c r="C197" s="136">
        <v>0</v>
      </c>
      <c r="D197" s="136">
        <f>CEILING(9/F179*1000,1)</f>
        <v>4800</v>
      </c>
      <c r="J197" s="2"/>
      <c r="K197" s="2"/>
    </row>
    <row r="198" spans="2:12">
      <c r="B198" s="71" t="str">
        <f>DEC2HEX(B197)</f>
        <v>D056</v>
      </c>
      <c r="C198" s="71"/>
      <c r="D198" s="71" t="str">
        <f>DEC2HEX(D197)</f>
        <v>12C0</v>
      </c>
      <c r="E198" s="2" t="s">
        <v>114</v>
      </c>
      <c r="J198" s="2"/>
      <c r="K198" s="2"/>
    </row>
    <row r="199" spans="2:12">
      <c r="B199" s="2" t="s">
        <v>264</v>
      </c>
      <c r="D199" s="2" t="s">
        <v>263</v>
      </c>
      <c r="H199" s="58"/>
      <c r="J199" s="2"/>
      <c r="K199" s="2"/>
    </row>
    <row r="200" spans="2:12">
      <c r="B200" s="48"/>
      <c r="C200" s="48"/>
    </row>
    <row r="201" spans="2:12" s="51" customFormat="1" ht="28.5">
      <c r="B201" s="50" t="s">
        <v>253</v>
      </c>
      <c r="C201" s="4" t="s">
        <v>69</v>
      </c>
      <c r="D201" s="4" t="s">
        <v>80</v>
      </c>
      <c r="E201" s="53"/>
      <c r="F201" s="53"/>
      <c r="G201" s="50"/>
      <c r="H201" s="50"/>
      <c r="I201" s="2"/>
      <c r="J201" s="50"/>
      <c r="K201" s="50"/>
    </row>
    <row r="202" spans="2:12">
      <c r="B202" s="52"/>
      <c r="C202" s="15"/>
      <c r="D202" s="15"/>
      <c r="E202" s="53"/>
      <c r="F202" s="53"/>
      <c r="G202" s="53"/>
      <c r="H202" s="53"/>
      <c r="J202" s="53"/>
      <c r="K202" s="53"/>
    </row>
    <row r="203" spans="2:12">
      <c r="B203" s="54" t="s">
        <v>255</v>
      </c>
      <c r="C203" s="54" t="str">
        <f>DEC2HEX(HEX2DEC($C$37)+(HEX2DEC("09")*4),8)</f>
        <v>02328024</v>
      </c>
      <c r="D203" s="55" t="str">
        <f>DEC2HEX(SUM(B205:F205),8)</f>
        <v>00083DEF</v>
      </c>
      <c r="E203" s="186" t="s">
        <v>483</v>
      </c>
      <c r="F203" s="72"/>
      <c r="J203" s="2"/>
      <c r="K203" s="2"/>
    </row>
    <row r="204" spans="2:12">
      <c r="J204" s="2"/>
      <c r="K204" s="2"/>
    </row>
    <row r="205" spans="2:12" s="11" customFormat="1" hidden="1">
      <c r="B205" s="56">
        <f>2^B206*B209</f>
        <v>0</v>
      </c>
      <c r="C205" s="56">
        <f t="shared" ref="C205:D205" si="67">2^C206*C209</f>
        <v>524288</v>
      </c>
      <c r="D205" s="56">
        <f t="shared" si="67"/>
        <v>15360</v>
      </c>
      <c r="E205" s="56">
        <f t="shared" ref="E205:F205" si="68">2^E206*E209</f>
        <v>480</v>
      </c>
      <c r="F205" s="56">
        <f t="shared" si="68"/>
        <v>15</v>
      </c>
      <c r="G205" s="2"/>
      <c r="H205" s="2"/>
      <c r="I205" s="2"/>
      <c r="J205" s="2"/>
      <c r="K205" s="2"/>
      <c r="L205" s="3"/>
    </row>
    <row r="206" spans="2:12" s="11" customFormat="1" hidden="1">
      <c r="B206" s="56">
        <v>20</v>
      </c>
      <c r="C206" s="56">
        <v>15</v>
      </c>
      <c r="D206" s="56">
        <v>10</v>
      </c>
      <c r="E206" s="56">
        <v>5</v>
      </c>
      <c r="F206" s="56">
        <v>0</v>
      </c>
      <c r="G206" s="2"/>
      <c r="H206" s="2"/>
      <c r="I206" s="2"/>
      <c r="J206" s="2"/>
      <c r="K206" s="2"/>
      <c r="L206" s="3"/>
    </row>
    <row r="207" spans="2:12">
      <c r="B207" s="53" t="s">
        <v>256</v>
      </c>
      <c r="C207" s="53" t="s">
        <v>258</v>
      </c>
      <c r="D207" s="53" t="s">
        <v>260</v>
      </c>
      <c r="E207" s="53" t="s">
        <v>173</v>
      </c>
      <c r="F207" s="53" t="s">
        <v>174</v>
      </c>
      <c r="J207" s="2"/>
      <c r="K207" s="2"/>
    </row>
    <row r="208" spans="2:12">
      <c r="B208" s="2" t="s">
        <v>16</v>
      </c>
      <c r="C208" s="2" t="s">
        <v>257</v>
      </c>
      <c r="D208" s="2" t="s">
        <v>259</v>
      </c>
      <c r="E208" s="2" t="s">
        <v>261</v>
      </c>
      <c r="F208" s="2" t="s">
        <v>262</v>
      </c>
      <c r="J208" s="2"/>
      <c r="K208" s="2"/>
    </row>
    <row r="209" spans="2:12">
      <c r="B209" s="182">
        <v>0</v>
      </c>
      <c r="C209" s="136">
        <v>16</v>
      </c>
      <c r="D209" s="136">
        <v>15</v>
      </c>
      <c r="E209" s="136">
        <v>15</v>
      </c>
      <c r="F209" s="136">
        <v>15</v>
      </c>
      <c r="J209" s="2"/>
      <c r="K209" s="2"/>
    </row>
    <row r="210" spans="2:12">
      <c r="C210" s="71" t="str">
        <f>DEC2HEX(C209)</f>
        <v>10</v>
      </c>
      <c r="D210" s="71" t="str">
        <f>DEC2HEX(D209)</f>
        <v>F</v>
      </c>
      <c r="E210" s="71" t="str">
        <f>DEC2HEX(E209)</f>
        <v>F</v>
      </c>
      <c r="F210" s="71" t="str">
        <f>DEC2HEX(F209)</f>
        <v>F</v>
      </c>
      <c r="G210" s="2" t="s">
        <v>114</v>
      </c>
      <c r="H210" s="58"/>
      <c r="J210" s="2"/>
      <c r="K210" s="2"/>
    </row>
    <row r="211" spans="2:12">
      <c r="B211" s="48"/>
      <c r="C211" s="48"/>
    </row>
    <row r="212" spans="2:12" s="51" customFormat="1" ht="28.5">
      <c r="B212" s="50" t="s">
        <v>267</v>
      </c>
      <c r="C212" s="4" t="s">
        <v>69</v>
      </c>
      <c r="D212" s="4" t="s">
        <v>80</v>
      </c>
      <c r="E212" s="53"/>
      <c r="F212" s="53"/>
      <c r="G212" s="50"/>
      <c r="H212" s="50"/>
      <c r="I212" s="2"/>
      <c r="J212" s="50"/>
      <c r="K212" s="50"/>
    </row>
    <row r="213" spans="2:12">
      <c r="B213" s="52"/>
      <c r="C213" s="15"/>
      <c r="D213" s="15"/>
      <c r="E213" s="53"/>
      <c r="F213" s="53"/>
      <c r="G213" s="53"/>
      <c r="H213" s="53"/>
      <c r="J213" s="53"/>
      <c r="K213" s="53"/>
    </row>
    <row r="214" spans="2:12">
      <c r="B214" s="54" t="s">
        <v>268</v>
      </c>
      <c r="C214" s="54" t="str">
        <f>DEC2HEX(HEX2DEC($C$37)+(HEX2DEC("0a")*4),8)</f>
        <v>02328028</v>
      </c>
      <c r="D214" s="55" t="str">
        <f>DEC2HEX(SUM(B216:D216),8)</f>
        <v>0B451616</v>
      </c>
      <c r="E214" s="72"/>
      <c r="F214" s="72"/>
      <c r="J214" s="2"/>
      <c r="K214" s="2"/>
    </row>
    <row r="215" spans="2:12">
      <c r="J215" s="2"/>
      <c r="K215" s="2"/>
    </row>
    <row r="216" spans="2:12" s="11" customFormat="1" hidden="1">
      <c r="B216" s="56">
        <f>2^B217*B220</f>
        <v>0</v>
      </c>
      <c r="C216" s="56">
        <f t="shared" ref="C216:D216" si="69">2^C217*C220</f>
        <v>188743680</v>
      </c>
      <c r="D216" s="56">
        <f t="shared" si="69"/>
        <v>333334</v>
      </c>
      <c r="E216" s="2"/>
      <c r="F216" s="2"/>
      <c r="G216" s="2"/>
      <c r="H216" s="2"/>
      <c r="I216" s="2"/>
      <c r="J216" s="2"/>
      <c r="K216" s="2"/>
      <c r="L216" s="3"/>
    </row>
    <row r="217" spans="2:12" s="11" customFormat="1" hidden="1">
      <c r="B217" s="56">
        <v>29</v>
      </c>
      <c r="C217" s="56">
        <v>20</v>
      </c>
      <c r="D217" s="56">
        <v>0</v>
      </c>
      <c r="E217" s="2"/>
      <c r="F217" s="2"/>
      <c r="G217" s="2"/>
      <c r="H217" s="2"/>
      <c r="I217" s="2"/>
      <c r="J217" s="2"/>
      <c r="K217" s="2"/>
      <c r="L217" s="3"/>
    </row>
    <row r="218" spans="2:12">
      <c r="B218" s="53" t="s">
        <v>2</v>
      </c>
      <c r="C218" s="53" t="s">
        <v>269</v>
      </c>
      <c r="D218" s="53" t="s">
        <v>270</v>
      </c>
      <c r="J218" s="2"/>
      <c r="K218" s="2"/>
    </row>
    <row r="219" spans="2:12">
      <c r="B219" s="2" t="s">
        <v>16</v>
      </c>
      <c r="C219" s="2" t="s">
        <v>271</v>
      </c>
      <c r="D219" s="2" t="s">
        <v>272</v>
      </c>
      <c r="J219" s="2"/>
      <c r="K219" s="2"/>
    </row>
    <row r="220" spans="2:12">
      <c r="B220" s="182">
        <v>0</v>
      </c>
      <c r="C220" s="57">
        <f>t_xs_val</f>
        <v>180</v>
      </c>
      <c r="D220" s="136">
        <f>CEILING(500/CLOCK_PERIOD*1000,1)</f>
        <v>333334</v>
      </c>
      <c r="J220" s="2"/>
      <c r="K220" s="2"/>
    </row>
    <row r="221" spans="2:12">
      <c r="B221" s="71"/>
      <c r="C221" s="71" t="str">
        <f>DEC2HEX(C220)</f>
        <v>B4</v>
      </c>
      <c r="D221" s="71" t="str">
        <f>DEC2HEX(D220)</f>
        <v>51616</v>
      </c>
      <c r="E221" s="2" t="s">
        <v>114</v>
      </c>
      <c r="J221" s="2"/>
      <c r="K221" s="2"/>
    </row>
    <row r="222" spans="2:12">
      <c r="D222" s="2" t="s">
        <v>278</v>
      </c>
      <c r="H222" s="58"/>
      <c r="J222" s="2"/>
      <c r="K222" s="2"/>
    </row>
    <row r="223" spans="2:12">
      <c r="B223" s="48"/>
      <c r="C223" s="48"/>
    </row>
    <row r="224" spans="2:12" s="51" customFormat="1" ht="28.5">
      <c r="B224" s="50" t="s">
        <v>273</v>
      </c>
      <c r="C224" s="4" t="s">
        <v>69</v>
      </c>
      <c r="D224" s="4" t="s">
        <v>80</v>
      </c>
      <c r="E224" s="53"/>
      <c r="F224" s="53"/>
      <c r="G224" s="50"/>
      <c r="H224" s="50"/>
      <c r="I224" s="2"/>
      <c r="J224" s="50"/>
      <c r="K224" s="50"/>
    </row>
    <row r="225" spans="2:12">
      <c r="B225" s="52"/>
      <c r="C225" s="15"/>
      <c r="D225" s="15"/>
      <c r="E225" s="53"/>
      <c r="F225" s="53"/>
      <c r="G225" s="53"/>
      <c r="H225" s="53"/>
      <c r="J225" s="53"/>
      <c r="K225" s="53"/>
    </row>
    <row r="226" spans="2:12">
      <c r="B226" s="54" t="s">
        <v>274</v>
      </c>
      <c r="C226" s="54" t="str">
        <f>DEC2HEX(HEX2DEC($C$37)+(HEX2DEC("0b")*4),8)</f>
        <v>0232802C</v>
      </c>
      <c r="D226" s="55" t="str">
        <f>DEC2HEX(SUM(B228:D228),8)</f>
        <v>0A6E08D6</v>
      </c>
      <c r="E226" s="72"/>
      <c r="F226" s="72"/>
      <c r="J226" s="2"/>
      <c r="K226" s="2"/>
    </row>
    <row r="227" spans="2:12">
      <c r="J227" s="2"/>
      <c r="K227" s="2"/>
    </row>
    <row r="228" spans="2:12" s="11" customFormat="1" hidden="1">
      <c r="B228" s="56">
        <f>2^B229*B232</f>
        <v>0</v>
      </c>
      <c r="C228" s="56">
        <f t="shared" ref="C228:D228" si="70">2^C229*C232</f>
        <v>174850048</v>
      </c>
      <c r="D228" s="56">
        <f t="shared" si="70"/>
        <v>133334</v>
      </c>
      <c r="E228" s="2"/>
      <c r="F228" s="2"/>
      <c r="G228" s="2"/>
      <c r="H228" s="2"/>
      <c r="I228" s="2"/>
      <c r="J228" s="2"/>
      <c r="K228" s="2"/>
      <c r="L228" s="3"/>
    </row>
    <row r="229" spans="2:12" s="11" customFormat="1" hidden="1">
      <c r="B229" s="56">
        <v>28</v>
      </c>
      <c r="C229" s="56">
        <v>18</v>
      </c>
      <c r="D229" s="56">
        <v>0</v>
      </c>
      <c r="E229" s="2"/>
      <c r="F229" s="2"/>
      <c r="G229" s="2"/>
      <c r="H229" s="2"/>
      <c r="I229" s="2"/>
      <c r="J229" s="2"/>
      <c r="K229" s="2"/>
      <c r="L229" s="3"/>
    </row>
    <row r="230" spans="2:12">
      <c r="B230" s="53" t="s">
        <v>30</v>
      </c>
      <c r="C230" s="53" t="s">
        <v>175</v>
      </c>
      <c r="D230" s="53" t="s">
        <v>275</v>
      </c>
      <c r="J230" s="2"/>
      <c r="K230" s="2"/>
    </row>
    <row r="231" spans="2:12">
      <c r="B231" s="2" t="s">
        <v>16</v>
      </c>
      <c r="C231" s="2" t="s">
        <v>276</v>
      </c>
      <c r="D231" s="2" t="s">
        <v>277</v>
      </c>
      <c r="J231" s="2"/>
      <c r="K231" s="2"/>
    </row>
    <row r="232" spans="2:12">
      <c r="B232" s="182">
        <v>0</v>
      </c>
      <c r="C232" s="57">
        <f>CEILING(1/CLOCK_PERIOD*1000,1)</f>
        <v>667</v>
      </c>
      <c r="D232" s="57">
        <f>CEILING(200/CLOCK_PERIOD*1000,1)</f>
        <v>133334</v>
      </c>
      <c r="J232" s="2"/>
      <c r="K232" s="2"/>
    </row>
    <row r="233" spans="2:12">
      <c r="B233" s="71"/>
      <c r="C233" s="71" t="str">
        <f>DEC2HEX(C232)</f>
        <v>29B</v>
      </c>
      <c r="D233" s="71" t="str">
        <f>DEC2HEX(D232)</f>
        <v>208D6</v>
      </c>
      <c r="E233" s="2" t="s">
        <v>114</v>
      </c>
      <c r="J233" s="2"/>
      <c r="K233" s="2"/>
    </row>
    <row r="234" spans="2:12">
      <c r="C234" s="2" t="s">
        <v>266</v>
      </c>
      <c r="D234" s="2" t="s">
        <v>279</v>
      </c>
      <c r="H234" s="58"/>
      <c r="J234" s="2"/>
      <c r="K234" s="2"/>
    </row>
    <row r="235" spans="2:12">
      <c r="B235" s="48"/>
      <c r="C235" s="48"/>
      <c r="F235" s="35"/>
      <c r="G235" s="35"/>
    </row>
    <row r="236" spans="2:12">
      <c r="B236" s="48"/>
      <c r="C236" s="48"/>
      <c r="F236" s="35"/>
      <c r="G236" s="35"/>
    </row>
    <row r="237" spans="2:12" s="10" customFormat="1" ht="20.25">
      <c r="B237" s="69" t="s">
        <v>390</v>
      </c>
      <c r="C237" s="35"/>
      <c r="D237" s="35"/>
      <c r="E237" s="35"/>
      <c r="F237" s="35"/>
      <c r="G237" s="35"/>
    </row>
    <row r="238" spans="2:12">
      <c r="B238" s="48"/>
      <c r="C238" s="48"/>
    </row>
    <row r="239" spans="2:12" s="51" customFormat="1" ht="28.5">
      <c r="B239" s="50" t="s">
        <v>391</v>
      </c>
      <c r="C239" s="4" t="s">
        <v>69</v>
      </c>
      <c r="D239" s="4" t="s">
        <v>80</v>
      </c>
      <c r="E239" s="50"/>
      <c r="F239" s="50"/>
      <c r="G239" s="50"/>
      <c r="J239" s="50"/>
      <c r="K239" s="50"/>
    </row>
    <row r="240" spans="2:12">
      <c r="B240" s="52"/>
      <c r="C240" s="15"/>
      <c r="D240" s="15"/>
      <c r="E240" s="53"/>
      <c r="F240" s="53"/>
      <c r="G240" s="53"/>
      <c r="H240" s="53"/>
      <c r="J240" s="53"/>
      <c r="K240" s="53"/>
    </row>
    <row r="241" spans="2:16">
      <c r="B241" s="54" t="s">
        <v>392</v>
      </c>
      <c r="C241" s="54" t="str">
        <f>DEC2HEX(HEX2DEC($C$37)+(HEX2DEC("11")*4),8)</f>
        <v>02328044</v>
      </c>
      <c r="D241" s="55" t="str">
        <f>DEC2HEX(SUM(B243:L243),8)</f>
        <v>0000040B</v>
      </c>
      <c r="E241" s="184" t="s">
        <v>645</v>
      </c>
      <c r="F241" s="185"/>
      <c r="J241" s="2"/>
      <c r="K241" s="2"/>
    </row>
    <row r="242" spans="2:16">
      <c r="J242" s="2"/>
      <c r="K242" s="2"/>
    </row>
    <row r="243" spans="2:16" s="11" customFormat="1" hidden="1">
      <c r="B243" s="56">
        <f>2^B244*B247</f>
        <v>0</v>
      </c>
      <c r="C243" s="56">
        <f t="shared" ref="C243:L243" si="71">2^C244*C247</f>
        <v>0</v>
      </c>
      <c r="D243" s="56">
        <f t="shared" si="71"/>
        <v>0</v>
      </c>
      <c r="E243" s="56">
        <f t="shared" si="71"/>
        <v>0</v>
      </c>
      <c r="F243" s="56">
        <f t="shared" si="71"/>
        <v>0</v>
      </c>
      <c r="G243" s="56">
        <f t="shared" si="71"/>
        <v>1024</v>
      </c>
      <c r="H243" s="56">
        <f t="shared" ref="H243" si="72">2^H244*H247</f>
        <v>0</v>
      </c>
      <c r="I243" s="56">
        <f t="shared" si="71"/>
        <v>0</v>
      </c>
      <c r="J243" s="56">
        <f t="shared" si="71"/>
        <v>0</v>
      </c>
      <c r="K243" s="56">
        <f t="shared" si="71"/>
        <v>8</v>
      </c>
      <c r="L243" s="56">
        <f t="shared" si="71"/>
        <v>3</v>
      </c>
      <c r="M243" s="3"/>
      <c r="N243" s="3"/>
      <c r="O243" s="3"/>
      <c r="P243" s="3"/>
    </row>
    <row r="244" spans="2:16" s="11" customFormat="1" hidden="1">
      <c r="B244" s="56">
        <v>30</v>
      </c>
      <c r="C244" s="56">
        <v>29</v>
      </c>
      <c r="D244" s="56">
        <v>28</v>
      </c>
      <c r="E244" s="56">
        <v>27</v>
      </c>
      <c r="F244" s="56">
        <v>18</v>
      </c>
      <c r="G244" s="56">
        <v>10</v>
      </c>
      <c r="H244" s="56">
        <v>8</v>
      </c>
      <c r="I244" s="56">
        <v>7</v>
      </c>
      <c r="J244" s="56">
        <v>4</v>
      </c>
      <c r="K244" s="56">
        <v>3</v>
      </c>
      <c r="L244" s="56">
        <v>0</v>
      </c>
      <c r="M244" s="3"/>
      <c r="N244" s="3"/>
      <c r="O244" s="3"/>
      <c r="P244" s="3"/>
    </row>
    <row r="245" spans="2:16">
      <c r="B245" s="53" t="s">
        <v>160</v>
      </c>
      <c r="C245" s="53" t="s">
        <v>305</v>
      </c>
      <c r="D245" s="53" t="s">
        <v>95</v>
      </c>
      <c r="E245" s="53" t="s">
        <v>360</v>
      </c>
      <c r="F245" s="53" t="s">
        <v>396</v>
      </c>
      <c r="G245" s="53" t="s">
        <v>163</v>
      </c>
      <c r="H245" s="53" t="s">
        <v>398</v>
      </c>
      <c r="I245" s="53" t="s">
        <v>150</v>
      </c>
      <c r="J245" s="53" t="s">
        <v>196</v>
      </c>
      <c r="K245" s="53" t="s">
        <v>12</v>
      </c>
      <c r="L245" s="53" t="s">
        <v>233</v>
      </c>
    </row>
    <row r="246" spans="2:16">
      <c r="B246" s="2" t="s">
        <v>16</v>
      </c>
      <c r="C246" s="2" t="s">
        <v>393</v>
      </c>
      <c r="D246" s="2" t="s">
        <v>394</v>
      </c>
      <c r="E246" s="2" t="s">
        <v>395</v>
      </c>
      <c r="F246" s="74" t="s">
        <v>16</v>
      </c>
      <c r="G246" s="2" t="s">
        <v>397</v>
      </c>
      <c r="H246" s="74" t="s">
        <v>16</v>
      </c>
      <c r="I246" s="2" t="s">
        <v>399</v>
      </c>
      <c r="J246" s="2" t="s">
        <v>400</v>
      </c>
      <c r="K246" s="2" t="s">
        <v>401</v>
      </c>
      <c r="L246" s="2" t="s">
        <v>402</v>
      </c>
    </row>
    <row r="247" spans="2:16">
      <c r="B247" s="136">
        <v>0</v>
      </c>
      <c r="C247" s="57">
        <f>address_mirroring_val</f>
        <v>0</v>
      </c>
      <c r="D247" s="136">
        <v>0</v>
      </c>
      <c r="E247" s="57">
        <f>address_mirroring_val</f>
        <v>0</v>
      </c>
      <c r="F247" s="136">
        <v>0</v>
      </c>
      <c r="G247" s="136">
        <v>1</v>
      </c>
      <c r="H247" s="136">
        <v>0</v>
      </c>
      <c r="I247" s="136">
        <v>0</v>
      </c>
      <c r="J247" s="136">
        <v>0</v>
      </c>
      <c r="K247" s="136">
        <v>1</v>
      </c>
      <c r="L247" s="136">
        <v>3</v>
      </c>
    </row>
    <row r="248" spans="2:16">
      <c r="J248" s="2"/>
    </row>
    <row r="249" spans="2:16">
      <c r="B249" s="48"/>
      <c r="C249" s="48"/>
      <c r="F249" s="35"/>
      <c r="G249" s="35"/>
    </row>
    <row r="250" spans="2:16" s="10" customFormat="1" ht="20.25">
      <c r="B250" s="69" t="s">
        <v>403</v>
      </c>
      <c r="C250" s="35"/>
      <c r="D250" s="35"/>
      <c r="E250" s="35"/>
      <c r="F250" s="35"/>
      <c r="G250" s="35"/>
      <c r="H250" s="35"/>
      <c r="I250" s="35"/>
    </row>
    <row r="251" spans="2:16">
      <c r="B251" s="48"/>
      <c r="C251" s="48"/>
    </row>
    <row r="252" spans="2:16" s="51" customFormat="1" ht="28.5">
      <c r="B252" s="50" t="s">
        <v>404</v>
      </c>
      <c r="C252" s="4" t="s">
        <v>69</v>
      </c>
      <c r="D252" s="4" t="s">
        <v>80</v>
      </c>
      <c r="E252" s="50"/>
      <c r="F252" s="50"/>
      <c r="G252" s="50"/>
      <c r="H252" s="50"/>
      <c r="I252" s="2"/>
      <c r="J252" s="50"/>
      <c r="K252" s="50"/>
    </row>
    <row r="253" spans="2:16">
      <c r="B253" s="52"/>
      <c r="C253" s="15"/>
      <c r="D253" s="15"/>
      <c r="E253" s="53"/>
      <c r="F253" s="53"/>
      <c r="G253" s="53"/>
      <c r="H253" s="53"/>
      <c r="J253" s="53"/>
      <c r="K253" s="53"/>
    </row>
    <row r="254" spans="2:16">
      <c r="B254" s="54" t="s">
        <v>405</v>
      </c>
      <c r="C254" s="54" t="str">
        <f>DEC2HEX(HEX2DEC($C$37)+(HEX2DEC("1a")*4),8)</f>
        <v>02328068</v>
      </c>
      <c r="D254" s="55" t="str">
        <f>DEC2HEX(SUM(B256:P256),8)</f>
        <v>710035C7</v>
      </c>
      <c r="J254" s="2"/>
      <c r="K254" s="2"/>
    </row>
    <row r="255" spans="2:16">
      <c r="J255" s="2"/>
      <c r="K255" s="2"/>
    </row>
    <row r="256" spans="2:16" s="11" customFormat="1" hidden="1">
      <c r="B256" s="56">
        <f>2^B257*B260</f>
        <v>1879048192</v>
      </c>
      <c r="C256" s="56">
        <f t="shared" ref="C256:L256" si="73">2^C257*C260</f>
        <v>16777216</v>
      </c>
      <c r="D256" s="56">
        <f t="shared" si="73"/>
        <v>0</v>
      </c>
      <c r="E256" s="56">
        <f t="shared" si="73"/>
        <v>0</v>
      </c>
      <c r="F256" s="56">
        <f t="shared" si="73"/>
        <v>0</v>
      </c>
      <c r="G256" s="56">
        <f t="shared" si="73"/>
        <v>0</v>
      </c>
      <c r="H256" s="56">
        <f t="shared" si="73"/>
        <v>0</v>
      </c>
      <c r="I256" s="56">
        <f t="shared" si="73"/>
        <v>0</v>
      </c>
      <c r="J256" s="56">
        <f t="shared" si="73"/>
        <v>8192</v>
      </c>
      <c r="K256" s="56">
        <f t="shared" si="73"/>
        <v>4096</v>
      </c>
      <c r="L256" s="56">
        <f t="shared" si="73"/>
        <v>1280</v>
      </c>
      <c r="M256" s="56">
        <f t="shared" ref="M256:P256" si="74">2^M257*M260</f>
        <v>128</v>
      </c>
      <c r="N256" s="56">
        <f t="shared" si="74"/>
        <v>64</v>
      </c>
      <c r="O256" s="56">
        <f t="shared" si="74"/>
        <v>0</v>
      </c>
      <c r="P256" s="56">
        <f t="shared" si="74"/>
        <v>7</v>
      </c>
    </row>
    <row r="257" spans="2:19" s="11" customFormat="1" hidden="1">
      <c r="B257" s="56">
        <v>28</v>
      </c>
      <c r="C257" s="56">
        <v>24</v>
      </c>
      <c r="D257" s="56">
        <v>23</v>
      </c>
      <c r="E257" s="56">
        <v>22</v>
      </c>
      <c r="F257" s="56">
        <v>21</v>
      </c>
      <c r="G257" s="56">
        <v>20</v>
      </c>
      <c r="H257" s="56">
        <v>16</v>
      </c>
      <c r="I257" s="56">
        <v>14</v>
      </c>
      <c r="J257" s="56">
        <v>13</v>
      </c>
      <c r="K257" s="56">
        <v>12</v>
      </c>
      <c r="L257" s="56">
        <v>8</v>
      </c>
      <c r="M257" s="56">
        <v>7</v>
      </c>
      <c r="N257" s="56">
        <v>6</v>
      </c>
      <c r="O257" s="56">
        <v>4</v>
      </c>
      <c r="P257" s="56">
        <v>0</v>
      </c>
    </row>
    <row r="258" spans="2:19">
      <c r="B258" s="53" t="s">
        <v>30</v>
      </c>
      <c r="C258" s="53" t="s">
        <v>31</v>
      </c>
      <c r="D258" s="53" t="s">
        <v>408</v>
      </c>
      <c r="E258" s="53" t="s">
        <v>410</v>
      </c>
      <c r="F258" s="53" t="s">
        <v>412</v>
      </c>
      <c r="G258" s="53" t="s">
        <v>414</v>
      </c>
      <c r="H258" s="53" t="s">
        <v>416</v>
      </c>
      <c r="I258" s="53" t="s">
        <v>10</v>
      </c>
      <c r="J258" s="53" t="s">
        <v>418</v>
      </c>
      <c r="K258" s="53" t="s">
        <v>188</v>
      </c>
      <c r="L258" s="53" t="s">
        <v>144</v>
      </c>
      <c r="M258" s="53" t="s">
        <v>150</v>
      </c>
      <c r="N258" s="53" t="s">
        <v>210</v>
      </c>
      <c r="O258" s="53" t="s">
        <v>377</v>
      </c>
      <c r="P258" s="53" t="s">
        <v>35</v>
      </c>
    </row>
    <row r="259" spans="2:19">
      <c r="B259" s="2" t="s">
        <v>406</v>
      </c>
      <c r="C259" s="2" t="s">
        <v>407</v>
      </c>
      <c r="D259" s="2" t="s">
        <v>16</v>
      </c>
      <c r="E259" s="2" t="s">
        <v>409</v>
      </c>
      <c r="F259" s="74" t="s">
        <v>411</v>
      </c>
      <c r="G259" s="2" t="s">
        <v>413</v>
      </c>
      <c r="H259" s="74" t="s">
        <v>415</v>
      </c>
      <c r="I259" s="2" t="s">
        <v>16</v>
      </c>
      <c r="J259" s="2" t="s">
        <v>417</v>
      </c>
      <c r="K259" s="2" t="s">
        <v>419</v>
      </c>
      <c r="L259" s="2" t="s">
        <v>420</v>
      </c>
      <c r="M259" s="2" t="s">
        <v>422</v>
      </c>
      <c r="N259" s="2" t="s">
        <v>421</v>
      </c>
      <c r="O259" s="2" t="s">
        <v>423</v>
      </c>
      <c r="P259" s="2" t="s">
        <v>424</v>
      </c>
    </row>
    <row r="260" spans="2:19">
      <c r="B260" s="136">
        <v>7</v>
      </c>
      <c r="C260" s="57">
        <f>IF(ebank_val=1,3,1)</f>
        <v>1</v>
      </c>
      <c r="D260" s="136">
        <v>0</v>
      </c>
      <c r="E260" s="136">
        <v>0</v>
      </c>
      <c r="F260" s="136">
        <v>0</v>
      </c>
      <c r="G260" s="136">
        <v>0</v>
      </c>
      <c r="H260" s="136">
        <v>0</v>
      </c>
      <c r="I260" s="136">
        <v>0</v>
      </c>
      <c r="J260" s="136">
        <v>1</v>
      </c>
      <c r="K260" s="136">
        <v>1</v>
      </c>
      <c r="L260" s="136">
        <v>5</v>
      </c>
      <c r="M260" s="136">
        <v>1</v>
      </c>
      <c r="N260" s="136">
        <v>1</v>
      </c>
      <c r="O260" s="136">
        <v>0</v>
      </c>
      <c r="P260" s="136">
        <v>7</v>
      </c>
    </row>
    <row r="262" spans="2:19" hidden="1">
      <c r="B262" s="48"/>
      <c r="C262" s="48"/>
      <c r="F262" s="35"/>
      <c r="G262" s="35"/>
    </row>
    <row r="263" spans="2:19" s="10" customFormat="1" ht="20.25" hidden="1">
      <c r="B263" s="69" t="s">
        <v>425</v>
      </c>
      <c r="C263" s="35"/>
      <c r="D263" s="35"/>
      <c r="E263" s="35"/>
      <c r="F263" s="35"/>
      <c r="G263" s="35"/>
      <c r="H263" s="35"/>
      <c r="I263" s="35"/>
    </row>
    <row r="264" spans="2:19" hidden="1">
      <c r="B264" s="48"/>
      <c r="C264" s="48"/>
    </row>
    <row r="265" spans="2:19" s="51" customFormat="1" ht="28.5" hidden="1">
      <c r="B265" s="50" t="s">
        <v>426</v>
      </c>
      <c r="C265" s="4" t="s">
        <v>69</v>
      </c>
      <c r="D265" s="4" t="s">
        <v>80</v>
      </c>
      <c r="E265" s="50"/>
      <c r="F265" s="50"/>
      <c r="G265" s="50"/>
      <c r="H265" s="50"/>
      <c r="I265" s="2"/>
      <c r="J265" s="50"/>
      <c r="K265" s="50"/>
    </row>
    <row r="266" spans="2:19" hidden="1">
      <c r="B266" s="52"/>
      <c r="C266" s="15"/>
      <c r="D266" s="15"/>
      <c r="E266" s="53"/>
      <c r="F266" s="53"/>
      <c r="G266" s="53"/>
      <c r="H266" s="53"/>
      <c r="J266" s="53"/>
      <c r="K266" s="53"/>
    </row>
    <row r="267" spans="2:19" hidden="1">
      <c r="B267" s="54" t="s">
        <v>427</v>
      </c>
      <c r="C267" s="54" t="str">
        <f>DEC2HEX(HEX2DEC($C$37)+(HEX2DEC("0f")*4))</f>
        <v>232803C</v>
      </c>
      <c r="D267" s="55" t="str">
        <f>DEC2HEX(SUM(B269:R269),8)</f>
        <v>44181884</v>
      </c>
      <c r="E267" s="73" t="s">
        <v>483</v>
      </c>
      <c r="J267" s="2"/>
      <c r="K267" s="2"/>
    </row>
    <row r="268" spans="2:19" hidden="1">
      <c r="J268" s="2"/>
      <c r="K268" s="2"/>
    </row>
    <row r="269" spans="2:19" s="11" customFormat="1" hidden="1">
      <c r="B269" s="56">
        <f>2^B270*B273</f>
        <v>1073741824</v>
      </c>
      <c r="C269" s="56">
        <f t="shared" ref="C269:E269" si="75">2^C270*C273</f>
        <v>67108864</v>
      </c>
      <c r="D269" s="56">
        <f t="shared" si="75"/>
        <v>0</v>
      </c>
      <c r="E269" s="56">
        <f t="shared" si="75"/>
        <v>0</v>
      </c>
      <c r="F269" s="56">
        <f t="shared" ref="F269:R269" si="76">2^F270*F273</f>
        <v>0</v>
      </c>
      <c r="G269" s="56">
        <f t="shared" si="76"/>
        <v>1048576</v>
      </c>
      <c r="H269" s="56">
        <f t="shared" si="76"/>
        <v>524288</v>
      </c>
      <c r="I269" s="56">
        <f t="shared" si="76"/>
        <v>0</v>
      </c>
      <c r="J269" s="56">
        <f t="shared" si="76"/>
        <v>0</v>
      </c>
      <c r="K269" s="56">
        <f t="shared" si="76"/>
        <v>0</v>
      </c>
      <c r="L269" s="56">
        <f t="shared" si="76"/>
        <v>6144</v>
      </c>
      <c r="M269" s="56">
        <f t="shared" si="76"/>
        <v>128</v>
      </c>
      <c r="N269" s="56">
        <f t="shared" si="76"/>
        <v>0</v>
      </c>
      <c r="O269" s="56">
        <f t="shared" si="76"/>
        <v>0</v>
      </c>
      <c r="P269" s="56">
        <f t="shared" si="76"/>
        <v>4</v>
      </c>
      <c r="Q269" s="56">
        <f t="shared" si="76"/>
        <v>0</v>
      </c>
      <c r="R269" s="56">
        <f t="shared" si="76"/>
        <v>0</v>
      </c>
      <c r="S269" s="3"/>
    </row>
    <row r="270" spans="2:19" s="11" customFormat="1" hidden="1">
      <c r="B270" s="56">
        <v>28</v>
      </c>
      <c r="C270" s="56">
        <v>24</v>
      </c>
      <c r="D270" s="56">
        <v>23</v>
      </c>
      <c r="E270" s="56">
        <v>22</v>
      </c>
      <c r="F270" s="56">
        <v>21</v>
      </c>
      <c r="G270" s="56">
        <v>20</v>
      </c>
      <c r="H270" s="56">
        <v>19</v>
      </c>
      <c r="I270" s="56">
        <v>18</v>
      </c>
      <c r="J270" s="56">
        <v>15</v>
      </c>
      <c r="K270" s="56">
        <v>13</v>
      </c>
      <c r="L270" s="56">
        <v>9</v>
      </c>
      <c r="M270" s="56">
        <v>5</v>
      </c>
      <c r="N270" s="56">
        <v>4</v>
      </c>
      <c r="O270" s="56">
        <v>3</v>
      </c>
      <c r="P270" s="56">
        <v>2</v>
      </c>
      <c r="Q270" s="56">
        <v>1</v>
      </c>
      <c r="R270" s="56">
        <v>0</v>
      </c>
      <c r="S270" s="3"/>
    </row>
    <row r="271" spans="2:19" hidden="1">
      <c r="B271" s="53" t="s">
        <v>30</v>
      </c>
      <c r="C271" s="53" t="s">
        <v>31</v>
      </c>
      <c r="D271" s="53" t="s">
        <v>408</v>
      </c>
      <c r="E271" s="53" t="s">
        <v>410</v>
      </c>
      <c r="F271" s="53" t="s">
        <v>412</v>
      </c>
      <c r="G271" s="53" t="s">
        <v>414</v>
      </c>
      <c r="H271" s="53" t="s">
        <v>387</v>
      </c>
      <c r="I271" s="53" t="s">
        <v>388</v>
      </c>
      <c r="J271" s="53" t="s">
        <v>432</v>
      </c>
      <c r="K271" s="53" t="s">
        <v>370</v>
      </c>
      <c r="L271" s="53" t="s">
        <v>435</v>
      </c>
      <c r="M271" s="53" t="s">
        <v>438</v>
      </c>
      <c r="N271" s="53" t="s">
        <v>152</v>
      </c>
      <c r="O271" s="53" t="s">
        <v>12</v>
      </c>
      <c r="P271" s="53" t="s">
        <v>153</v>
      </c>
      <c r="Q271" s="53" t="s">
        <v>217</v>
      </c>
      <c r="R271" s="53" t="s">
        <v>219</v>
      </c>
    </row>
    <row r="272" spans="2:19" hidden="1">
      <c r="B272" s="2" t="s">
        <v>606</v>
      </c>
      <c r="C272" s="2" t="s">
        <v>605</v>
      </c>
      <c r="D272" s="2" t="s">
        <v>604</v>
      </c>
      <c r="E272" s="2" t="s">
        <v>603</v>
      </c>
      <c r="F272" s="2" t="s">
        <v>428</v>
      </c>
      <c r="G272" s="2" t="s">
        <v>429</v>
      </c>
      <c r="H272" s="2" t="s">
        <v>430</v>
      </c>
      <c r="I272" s="74" t="s">
        <v>431</v>
      </c>
      <c r="J272" s="2" t="s">
        <v>433</v>
      </c>
      <c r="K272" s="74" t="s">
        <v>434</v>
      </c>
      <c r="L272" s="2" t="s">
        <v>436</v>
      </c>
      <c r="M272" s="2" t="s">
        <v>437</v>
      </c>
      <c r="N272" s="2" t="s">
        <v>439</v>
      </c>
      <c r="O272" s="2" t="s">
        <v>440</v>
      </c>
      <c r="P272" s="2" t="s">
        <v>373</v>
      </c>
      <c r="Q272" s="2" t="s">
        <v>441</v>
      </c>
      <c r="R272" s="2" t="s">
        <v>442</v>
      </c>
    </row>
    <row r="273" spans="2:18" hidden="1">
      <c r="B273" s="70">
        <v>4</v>
      </c>
      <c r="C273" s="70">
        <v>4</v>
      </c>
      <c r="D273" s="70">
        <v>0</v>
      </c>
      <c r="E273" s="70">
        <v>0</v>
      </c>
      <c r="F273" s="70">
        <v>0</v>
      </c>
      <c r="G273" s="70">
        <v>1</v>
      </c>
      <c r="H273" s="70">
        <v>1</v>
      </c>
      <c r="I273" s="70">
        <v>0</v>
      </c>
      <c r="J273" s="70">
        <v>0</v>
      </c>
      <c r="K273" s="70">
        <v>0</v>
      </c>
      <c r="L273" s="70">
        <v>12</v>
      </c>
      <c r="M273" s="70">
        <v>4</v>
      </c>
      <c r="N273" s="70">
        <v>0</v>
      </c>
      <c r="O273" s="70">
        <v>0</v>
      </c>
      <c r="P273" s="70">
        <v>1</v>
      </c>
      <c r="Q273" s="70">
        <v>0</v>
      </c>
      <c r="R273" s="70">
        <v>0</v>
      </c>
    </row>
    <row r="274" spans="2:18" hidden="1">
      <c r="I274" s="2" t="str">
        <f>DEC2HEX(L273)</f>
        <v>C</v>
      </c>
    </row>
    <row r="275" spans="2:18">
      <c r="B275" s="48"/>
      <c r="C275" s="48"/>
      <c r="F275" s="35"/>
      <c r="G275" s="35"/>
    </row>
    <row r="276" spans="2:18" s="10" customFormat="1" ht="20.25">
      <c r="B276" s="69" t="s">
        <v>466</v>
      </c>
      <c r="C276" s="35"/>
      <c r="D276" s="35"/>
      <c r="E276" s="35"/>
      <c r="F276" s="35"/>
      <c r="G276" s="35"/>
      <c r="H276" s="35"/>
      <c r="I276" s="35"/>
    </row>
    <row r="277" spans="2:18">
      <c r="B277" s="48"/>
      <c r="C277" s="48"/>
    </row>
    <row r="278" spans="2:18" s="51" customFormat="1" ht="28.5">
      <c r="B278" s="50" t="s">
        <v>467</v>
      </c>
      <c r="C278" s="4" t="s">
        <v>69</v>
      </c>
      <c r="D278" s="4" t="s">
        <v>80</v>
      </c>
      <c r="E278" s="50"/>
      <c r="F278" s="50"/>
      <c r="G278" s="50"/>
      <c r="H278" s="50"/>
      <c r="I278" s="2"/>
      <c r="J278" s="50"/>
      <c r="K278" s="50"/>
    </row>
    <row r="279" spans="2:18">
      <c r="B279" s="52"/>
      <c r="C279" s="15"/>
      <c r="D279" s="15"/>
      <c r="E279" s="53"/>
      <c r="F279" s="53"/>
      <c r="G279" s="53"/>
      <c r="H279" s="53"/>
      <c r="J279" s="53"/>
      <c r="K279" s="53"/>
    </row>
    <row r="280" spans="2:18">
      <c r="B280" s="54" t="s">
        <v>462</v>
      </c>
      <c r="C280" s="54" t="str">
        <f>DEC2HEX(HEX2DEC($C$37)+(HEX2DEC("61")*4),8)</f>
        <v>02328184</v>
      </c>
      <c r="D280" s="55" t="str">
        <f>DEC2HEX(SUM(B285:F285),8)</f>
        <v>0001005D</v>
      </c>
      <c r="E280" s="75" t="s">
        <v>631</v>
      </c>
      <c r="J280" s="2"/>
      <c r="K280" s="2"/>
    </row>
    <row r="281" spans="2:18">
      <c r="B281" s="54" t="s">
        <v>463</v>
      </c>
      <c r="C281" s="54" t="str">
        <f>DEC2HEX(HEX2DEC($C$37)+(HEX2DEC("65")*4),8)</f>
        <v>02328194</v>
      </c>
      <c r="D281" s="55" t="str">
        <f>DEC2HEX(SUM(B290:F290),8)</f>
        <v>0001005B</v>
      </c>
      <c r="E281" s="75" t="s">
        <v>485</v>
      </c>
      <c r="J281" s="2"/>
      <c r="K281" s="2"/>
    </row>
    <row r="282" spans="2:18">
      <c r="B282" s="54" t="s">
        <v>464</v>
      </c>
      <c r="C282" s="54" t="str">
        <f>DEC2HEX(HEX2DEC($C$37)+(HEX2DEC("69")*4),8)</f>
        <v>023281A4</v>
      </c>
      <c r="D282" s="55" t="str">
        <f>DEC2HEX(SUM(B290:F290),8)</f>
        <v>0001005B</v>
      </c>
      <c r="E282" s="75" t="s">
        <v>630</v>
      </c>
      <c r="J282" s="2"/>
      <c r="K282" s="2"/>
    </row>
    <row r="283" spans="2:18" hidden="1">
      <c r="B283" s="76" t="s">
        <v>465</v>
      </c>
      <c r="C283" s="76" t="str">
        <f>DEC2HEX(HEX2DEC($C$37)+4*HEX2DEC("6d"))</f>
        <v>23281B4</v>
      </c>
      <c r="D283" s="77" t="str">
        <f>DEC2HEX(SUM(B285:F285),8)</f>
        <v>0001005D</v>
      </c>
      <c r="E283" s="2" t="s">
        <v>484</v>
      </c>
      <c r="J283" s="2"/>
      <c r="K283" s="2"/>
    </row>
    <row r="284" spans="2:18">
      <c r="J284" s="2"/>
      <c r="K284" s="2"/>
    </row>
    <row r="285" spans="2:18" s="11" customFormat="1" hidden="1">
      <c r="B285" s="56">
        <f>2^B286*B289</f>
        <v>0</v>
      </c>
      <c r="C285" s="56">
        <f t="shared" ref="C285" si="77">2^C286*C289</f>
        <v>65536</v>
      </c>
      <c r="D285" s="56">
        <f>2^D286*D289</f>
        <v>0</v>
      </c>
      <c r="E285" s="56">
        <f t="shared" ref="E285:F285" si="78">2^E286*E289</f>
        <v>80</v>
      </c>
      <c r="F285" s="56">
        <f t="shared" si="78"/>
        <v>13</v>
      </c>
      <c r="G285" s="2"/>
      <c r="H285" s="2"/>
      <c r="I285" s="2"/>
      <c r="J285" s="2"/>
      <c r="K285" s="2"/>
      <c r="L285" s="2"/>
      <c r="M285" s="2"/>
      <c r="N285" s="3"/>
      <c r="O285" s="3"/>
      <c r="P285" s="3"/>
      <c r="Q285" s="3"/>
      <c r="R285" s="3"/>
    </row>
    <row r="286" spans="2:18" s="11" customFormat="1" hidden="1">
      <c r="B286" s="56">
        <v>17</v>
      </c>
      <c r="C286" s="56">
        <v>16</v>
      </c>
      <c r="D286" s="56">
        <v>8</v>
      </c>
      <c r="E286" s="56">
        <v>4</v>
      </c>
      <c r="F286" s="56">
        <v>0</v>
      </c>
      <c r="G286" s="2"/>
      <c r="H286" s="2"/>
      <c r="I286" s="2"/>
      <c r="J286" s="2"/>
      <c r="K286" s="2"/>
      <c r="L286" s="2"/>
      <c r="M286" s="2"/>
      <c r="N286" s="3"/>
      <c r="O286" s="3"/>
      <c r="P286" s="3"/>
      <c r="Q286" s="3"/>
      <c r="R286" s="3"/>
    </row>
    <row r="287" spans="2:18">
      <c r="B287" s="53" t="s">
        <v>633</v>
      </c>
      <c r="C287" s="53" t="s">
        <v>471</v>
      </c>
      <c r="D287" s="53" t="s">
        <v>632</v>
      </c>
      <c r="E287" s="53" t="s">
        <v>177</v>
      </c>
      <c r="F287" s="53" t="s">
        <v>35</v>
      </c>
      <c r="J287" s="2"/>
      <c r="K287" s="2"/>
      <c r="L287" s="2"/>
      <c r="M287" s="2"/>
    </row>
    <row r="288" spans="2:18">
      <c r="B288" s="2" t="s">
        <v>16</v>
      </c>
      <c r="C288" s="2" t="s">
        <v>634</v>
      </c>
      <c r="D288" s="2" t="s">
        <v>16</v>
      </c>
      <c r="E288" s="2" t="s">
        <v>460</v>
      </c>
      <c r="F288" s="2" t="s">
        <v>461</v>
      </c>
      <c r="J288" s="2"/>
      <c r="K288" s="2"/>
      <c r="L288" s="2"/>
      <c r="M288" s="2"/>
    </row>
    <row r="289" spans="2:18">
      <c r="B289" s="136">
        <v>0</v>
      </c>
      <c r="C289" s="136">
        <v>1</v>
      </c>
      <c r="D289" s="136">
        <v>0</v>
      </c>
      <c r="E289" s="57">
        <f>phy_odt_val</f>
        <v>5</v>
      </c>
      <c r="F289" s="57">
        <f>phy_accc_zo_val</f>
        <v>13</v>
      </c>
      <c r="J289" s="2"/>
      <c r="K289" s="2"/>
      <c r="L289" s="2"/>
      <c r="M289" s="2"/>
    </row>
    <row r="290" spans="2:18" s="11" customFormat="1" hidden="1">
      <c r="B290" s="56">
        <f>2^B291*B292</f>
        <v>0</v>
      </c>
      <c r="C290" s="180">
        <f t="shared" ref="C290" si="79">2^C291*C292</f>
        <v>65536</v>
      </c>
      <c r="D290" s="56">
        <f>2^D291*D292</f>
        <v>0</v>
      </c>
      <c r="E290" s="180">
        <f t="shared" ref="E290:F290" si="80">2^E291*E292</f>
        <v>80</v>
      </c>
      <c r="F290" s="180">
        <f t="shared" si="80"/>
        <v>11</v>
      </c>
      <c r="G290" s="2"/>
      <c r="H290" s="2"/>
      <c r="I290" s="2"/>
      <c r="J290" s="2"/>
      <c r="K290" s="2"/>
      <c r="L290" s="2"/>
      <c r="M290" s="2"/>
      <c r="N290" s="3"/>
      <c r="O290" s="3"/>
      <c r="P290" s="3"/>
      <c r="Q290" s="3"/>
      <c r="R290" s="3"/>
    </row>
    <row r="291" spans="2:18" s="11" customFormat="1" hidden="1">
      <c r="B291" s="56">
        <v>17</v>
      </c>
      <c r="C291" s="56">
        <v>16</v>
      </c>
      <c r="D291" s="56">
        <v>8</v>
      </c>
      <c r="E291" s="180">
        <v>4</v>
      </c>
      <c r="F291" s="180">
        <v>0</v>
      </c>
      <c r="G291" s="2"/>
      <c r="H291" s="2"/>
      <c r="I291" s="2"/>
      <c r="J291" s="2"/>
      <c r="K291" s="2"/>
      <c r="L291" s="2"/>
      <c r="M291" s="2"/>
      <c r="N291" s="3"/>
      <c r="O291" s="3"/>
      <c r="P291" s="3"/>
      <c r="Q291" s="3"/>
      <c r="R291" s="3"/>
    </row>
    <row r="292" spans="2:18">
      <c r="B292" s="136">
        <v>0</v>
      </c>
      <c r="C292" s="136">
        <v>1</v>
      </c>
      <c r="D292" s="136">
        <v>0</v>
      </c>
      <c r="E292" s="57">
        <f>phy_odt_val</f>
        <v>5</v>
      </c>
      <c r="F292" s="57">
        <f>phy_data_zo_val</f>
        <v>11</v>
      </c>
      <c r="J292" s="2"/>
      <c r="K292" s="2"/>
      <c r="L292" s="2"/>
      <c r="M292" s="2"/>
    </row>
    <row r="293" spans="2:18">
      <c r="B293" s="48"/>
      <c r="C293" s="48"/>
      <c r="D293" s="48"/>
      <c r="F293" s="35"/>
      <c r="G293" s="35"/>
    </row>
    <row r="294" spans="2:18">
      <c r="B294" s="48"/>
      <c r="C294" s="48"/>
      <c r="D294" s="48"/>
      <c r="F294" s="35"/>
      <c r="G294" s="35" t="s">
        <v>635</v>
      </c>
    </row>
    <row r="295" spans="2:18" s="10" customFormat="1" ht="20.25">
      <c r="B295" s="69" t="s">
        <v>598</v>
      </c>
      <c r="C295" s="35"/>
      <c r="D295" s="35"/>
      <c r="E295" s="35"/>
      <c r="F295" s="35"/>
      <c r="G295" s="35"/>
      <c r="H295" s="35"/>
      <c r="I295" s="35"/>
    </row>
    <row r="296" spans="2:18">
      <c r="B296" s="48"/>
      <c r="C296" s="48"/>
    </row>
    <row r="297" spans="2:18" s="51" customFormat="1" ht="28.5">
      <c r="B297" s="50" t="s">
        <v>599</v>
      </c>
      <c r="C297" s="4" t="s">
        <v>69</v>
      </c>
      <c r="D297" s="4" t="s">
        <v>80</v>
      </c>
      <c r="E297" s="50"/>
      <c r="F297" s="50"/>
      <c r="G297" s="50"/>
      <c r="H297" s="50"/>
      <c r="I297" s="2"/>
      <c r="J297" s="50"/>
      <c r="K297" s="50"/>
    </row>
    <row r="298" spans="2:18">
      <c r="B298" s="52"/>
      <c r="C298" s="15"/>
      <c r="D298" s="15"/>
      <c r="E298" s="53"/>
      <c r="F298" s="53"/>
      <c r="G298" s="53"/>
      <c r="H298" s="53"/>
      <c r="J298" s="53"/>
      <c r="K298" s="53"/>
    </row>
    <row r="299" spans="2:18">
      <c r="B299" s="54" t="s">
        <v>593</v>
      </c>
      <c r="C299" s="54" t="str">
        <f>DEC2HEX(HEX2DEC($C$37)+(HEX2DEC("90")*4),8)</f>
        <v>02328240</v>
      </c>
      <c r="D299" s="55" t="str">
        <f>DEC2HEX(SUM(B$307:V$307),8)</f>
        <v>7C000E81</v>
      </c>
      <c r="E299" s="137" t="s">
        <v>596</v>
      </c>
      <c r="F299" s="184" t="s">
        <v>644</v>
      </c>
      <c r="G299" s="35"/>
      <c r="J299" s="2"/>
      <c r="K299" s="2"/>
    </row>
    <row r="300" spans="2:18">
      <c r="B300" s="54" t="s">
        <v>592</v>
      </c>
      <c r="C300" s="54" t="str">
        <f>DEC2HEX(HEX2DEC($C$37)+(HEX2DEC("a0")*4),8)</f>
        <v>02328280</v>
      </c>
      <c r="D300" s="55" t="str">
        <f>DEC2HEX(SUM(B$307:V$307),8)</f>
        <v>7C000E81</v>
      </c>
      <c r="E300" s="137" t="s">
        <v>596</v>
      </c>
      <c r="F300" s="184" t="s">
        <v>644</v>
      </c>
      <c r="G300" s="35"/>
      <c r="J300" s="2"/>
      <c r="K300" s="2"/>
    </row>
    <row r="301" spans="2:18">
      <c r="B301" s="54" t="s">
        <v>591</v>
      </c>
      <c r="C301" s="54" t="str">
        <f>DEC2HEX(HEX2DEC($C$37)+(HEX2DEC("b0")*4),8)</f>
        <v>023282C0</v>
      </c>
      <c r="D301" s="55" t="str">
        <f>DEC2HEX(SUM(B$312:V$312),8)</f>
        <v>7C000E81</v>
      </c>
      <c r="E301" s="137" t="s">
        <v>595</v>
      </c>
      <c r="F301" s="184" t="s">
        <v>644</v>
      </c>
      <c r="G301" s="35"/>
      <c r="J301" s="2"/>
      <c r="K301" s="2"/>
    </row>
    <row r="302" spans="2:18">
      <c r="B302" s="54" t="s">
        <v>589</v>
      </c>
      <c r="C302" s="54" t="str">
        <f>DEC2HEX(HEX2DEC($C$37)+(HEX2DEC("c0")*4),8)</f>
        <v>02328300</v>
      </c>
      <c r="D302" s="55" t="str">
        <f t="shared" ref="D302:D304" si="81">DEC2HEX(SUM(B$312:V$312),8)</f>
        <v>7C000E81</v>
      </c>
      <c r="E302" s="137" t="s">
        <v>595</v>
      </c>
      <c r="F302" s="184" t="s">
        <v>644</v>
      </c>
      <c r="G302" s="35"/>
      <c r="J302" s="2"/>
      <c r="K302" s="2"/>
    </row>
    <row r="303" spans="2:18">
      <c r="B303" s="54" t="s">
        <v>590</v>
      </c>
      <c r="C303" s="54" t="str">
        <f>DEC2HEX(HEX2DEC($C$37)+(HEX2DEC("d0")*4),8)</f>
        <v>02328340</v>
      </c>
      <c r="D303" s="55" t="str">
        <f t="shared" si="81"/>
        <v>7C000E81</v>
      </c>
      <c r="E303" s="137" t="s">
        <v>595</v>
      </c>
      <c r="F303" s="184" t="s">
        <v>644</v>
      </c>
      <c r="G303" s="35"/>
      <c r="J303" s="2"/>
      <c r="K303" s="2"/>
    </row>
    <row r="304" spans="2:18">
      <c r="B304" s="54" t="s">
        <v>588</v>
      </c>
      <c r="C304" s="54" t="str">
        <f>DEC2HEX(HEX2DEC($C$37)+(HEX2DEC("e0")*4),8)</f>
        <v>02328380</v>
      </c>
      <c r="D304" s="55" t="str">
        <f t="shared" si="81"/>
        <v>7C000E81</v>
      </c>
      <c r="E304" s="137" t="s">
        <v>595</v>
      </c>
      <c r="F304" s="184" t="s">
        <v>644</v>
      </c>
      <c r="G304" s="35"/>
      <c r="J304" s="2"/>
      <c r="K304" s="2"/>
    </row>
    <row r="305" spans="2:23">
      <c r="B305" s="54" t="s">
        <v>587</v>
      </c>
      <c r="C305" s="54" t="str">
        <f>DEC2HEX(HEX2DEC($C$37)+(HEX2DEC("f0")*4),8)</f>
        <v>023283C0</v>
      </c>
      <c r="D305" s="55" t="str">
        <f>DEC2HEX(SUM(B$315:V$315),8)</f>
        <v>7C000E80</v>
      </c>
      <c r="E305" s="137" t="s">
        <v>594</v>
      </c>
      <c r="F305" s="184" t="s">
        <v>644</v>
      </c>
      <c r="G305" s="35"/>
      <c r="J305" s="2"/>
      <c r="K305" s="2"/>
    </row>
    <row r="306" spans="2:23">
      <c r="J306" s="2"/>
      <c r="K306" s="2"/>
    </row>
    <row r="307" spans="2:23" s="11" customFormat="1" hidden="1">
      <c r="B307" s="56">
        <f t="shared" ref="B307:K307" si="82">2^B308*B311</f>
        <v>0</v>
      </c>
      <c r="C307" s="56">
        <f t="shared" si="82"/>
        <v>1073741824</v>
      </c>
      <c r="D307" s="56">
        <f t="shared" si="82"/>
        <v>1006632960</v>
      </c>
      <c r="E307" s="56">
        <f t="shared" si="82"/>
        <v>0</v>
      </c>
      <c r="F307" s="56">
        <f t="shared" si="82"/>
        <v>0</v>
      </c>
      <c r="G307" s="56">
        <f t="shared" si="82"/>
        <v>0</v>
      </c>
      <c r="H307" s="56">
        <f t="shared" si="82"/>
        <v>0</v>
      </c>
      <c r="I307" s="56">
        <f t="shared" si="82"/>
        <v>0</v>
      </c>
      <c r="J307" s="56">
        <f t="shared" si="82"/>
        <v>0</v>
      </c>
      <c r="K307" s="56">
        <f t="shared" si="82"/>
        <v>0</v>
      </c>
      <c r="L307" s="56">
        <f t="shared" ref="L307:N307" si="83">2^L308*L311</f>
        <v>2048</v>
      </c>
      <c r="M307" s="56">
        <f t="shared" si="83"/>
        <v>1024</v>
      </c>
      <c r="N307" s="56">
        <f t="shared" si="83"/>
        <v>512</v>
      </c>
      <c r="O307" s="56">
        <f t="shared" ref="O307" si="84">2^O308*O311</f>
        <v>128</v>
      </c>
      <c r="P307" s="56">
        <f t="shared" ref="P307" si="85">2^P308*P311</f>
        <v>0</v>
      </c>
      <c r="Q307" s="56">
        <f t="shared" ref="Q307" si="86">2^Q308*Q311</f>
        <v>0</v>
      </c>
      <c r="R307" s="56">
        <f t="shared" ref="R307" si="87">2^R308*R311</f>
        <v>0</v>
      </c>
      <c r="S307" s="56">
        <f t="shared" ref="S307" si="88">2^S308*S311</f>
        <v>0</v>
      </c>
      <c r="T307" s="56">
        <f t="shared" ref="T307" si="89">2^T308*T311</f>
        <v>0</v>
      </c>
      <c r="U307" s="56">
        <f t="shared" ref="U307" si="90">2^U308*U311</f>
        <v>0</v>
      </c>
      <c r="V307" s="56">
        <f t="shared" ref="V307" si="91">2^V308*V311</f>
        <v>1</v>
      </c>
    </row>
    <row r="308" spans="2:23" s="11" customFormat="1" hidden="1">
      <c r="B308" s="56">
        <v>31</v>
      </c>
      <c r="C308" s="56">
        <v>30</v>
      </c>
      <c r="D308" s="56">
        <v>26</v>
      </c>
      <c r="E308" s="56">
        <v>20</v>
      </c>
      <c r="F308" s="56">
        <v>19</v>
      </c>
      <c r="G308" s="56">
        <v>18</v>
      </c>
      <c r="H308" s="56">
        <v>17</v>
      </c>
      <c r="I308" s="56">
        <v>16</v>
      </c>
      <c r="J308" s="56">
        <v>14</v>
      </c>
      <c r="K308" s="56">
        <v>13</v>
      </c>
      <c r="L308" s="56">
        <v>11</v>
      </c>
      <c r="M308" s="56">
        <v>10</v>
      </c>
      <c r="N308" s="56">
        <v>9</v>
      </c>
      <c r="O308" s="56">
        <v>7</v>
      </c>
      <c r="P308" s="56">
        <v>6</v>
      </c>
      <c r="Q308" s="56">
        <v>5</v>
      </c>
      <c r="R308" s="56">
        <v>4</v>
      </c>
      <c r="S308" s="56">
        <v>3</v>
      </c>
      <c r="T308" s="56">
        <v>2</v>
      </c>
      <c r="U308" s="56">
        <v>1</v>
      </c>
      <c r="V308" s="56">
        <v>0</v>
      </c>
    </row>
    <row r="309" spans="2:23">
      <c r="B309" s="53" t="s">
        <v>15</v>
      </c>
      <c r="C309" s="53" t="s">
        <v>303</v>
      </c>
      <c r="D309" s="53" t="s">
        <v>291</v>
      </c>
      <c r="E309" s="53" t="s">
        <v>292</v>
      </c>
      <c r="F309" s="53" t="s">
        <v>387</v>
      </c>
      <c r="G309" s="53" t="s">
        <v>388</v>
      </c>
      <c r="H309" s="53" t="s">
        <v>329</v>
      </c>
      <c r="I309" s="53" t="s">
        <v>471</v>
      </c>
      <c r="J309" s="53" t="s">
        <v>10</v>
      </c>
      <c r="K309" s="53" t="s">
        <v>418</v>
      </c>
      <c r="L309" s="53" t="s">
        <v>334</v>
      </c>
      <c r="M309" s="53" t="s">
        <v>205</v>
      </c>
      <c r="N309" s="53" t="s">
        <v>206</v>
      </c>
      <c r="O309" s="53" t="s">
        <v>375</v>
      </c>
      <c r="P309" s="53" t="s">
        <v>210</v>
      </c>
      <c r="Q309" s="53" t="s">
        <v>212</v>
      </c>
      <c r="R309" s="53" t="s">
        <v>152</v>
      </c>
      <c r="S309" s="53" t="s">
        <v>12</v>
      </c>
      <c r="T309" s="53" t="s">
        <v>153</v>
      </c>
      <c r="U309" s="53" t="s">
        <v>217</v>
      </c>
      <c r="V309" s="53" t="s">
        <v>219</v>
      </c>
    </row>
    <row r="310" spans="2:23">
      <c r="B310" s="2" t="s">
        <v>468</v>
      </c>
      <c r="C310" s="2" t="s">
        <v>373</v>
      </c>
      <c r="D310" s="2" t="s">
        <v>469</v>
      </c>
      <c r="E310" s="2" t="s">
        <v>16</v>
      </c>
      <c r="F310" s="2" t="s">
        <v>470</v>
      </c>
      <c r="G310" s="2" t="s">
        <v>335</v>
      </c>
      <c r="H310" s="2" t="s">
        <v>326</v>
      </c>
      <c r="I310" s="2" t="s">
        <v>325</v>
      </c>
      <c r="J310" s="2" t="s">
        <v>472</v>
      </c>
      <c r="K310" s="2" t="s">
        <v>473</v>
      </c>
      <c r="L310" s="2" t="s">
        <v>474</v>
      </c>
      <c r="M310" s="2" t="s">
        <v>475</v>
      </c>
      <c r="N310" s="2" t="s">
        <v>476</v>
      </c>
      <c r="O310" s="2" t="s">
        <v>477</v>
      </c>
      <c r="P310" s="2" t="s">
        <v>478</v>
      </c>
      <c r="Q310" s="2" t="s">
        <v>479</v>
      </c>
      <c r="R310" s="2" t="s">
        <v>440</v>
      </c>
      <c r="S310" s="2" t="s">
        <v>441</v>
      </c>
      <c r="T310" s="2" t="s">
        <v>480</v>
      </c>
      <c r="U310" s="2" t="s">
        <v>481</v>
      </c>
      <c r="V310" s="2" t="s">
        <v>482</v>
      </c>
    </row>
    <row r="311" spans="2:23">
      <c r="B311" s="136">
        <v>0</v>
      </c>
      <c r="C311" s="136">
        <v>1</v>
      </c>
      <c r="D311" s="136">
        <v>15</v>
      </c>
      <c r="E311" s="136">
        <v>0</v>
      </c>
      <c r="F311" s="136">
        <v>0</v>
      </c>
      <c r="G311" s="136">
        <v>0</v>
      </c>
      <c r="H311" s="136">
        <v>0</v>
      </c>
      <c r="I311" s="136">
        <v>0</v>
      </c>
      <c r="J311" s="136">
        <v>0</v>
      </c>
      <c r="K311" s="136">
        <v>0</v>
      </c>
      <c r="L311" s="136">
        <v>1</v>
      </c>
      <c r="M311" s="136">
        <v>1</v>
      </c>
      <c r="N311" s="136">
        <v>1</v>
      </c>
      <c r="O311" s="136">
        <v>1</v>
      </c>
      <c r="P311" s="136">
        <v>0</v>
      </c>
      <c r="Q311" s="136">
        <v>0</v>
      </c>
      <c r="R311" s="136">
        <v>0</v>
      </c>
      <c r="S311" s="136">
        <v>0</v>
      </c>
      <c r="T311" s="136">
        <v>0</v>
      </c>
      <c r="U311" s="136">
        <v>0</v>
      </c>
      <c r="V311" s="57">
        <f>IF(nm_val=2,0,1)</f>
        <v>1</v>
      </c>
      <c r="W311" s="3" t="s">
        <v>596</v>
      </c>
    </row>
    <row r="312" spans="2:23" s="11" customFormat="1" hidden="1">
      <c r="B312" s="56">
        <f t="shared" ref="B312:V312" si="92">2^B313*B314</f>
        <v>0</v>
      </c>
      <c r="C312" s="56">
        <f t="shared" si="92"/>
        <v>1073741824</v>
      </c>
      <c r="D312" s="56">
        <f t="shared" si="92"/>
        <v>1006632960</v>
      </c>
      <c r="E312" s="56">
        <f t="shared" si="92"/>
        <v>0</v>
      </c>
      <c r="F312" s="56">
        <f t="shared" si="92"/>
        <v>0</v>
      </c>
      <c r="G312" s="56">
        <f t="shared" si="92"/>
        <v>0</v>
      </c>
      <c r="H312" s="56">
        <f t="shared" si="92"/>
        <v>0</v>
      </c>
      <c r="I312" s="56">
        <f t="shared" si="92"/>
        <v>0</v>
      </c>
      <c r="J312" s="56">
        <f t="shared" si="92"/>
        <v>0</v>
      </c>
      <c r="K312" s="56">
        <f t="shared" si="92"/>
        <v>0</v>
      </c>
      <c r="L312" s="56">
        <f t="shared" si="92"/>
        <v>2048</v>
      </c>
      <c r="M312" s="56">
        <f t="shared" si="92"/>
        <v>1024</v>
      </c>
      <c r="N312" s="56">
        <f t="shared" si="92"/>
        <v>512</v>
      </c>
      <c r="O312" s="56">
        <f t="shared" si="92"/>
        <v>128</v>
      </c>
      <c r="P312" s="56">
        <f t="shared" si="92"/>
        <v>0</v>
      </c>
      <c r="Q312" s="56">
        <f t="shared" si="92"/>
        <v>0</v>
      </c>
      <c r="R312" s="56">
        <f t="shared" si="92"/>
        <v>0</v>
      </c>
      <c r="S312" s="56">
        <f t="shared" si="92"/>
        <v>0</v>
      </c>
      <c r="T312" s="56">
        <f t="shared" si="92"/>
        <v>0</v>
      </c>
      <c r="U312" s="56">
        <f t="shared" si="92"/>
        <v>0</v>
      </c>
      <c r="V312" s="181">
        <f t="shared" si="92"/>
        <v>1</v>
      </c>
    </row>
    <row r="313" spans="2:23" s="11" customFormat="1" hidden="1">
      <c r="B313" s="56">
        <v>31</v>
      </c>
      <c r="C313" s="56">
        <v>30</v>
      </c>
      <c r="D313" s="56">
        <v>26</v>
      </c>
      <c r="E313" s="56">
        <v>20</v>
      </c>
      <c r="F313" s="56">
        <v>19</v>
      </c>
      <c r="G313" s="56">
        <v>18</v>
      </c>
      <c r="H313" s="56">
        <v>17</v>
      </c>
      <c r="I313" s="56">
        <v>16</v>
      </c>
      <c r="J313" s="56">
        <v>14</v>
      </c>
      <c r="K313" s="56">
        <v>13</v>
      </c>
      <c r="L313" s="56">
        <v>11</v>
      </c>
      <c r="M313" s="56">
        <v>10</v>
      </c>
      <c r="N313" s="56">
        <v>9</v>
      </c>
      <c r="O313" s="56">
        <v>7</v>
      </c>
      <c r="P313" s="56">
        <v>6</v>
      </c>
      <c r="Q313" s="56">
        <v>5</v>
      </c>
      <c r="R313" s="56">
        <v>4</v>
      </c>
      <c r="S313" s="56">
        <v>3</v>
      </c>
      <c r="T313" s="56">
        <v>2</v>
      </c>
      <c r="U313" s="56">
        <v>1</v>
      </c>
      <c r="V313" s="181">
        <v>0</v>
      </c>
    </row>
    <row r="314" spans="2:23">
      <c r="B314" s="136">
        <v>0</v>
      </c>
      <c r="C314" s="136">
        <v>1</v>
      </c>
      <c r="D314" s="136">
        <v>15</v>
      </c>
      <c r="E314" s="136">
        <v>0</v>
      </c>
      <c r="F314" s="136">
        <v>0</v>
      </c>
      <c r="G314" s="136">
        <v>0</v>
      </c>
      <c r="H314" s="136">
        <v>0</v>
      </c>
      <c r="I314" s="136">
        <v>0</v>
      </c>
      <c r="J314" s="136">
        <v>0</v>
      </c>
      <c r="K314" s="136">
        <v>0</v>
      </c>
      <c r="L314" s="136">
        <v>1</v>
      </c>
      <c r="M314" s="136">
        <v>1</v>
      </c>
      <c r="N314" s="136">
        <v>1</v>
      </c>
      <c r="O314" s="136">
        <v>1</v>
      </c>
      <c r="P314" s="136">
        <v>0</v>
      </c>
      <c r="Q314" s="136">
        <v>0</v>
      </c>
      <c r="R314" s="136">
        <v>0</v>
      </c>
      <c r="S314" s="136">
        <v>0</v>
      </c>
      <c r="T314" s="136">
        <v>0</v>
      </c>
      <c r="U314" s="136">
        <v>0</v>
      </c>
      <c r="V314" s="57">
        <f>IF(nm_val=0,1,0)</f>
        <v>1</v>
      </c>
      <c r="W314" s="3" t="s">
        <v>595</v>
      </c>
    </row>
    <row r="315" spans="2:23" s="11" customFormat="1" hidden="1">
      <c r="B315" s="56">
        <f t="shared" ref="B315:V315" si="93">2^B316*B317</f>
        <v>0</v>
      </c>
      <c r="C315" s="56">
        <f t="shared" si="93"/>
        <v>1073741824</v>
      </c>
      <c r="D315" s="56">
        <f t="shared" si="93"/>
        <v>1006632960</v>
      </c>
      <c r="E315" s="56">
        <f t="shared" si="93"/>
        <v>0</v>
      </c>
      <c r="F315" s="56">
        <f t="shared" si="93"/>
        <v>0</v>
      </c>
      <c r="G315" s="56">
        <f t="shared" si="93"/>
        <v>0</v>
      </c>
      <c r="H315" s="56">
        <f t="shared" si="93"/>
        <v>0</v>
      </c>
      <c r="I315" s="56">
        <f t="shared" si="93"/>
        <v>0</v>
      </c>
      <c r="J315" s="56">
        <f t="shared" si="93"/>
        <v>0</v>
      </c>
      <c r="K315" s="56">
        <f t="shared" si="93"/>
        <v>0</v>
      </c>
      <c r="L315" s="56">
        <f t="shared" si="93"/>
        <v>2048</v>
      </c>
      <c r="M315" s="56">
        <f t="shared" si="93"/>
        <v>1024</v>
      </c>
      <c r="N315" s="56">
        <f t="shared" si="93"/>
        <v>512</v>
      </c>
      <c r="O315" s="56">
        <f t="shared" si="93"/>
        <v>128</v>
      </c>
      <c r="P315" s="56">
        <f t="shared" si="93"/>
        <v>0</v>
      </c>
      <c r="Q315" s="56">
        <f t="shared" si="93"/>
        <v>0</v>
      </c>
      <c r="R315" s="56">
        <f t="shared" si="93"/>
        <v>0</v>
      </c>
      <c r="S315" s="56">
        <f t="shared" si="93"/>
        <v>0</v>
      </c>
      <c r="T315" s="56">
        <f t="shared" si="93"/>
        <v>0</v>
      </c>
      <c r="U315" s="56">
        <f t="shared" si="93"/>
        <v>0</v>
      </c>
      <c r="V315" s="181">
        <f t="shared" si="93"/>
        <v>0</v>
      </c>
    </row>
    <row r="316" spans="2:23" s="11" customFormat="1" hidden="1">
      <c r="B316" s="56">
        <v>31</v>
      </c>
      <c r="C316" s="56">
        <v>30</v>
      </c>
      <c r="D316" s="56">
        <v>26</v>
      </c>
      <c r="E316" s="56">
        <v>20</v>
      </c>
      <c r="F316" s="56">
        <v>19</v>
      </c>
      <c r="G316" s="56">
        <v>18</v>
      </c>
      <c r="H316" s="56">
        <v>17</v>
      </c>
      <c r="I316" s="56">
        <v>16</v>
      </c>
      <c r="J316" s="56">
        <v>14</v>
      </c>
      <c r="K316" s="56">
        <v>13</v>
      </c>
      <c r="L316" s="56">
        <v>11</v>
      </c>
      <c r="M316" s="56">
        <v>10</v>
      </c>
      <c r="N316" s="56">
        <v>9</v>
      </c>
      <c r="O316" s="56">
        <v>7</v>
      </c>
      <c r="P316" s="56">
        <v>6</v>
      </c>
      <c r="Q316" s="56">
        <v>5</v>
      </c>
      <c r="R316" s="56">
        <v>4</v>
      </c>
      <c r="S316" s="56">
        <v>3</v>
      </c>
      <c r="T316" s="56">
        <v>2</v>
      </c>
      <c r="U316" s="56">
        <v>1</v>
      </c>
      <c r="V316" s="181">
        <v>0</v>
      </c>
    </row>
    <row r="317" spans="2:23">
      <c r="B317" s="136">
        <v>0</v>
      </c>
      <c r="C317" s="136">
        <v>1</v>
      </c>
      <c r="D317" s="136">
        <v>15</v>
      </c>
      <c r="E317" s="136">
        <v>0</v>
      </c>
      <c r="F317" s="136">
        <v>0</v>
      </c>
      <c r="G317" s="136">
        <v>0</v>
      </c>
      <c r="H317" s="136">
        <v>0</v>
      </c>
      <c r="I317" s="136">
        <v>0</v>
      </c>
      <c r="J317" s="136">
        <v>0</v>
      </c>
      <c r="K317" s="136">
        <v>0</v>
      </c>
      <c r="L317" s="136">
        <v>1</v>
      </c>
      <c r="M317" s="136">
        <v>1</v>
      </c>
      <c r="N317" s="136">
        <v>1</v>
      </c>
      <c r="O317" s="136">
        <v>1</v>
      </c>
      <c r="P317" s="136">
        <v>0</v>
      </c>
      <c r="Q317" s="136">
        <v>0</v>
      </c>
      <c r="R317" s="136">
        <v>0</v>
      </c>
      <c r="S317" s="136">
        <v>0</v>
      </c>
      <c r="T317" s="136">
        <v>0</v>
      </c>
      <c r="U317" s="136">
        <v>0</v>
      </c>
      <c r="V317" s="57">
        <f>ecc_byte_val</f>
        <v>0</v>
      </c>
      <c r="W317" s="3" t="s">
        <v>594</v>
      </c>
    </row>
    <row r="318" spans="2:23">
      <c r="D318" s="2" t="str">
        <f>DEC2HEX(D311)</f>
        <v>F</v>
      </c>
      <c r="J318" s="2"/>
      <c r="K318" s="2"/>
      <c r="W318" s="3" t="s">
        <v>610</v>
      </c>
    </row>
    <row r="319" spans="2:23">
      <c r="F319" s="1"/>
      <c r="G319" s="1"/>
      <c r="J319" s="58"/>
      <c r="K319" s="2"/>
      <c r="V319" s="78" t="s">
        <v>597</v>
      </c>
    </row>
    <row r="322" spans="2:2">
      <c r="B322" s="20" t="s">
        <v>529</v>
      </c>
    </row>
  </sheetData>
  <sheetProtection password="DF21" sheet="1" objects="1" scenarios="1"/>
  <mergeCells count="1">
    <mergeCell ref="G179:I179"/>
  </mergeCells>
  <phoneticPr fontId="14"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dimension ref="A1:BC53"/>
  <sheetViews>
    <sheetView zoomScaleNormal="100" workbookViewId="0">
      <pane xSplit="2" ySplit="4" topLeftCell="AL5" activePane="bottomRight" state="frozen"/>
      <selection pane="topRight" activeCell="C1" sqref="C1"/>
      <selection pane="bottomLeft" activeCell="A4" sqref="A4"/>
      <selection pane="bottomRight" activeCell="AR6" sqref="AR6:AR14"/>
    </sheetView>
  </sheetViews>
  <sheetFormatPr defaultColWidth="9.125" defaultRowHeight="14.25"/>
  <cols>
    <col min="1" max="1" width="11.625" style="81" hidden="1" customWidth="1"/>
    <col min="2" max="49" width="14.625" style="81" customWidth="1"/>
    <col min="50" max="50" width="9.125" style="81"/>
    <col min="51" max="51" width="14.625" style="114" customWidth="1"/>
    <col min="52" max="55" width="14.625" style="81" hidden="1" customWidth="1"/>
    <col min="56" max="57" width="14.625" style="81" customWidth="1"/>
    <col min="58" max="16384" width="9.125" style="81"/>
  </cols>
  <sheetData>
    <row r="1" spans="1:55" ht="15" hidden="1" thickBot="1"/>
    <row r="2" spans="1:55" ht="15" thickBot="1">
      <c r="A2" s="81" t="s">
        <v>579</v>
      </c>
      <c r="B2" s="82"/>
      <c r="C2" s="239" t="s">
        <v>488</v>
      </c>
      <c r="D2" s="239"/>
      <c r="E2" s="239"/>
      <c r="F2" s="239" t="s">
        <v>489</v>
      </c>
      <c r="G2" s="239"/>
      <c r="H2" s="239"/>
      <c r="I2" s="239"/>
      <c r="J2" s="239" t="s">
        <v>490</v>
      </c>
      <c r="K2" s="239"/>
      <c r="L2" s="239"/>
      <c r="M2" s="239" t="s">
        <v>509</v>
      </c>
      <c r="N2" s="239"/>
      <c r="O2" s="239"/>
      <c r="P2" s="239" t="s">
        <v>508</v>
      </c>
      <c r="Q2" s="239"/>
      <c r="R2" s="239"/>
      <c r="S2" s="239" t="s">
        <v>507</v>
      </c>
      <c r="T2" s="239"/>
      <c r="U2" s="239"/>
      <c r="V2" s="239"/>
      <c r="W2" s="239" t="s">
        <v>521</v>
      </c>
      <c r="X2" s="239"/>
      <c r="Y2" s="239" t="s">
        <v>510</v>
      </c>
      <c r="Z2" s="239"/>
      <c r="AA2" s="239"/>
      <c r="AB2" s="239"/>
      <c r="AC2" s="239" t="s">
        <v>486</v>
      </c>
      <c r="AD2" s="239"/>
      <c r="AE2" s="239" t="s">
        <v>516</v>
      </c>
      <c r="AF2" s="239"/>
      <c r="AG2" s="239"/>
      <c r="AH2" s="239" t="s">
        <v>654</v>
      </c>
      <c r="AI2" s="240"/>
      <c r="AJ2" s="239" t="s">
        <v>319</v>
      </c>
      <c r="AK2" s="239"/>
      <c r="AL2" s="239"/>
      <c r="AM2" s="239"/>
      <c r="AN2" s="239" t="s">
        <v>487</v>
      </c>
      <c r="AO2" s="239"/>
      <c r="AP2" s="239"/>
      <c r="AQ2" s="239"/>
      <c r="AR2" s="239" t="s">
        <v>519</v>
      </c>
      <c r="AS2" s="239"/>
      <c r="AT2" s="239"/>
      <c r="AU2" s="239" t="s">
        <v>520</v>
      </c>
      <c r="AV2" s="240"/>
      <c r="AW2" s="82"/>
      <c r="AX2" s="138"/>
      <c r="AY2" s="106"/>
      <c r="AZ2" s="240" t="s">
        <v>523</v>
      </c>
      <c r="BA2" s="241"/>
      <c r="BB2" s="241"/>
      <c r="BC2" s="242"/>
    </row>
    <row r="3" spans="1:55" s="19" customFormat="1" ht="48" customHeight="1" thickBot="1">
      <c r="A3" s="19">
        <v>1</v>
      </c>
      <c r="B3" s="18" t="s">
        <v>524</v>
      </c>
      <c r="C3" s="18" t="s">
        <v>536</v>
      </c>
      <c r="D3" s="18" t="s">
        <v>537</v>
      </c>
      <c r="E3" s="18" t="s">
        <v>538</v>
      </c>
      <c r="F3" s="18" t="s">
        <v>539</v>
      </c>
      <c r="G3" s="18" t="s">
        <v>540</v>
      </c>
      <c r="H3" s="18" t="s">
        <v>541</v>
      </c>
      <c r="I3" s="18" t="s">
        <v>542</v>
      </c>
      <c r="J3" s="18" t="s">
        <v>543</v>
      </c>
      <c r="K3" s="18" t="s">
        <v>544</v>
      </c>
      <c r="L3" s="18" t="s">
        <v>545</v>
      </c>
      <c r="M3" s="18" t="s">
        <v>546</v>
      </c>
      <c r="N3" s="18" t="s">
        <v>547</v>
      </c>
      <c r="O3" s="18" t="s">
        <v>548</v>
      </c>
      <c r="P3" s="18" t="s">
        <v>549</v>
      </c>
      <c r="Q3" s="18" t="s">
        <v>550</v>
      </c>
      <c r="R3" s="18" t="s">
        <v>551</v>
      </c>
      <c r="S3" s="18" t="s">
        <v>552</v>
      </c>
      <c r="T3" s="18" t="s">
        <v>553</v>
      </c>
      <c r="U3" s="18" t="s">
        <v>554</v>
      </c>
      <c r="V3" s="18" t="s">
        <v>555</v>
      </c>
      <c r="W3" s="18" t="s">
        <v>556</v>
      </c>
      <c r="X3" s="18" t="s">
        <v>557</v>
      </c>
      <c r="Y3" s="18" t="s">
        <v>558</v>
      </c>
      <c r="Z3" s="18" t="s">
        <v>559</v>
      </c>
      <c r="AA3" s="18" t="s">
        <v>560</v>
      </c>
      <c r="AB3" s="18" t="s">
        <v>561</v>
      </c>
      <c r="AC3" s="18" t="s">
        <v>562</v>
      </c>
      <c r="AD3" s="18" t="s">
        <v>563</v>
      </c>
      <c r="AE3" s="18" t="s">
        <v>564</v>
      </c>
      <c r="AF3" s="18" t="s">
        <v>565</v>
      </c>
      <c r="AG3" s="18" t="s">
        <v>566</v>
      </c>
      <c r="AH3" s="18" t="s">
        <v>655</v>
      </c>
      <c r="AI3" s="98" t="s">
        <v>656</v>
      </c>
      <c r="AJ3" s="18" t="s">
        <v>567</v>
      </c>
      <c r="AK3" s="18" t="s">
        <v>568</v>
      </c>
      <c r="AL3" s="18" t="s">
        <v>569</v>
      </c>
      <c r="AM3" s="18" t="s">
        <v>561</v>
      </c>
      <c r="AN3" s="18" t="s">
        <v>570</v>
      </c>
      <c r="AO3" s="18" t="s">
        <v>571</v>
      </c>
      <c r="AP3" s="18" t="s">
        <v>572</v>
      </c>
      <c r="AQ3" s="18" t="s">
        <v>573</v>
      </c>
      <c r="AR3" s="18" t="s">
        <v>574</v>
      </c>
      <c r="AS3" s="18" t="s">
        <v>575</v>
      </c>
      <c r="AT3" s="18" t="s">
        <v>576</v>
      </c>
      <c r="AU3" s="18" t="s">
        <v>577</v>
      </c>
      <c r="AV3" s="98" t="s">
        <v>578</v>
      </c>
      <c r="AW3" s="18" t="s">
        <v>124</v>
      </c>
      <c r="AX3" s="18"/>
      <c r="AY3" s="115"/>
      <c r="AZ3" s="18" t="s">
        <v>526</v>
      </c>
      <c r="BA3" s="18" t="s">
        <v>527</v>
      </c>
      <c r="BB3" s="18" t="s">
        <v>528</v>
      </c>
      <c r="BC3" s="18" t="s">
        <v>522</v>
      </c>
    </row>
    <row r="4" spans="1:55" s="19" customFormat="1" ht="15.75" customHeight="1" thickBot="1">
      <c r="A4" s="19">
        <f t="shared" ref="A4:A47" si="0">1+A3</f>
        <v>2</v>
      </c>
      <c r="B4" s="18" t="s">
        <v>525</v>
      </c>
      <c r="C4" s="18">
        <v>800</v>
      </c>
      <c r="D4" s="18">
        <v>1066</v>
      </c>
      <c r="E4" s="18">
        <v>1333</v>
      </c>
      <c r="F4" s="18">
        <v>800</v>
      </c>
      <c r="G4" s="18">
        <v>1066</v>
      </c>
      <c r="H4" s="18">
        <v>1333</v>
      </c>
      <c r="I4" s="18">
        <v>1600</v>
      </c>
      <c r="J4" s="18">
        <v>800</v>
      </c>
      <c r="K4" s="18">
        <v>1066</v>
      </c>
      <c r="L4" s="18">
        <v>1333</v>
      </c>
      <c r="M4" s="18">
        <v>800</v>
      </c>
      <c r="N4" s="18">
        <v>1066</v>
      </c>
      <c r="O4" s="18">
        <v>1333</v>
      </c>
      <c r="P4" s="18">
        <v>800</v>
      </c>
      <c r="Q4" s="18">
        <v>1066</v>
      </c>
      <c r="R4" s="18">
        <v>1333</v>
      </c>
      <c r="S4" s="18">
        <v>800</v>
      </c>
      <c r="T4" s="18">
        <v>1066</v>
      </c>
      <c r="U4" s="18">
        <v>1333</v>
      </c>
      <c r="V4" s="18">
        <v>1600</v>
      </c>
      <c r="W4" s="18">
        <v>1333</v>
      </c>
      <c r="X4" s="18">
        <v>1600</v>
      </c>
      <c r="Y4" s="18">
        <v>800</v>
      </c>
      <c r="Z4" s="18">
        <v>1066</v>
      </c>
      <c r="AA4" s="18">
        <v>1333</v>
      </c>
      <c r="AB4" s="18">
        <v>1600</v>
      </c>
      <c r="AC4" s="18">
        <v>1066</v>
      </c>
      <c r="AD4" s="18">
        <v>1333</v>
      </c>
      <c r="AE4" s="18">
        <v>1066</v>
      </c>
      <c r="AF4" s="18">
        <v>1333</v>
      </c>
      <c r="AG4" s="18">
        <v>1600</v>
      </c>
      <c r="AH4" s="18">
        <v>1333</v>
      </c>
      <c r="AI4" s="98">
        <v>1600</v>
      </c>
      <c r="AJ4" s="18">
        <v>800</v>
      </c>
      <c r="AK4" s="18">
        <v>1066</v>
      </c>
      <c r="AL4" s="18">
        <v>1333</v>
      </c>
      <c r="AM4" s="18">
        <v>1600</v>
      </c>
      <c r="AN4" s="18">
        <v>1066</v>
      </c>
      <c r="AO4" s="18">
        <v>1333</v>
      </c>
      <c r="AP4" s="18">
        <v>1066</v>
      </c>
      <c r="AQ4" s="18">
        <v>1333</v>
      </c>
      <c r="AR4" s="18">
        <v>1333</v>
      </c>
      <c r="AS4" s="18">
        <v>1333</v>
      </c>
      <c r="AT4" s="18">
        <v>1600</v>
      </c>
      <c r="AU4" s="18">
        <v>1333</v>
      </c>
      <c r="AV4" s="98">
        <v>1600</v>
      </c>
      <c r="AW4" s="129">
        <v>1333</v>
      </c>
      <c r="AX4" s="18"/>
      <c r="AY4" s="115"/>
      <c r="AZ4" s="18">
        <v>1333</v>
      </c>
      <c r="BA4" s="18">
        <v>1600</v>
      </c>
      <c r="BB4" s="18">
        <v>1600</v>
      </c>
      <c r="BC4" s="18"/>
    </row>
    <row r="5" spans="1:55" s="19" customFormat="1" ht="15.75" customHeight="1">
      <c r="A5" s="19">
        <f t="shared" si="0"/>
        <v>3</v>
      </c>
      <c r="B5" s="97" t="s">
        <v>17</v>
      </c>
      <c r="C5" s="95">
        <v>15</v>
      </c>
      <c r="D5" s="83">
        <v>13.125</v>
      </c>
      <c r="E5" s="83">
        <v>13.5</v>
      </c>
      <c r="F5" s="83">
        <v>15</v>
      </c>
      <c r="G5" s="83">
        <v>13.125</v>
      </c>
      <c r="H5" s="83">
        <v>13.5</v>
      </c>
      <c r="I5" s="83">
        <v>13.75</v>
      </c>
      <c r="J5" s="83">
        <v>15</v>
      </c>
      <c r="K5" s="83">
        <v>13.125</v>
      </c>
      <c r="L5" s="83">
        <v>13.5</v>
      </c>
      <c r="M5" s="83">
        <v>15</v>
      </c>
      <c r="N5" s="83">
        <v>13.125</v>
      </c>
      <c r="O5" s="83">
        <v>13.5</v>
      </c>
      <c r="P5" s="83">
        <v>15</v>
      </c>
      <c r="Q5" s="83">
        <v>13.125</v>
      </c>
      <c r="R5" s="83">
        <v>13.5</v>
      </c>
      <c r="S5" s="83">
        <v>15</v>
      </c>
      <c r="T5" s="83">
        <v>13.125</v>
      </c>
      <c r="U5" s="83">
        <v>13.5</v>
      </c>
      <c r="V5" s="83">
        <v>13.75</v>
      </c>
      <c r="W5" s="83">
        <v>13.5</v>
      </c>
      <c r="X5" s="83">
        <v>13.75</v>
      </c>
      <c r="Y5" s="83">
        <v>12.5</v>
      </c>
      <c r="Z5" s="83">
        <v>13.125</v>
      </c>
      <c r="AA5" s="83">
        <v>13.5</v>
      </c>
      <c r="AB5" s="83">
        <v>13.75</v>
      </c>
      <c r="AC5" s="83">
        <v>13.125</v>
      </c>
      <c r="AD5" s="83">
        <v>13.5</v>
      </c>
      <c r="AE5" s="83">
        <v>13.125</v>
      </c>
      <c r="AF5" s="83">
        <v>13.5</v>
      </c>
      <c r="AG5" s="83">
        <v>13.75</v>
      </c>
      <c r="AH5" s="83">
        <v>13.5</v>
      </c>
      <c r="AI5" s="100">
        <v>13.75</v>
      </c>
      <c r="AJ5" s="83">
        <v>12.5</v>
      </c>
      <c r="AK5" s="83">
        <v>13.125</v>
      </c>
      <c r="AL5" s="83">
        <v>13.5</v>
      </c>
      <c r="AM5" s="83">
        <v>13.75</v>
      </c>
      <c r="AN5" s="83">
        <v>13.125</v>
      </c>
      <c r="AO5" s="83">
        <v>13.5</v>
      </c>
      <c r="AP5" s="83">
        <v>13.125</v>
      </c>
      <c r="AQ5" s="83">
        <v>13.5</v>
      </c>
      <c r="AR5" s="83">
        <v>13.5</v>
      </c>
      <c r="AS5" s="83">
        <v>15</v>
      </c>
      <c r="AT5" s="83">
        <v>13.75</v>
      </c>
      <c r="AU5" s="83">
        <v>13.5</v>
      </c>
      <c r="AV5" s="100">
        <v>13.75</v>
      </c>
      <c r="AW5" s="103">
        <v>13.75</v>
      </c>
      <c r="AX5" s="94" t="s">
        <v>38</v>
      </c>
      <c r="AY5" s="105"/>
      <c r="AZ5" s="107">
        <v>13.5</v>
      </c>
      <c r="BA5" s="83">
        <v>13.75</v>
      </c>
      <c r="BB5" s="83">
        <v>13.75</v>
      </c>
      <c r="BC5" s="108">
        <f>MAX(AZ5:BB5)</f>
        <v>13.75</v>
      </c>
    </row>
    <row r="6" spans="1:55" s="19" customFormat="1" ht="15.75" customHeight="1">
      <c r="A6" s="19">
        <f t="shared" si="0"/>
        <v>4</v>
      </c>
      <c r="B6" s="79"/>
      <c r="C6" s="96"/>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101"/>
      <c r="AJ6" s="84"/>
      <c r="AK6" s="84"/>
      <c r="AL6" s="84"/>
      <c r="AM6" s="84"/>
      <c r="AN6" s="84"/>
      <c r="AO6" s="84"/>
      <c r="AP6" s="84"/>
      <c r="AQ6" s="84"/>
      <c r="AR6" s="84"/>
      <c r="AS6" s="84"/>
      <c r="AT6" s="84"/>
      <c r="AU6" s="84"/>
      <c r="AV6" s="101"/>
      <c r="AW6" s="119"/>
      <c r="AX6" s="87"/>
      <c r="AY6" s="105"/>
      <c r="AZ6" s="109"/>
      <c r="BA6" s="84"/>
      <c r="BB6" s="84"/>
      <c r="BC6" s="110"/>
    </row>
    <row r="7" spans="1:55" s="19" customFormat="1" ht="15.75" customHeight="1">
      <c r="A7" s="19">
        <f t="shared" si="0"/>
        <v>5</v>
      </c>
      <c r="B7" s="80" t="s">
        <v>18</v>
      </c>
      <c r="C7" s="86">
        <v>15</v>
      </c>
      <c r="D7" s="85">
        <v>13.125</v>
      </c>
      <c r="E7" s="85">
        <v>13.5</v>
      </c>
      <c r="F7" s="85">
        <v>15</v>
      </c>
      <c r="G7" s="85">
        <v>13.125</v>
      </c>
      <c r="H7" s="85">
        <v>13.5</v>
      </c>
      <c r="I7" s="83">
        <v>13.75</v>
      </c>
      <c r="J7" s="85">
        <v>15</v>
      </c>
      <c r="K7" s="85">
        <v>13.125</v>
      </c>
      <c r="L7" s="85">
        <v>13.5</v>
      </c>
      <c r="M7" s="85">
        <v>15</v>
      </c>
      <c r="N7" s="85">
        <v>13.125</v>
      </c>
      <c r="O7" s="85">
        <v>13.5</v>
      </c>
      <c r="P7" s="85">
        <v>15</v>
      </c>
      <c r="Q7" s="85">
        <v>13.125</v>
      </c>
      <c r="R7" s="85">
        <v>13.5</v>
      </c>
      <c r="S7" s="85">
        <v>15</v>
      </c>
      <c r="T7" s="85">
        <v>13.125</v>
      </c>
      <c r="U7" s="85">
        <v>13.5</v>
      </c>
      <c r="V7" s="85">
        <v>13.75</v>
      </c>
      <c r="W7" s="85">
        <v>13.5</v>
      </c>
      <c r="X7" s="85">
        <v>13.75</v>
      </c>
      <c r="Y7" s="85">
        <v>12.5</v>
      </c>
      <c r="Z7" s="85">
        <v>13.125</v>
      </c>
      <c r="AA7" s="85">
        <v>13.5</v>
      </c>
      <c r="AB7" s="85">
        <v>13.75</v>
      </c>
      <c r="AC7" s="85">
        <v>13.125</v>
      </c>
      <c r="AD7" s="85">
        <v>13.5</v>
      </c>
      <c r="AE7" s="85">
        <v>13.125</v>
      </c>
      <c r="AF7" s="85">
        <v>13.5</v>
      </c>
      <c r="AG7" s="85">
        <v>13.75</v>
      </c>
      <c r="AH7" s="83">
        <v>13.5</v>
      </c>
      <c r="AI7" s="100">
        <v>13.75</v>
      </c>
      <c r="AJ7" s="85">
        <v>12.5</v>
      </c>
      <c r="AK7" s="85">
        <v>13.125</v>
      </c>
      <c r="AL7" s="85">
        <v>13.5</v>
      </c>
      <c r="AM7" s="85">
        <v>13.75</v>
      </c>
      <c r="AN7" s="85">
        <v>13.125</v>
      </c>
      <c r="AO7" s="85">
        <v>13.5</v>
      </c>
      <c r="AP7" s="85">
        <v>13.125</v>
      </c>
      <c r="AQ7" s="85">
        <v>13.5</v>
      </c>
      <c r="AR7" s="83">
        <v>13.5</v>
      </c>
      <c r="AS7" s="83">
        <v>15</v>
      </c>
      <c r="AT7" s="83">
        <v>13.75</v>
      </c>
      <c r="AU7" s="83">
        <v>13.5</v>
      </c>
      <c r="AV7" s="100">
        <v>13.75</v>
      </c>
      <c r="AW7" s="103">
        <v>13.75</v>
      </c>
      <c r="AX7" s="99" t="s">
        <v>38</v>
      </c>
      <c r="AY7" s="105"/>
      <c r="AZ7" s="107">
        <v>13.5</v>
      </c>
      <c r="BA7" s="83">
        <v>13.75</v>
      </c>
      <c r="BB7" s="83">
        <v>13.75</v>
      </c>
      <c r="BC7" s="108">
        <f>MAX(AZ7:BB7)</f>
        <v>13.75</v>
      </c>
    </row>
    <row r="8" spans="1:55" s="19" customFormat="1" ht="15.75" customHeight="1">
      <c r="A8" s="19">
        <f t="shared" si="0"/>
        <v>6</v>
      </c>
      <c r="B8" s="79"/>
      <c r="C8" s="96"/>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101"/>
      <c r="AJ8" s="84"/>
      <c r="AK8" s="84"/>
      <c r="AL8" s="84"/>
      <c r="AM8" s="84"/>
      <c r="AN8" s="84"/>
      <c r="AO8" s="84"/>
      <c r="AP8" s="84"/>
      <c r="AQ8" s="84"/>
      <c r="AR8" s="84"/>
      <c r="AS8" s="84"/>
      <c r="AT8" s="84"/>
      <c r="AU8" s="84"/>
      <c r="AV8" s="101"/>
      <c r="AW8" s="119"/>
      <c r="AX8" s="87"/>
      <c r="AY8" s="105"/>
      <c r="AZ8" s="109"/>
      <c r="BA8" s="84"/>
      <c r="BB8" s="84"/>
      <c r="BC8" s="110"/>
    </row>
    <row r="9" spans="1:55" s="19" customFormat="1" ht="15.75" customHeight="1">
      <c r="A9" s="19">
        <f t="shared" si="0"/>
        <v>7</v>
      </c>
      <c r="B9" s="80" t="s">
        <v>19</v>
      </c>
      <c r="C9" s="86">
        <v>15</v>
      </c>
      <c r="D9" s="85">
        <v>15</v>
      </c>
      <c r="E9" s="85">
        <v>15</v>
      </c>
      <c r="F9" s="85">
        <v>15</v>
      </c>
      <c r="G9" s="85">
        <v>15</v>
      </c>
      <c r="H9" s="85">
        <v>15</v>
      </c>
      <c r="I9" s="85">
        <v>15</v>
      </c>
      <c r="J9" s="85">
        <v>15</v>
      </c>
      <c r="K9" s="85">
        <v>15</v>
      </c>
      <c r="L9" s="85">
        <v>15</v>
      </c>
      <c r="M9" s="85">
        <v>15</v>
      </c>
      <c r="N9" s="85">
        <v>15</v>
      </c>
      <c r="O9" s="85">
        <v>15</v>
      </c>
      <c r="P9" s="85">
        <v>15</v>
      </c>
      <c r="Q9" s="85">
        <v>15</v>
      </c>
      <c r="R9" s="85">
        <v>15</v>
      </c>
      <c r="S9" s="85">
        <v>15</v>
      </c>
      <c r="T9" s="85">
        <v>15</v>
      </c>
      <c r="U9" s="85">
        <v>15</v>
      </c>
      <c r="V9" s="85">
        <v>15</v>
      </c>
      <c r="W9" s="85">
        <v>15</v>
      </c>
      <c r="X9" s="85">
        <v>15</v>
      </c>
      <c r="Y9" s="85">
        <v>15</v>
      </c>
      <c r="Z9" s="85">
        <v>15</v>
      </c>
      <c r="AA9" s="85">
        <v>15</v>
      </c>
      <c r="AB9" s="85">
        <v>15</v>
      </c>
      <c r="AC9" s="85">
        <v>15</v>
      </c>
      <c r="AD9" s="85">
        <v>15</v>
      </c>
      <c r="AE9" s="85">
        <v>15</v>
      </c>
      <c r="AF9" s="85">
        <v>15</v>
      </c>
      <c r="AG9" s="85">
        <v>15</v>
      </c>
      <c r="AH9" s="85">
        <v>15</v>
      </c>
      <c r="AI9" s="102">
        <v>15</v>
      </c>
      <c r="AJ9" s="85">
        <v>15</v>
      </c>
      <c r="AK9" s="85">
        <v>15</v>
      </c>
      <c r="AL9" s="85">
        <v>15</v>
      </c>
      <c r="AM9" s="85">
        <v>15</v>
      </c>
      <c r="AN9" s="85">
        <v>15</v>
      </c>
      <c r="AO9" s="85">
        <v>15</v>
      </c>
      <c r="AP9" s="85">
        <v>15</v>
      </c>
      <c r="AQ9" s="85">
        <v>15</v>
      </c>
      <c r="AR9" s="85">
        <v>15</v>
      </c>
      <c r="AS9" s="85">
        <v>15</v>
      </c>
      <c r="AT9" s="85">
        <v>15</v>
      </c>
      <c r="AU9" s="85">
        <v>15</v>
      </c>
      <c r="AV9" s="102">
        <v>15</v>
      </c>
      <c r="AW9" s="104">
        <v>15</v>
      </c>
      <c r="AX9" s="99" t="s">
        <v>38</v>
      </c>
      <c r="AY9" s="105"/>
      <c r="AZ9" s="111">
        <v>15</v>
      </c>
      <c r="BA9" s="85">
        <v>15</v>
      </c>
      <c r="BB9" s="85">
        <v>15</v>
      </c>
      <c r="BC9" s="108">
        <f>MAX(AZ9:BB9)</f>
        <v>15</v>
      </c>
    </row>
    <row r="10" spans="1:55" s="19" customFormat="1" ht="15.75" customHeight="1">
      <c r="A10" s="19">
        <f t="shared" si="0"/>
        <v>8</v>
      </c>
      <c r="B10" s="79"/>
      <c r="C10" s="96"/>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101"/>
      <c r="AJ10" s="84"/>
      <c r="AK10" s="84"/>
      <c r="AL10" s="84"/>
      <c r="AM10" s="84"/>
      <c r="AN10" s="84"/>
      <c r="AO10" s="84"/>
      <c r="AP10" s="84"/>
      <c r="AQ10" s="84"/>
      <c r="AR10" s="84"/>
      <c r="AS10" s="84"/>
      <c r="AT10" s="84"/>
      <c r="AU10" s="84"/>
      <c r="AV10" s="101"/>
      <c r="AW10" s="119"/>
      <c r="AX10" s="87"/>
      <c r="AY10" s="105"/>
      <c r="AZ10" s="109"/>
      <c r="BA10" s="84"/>
      <c r="BB10" s="84"/>
      <c r="BC10" s="110"/>
    </row>
    <row r="11" spans="1:55" s="19" customFormat="1" ht="15.75" customHeight="1">
      <c r="A11" s="19">
        <f t="shared" si="0"/>
        <v>9</v>
      </c>
      <c r="B11" s="80" t="s">
        <v>20</v>
      </c>
      <c r="C11" s="86">
        <v>37.5</v>
      </c>
      <c r="D11" s="85">
        <v>37.5</v>
      </c>
      <c r="E11" s="85">
        <v>36</v>
      </c>
      <c r="F11" s="85">
        <v>37.5</v>
      </c>
      <c r="G11" s="85">
        <v>37.5</v>
      </c>
      <c r="H11" s="85">
        <v>36</v>
      </c>
      <c r="I11" s="85">
        <v>35</v>
      </c>
      <c r="J11" s="85">
        <v>37.5</v>
      </c>
      <c r="K11" s="85">
        <v>37.5</v>
      </c>
      <c r="L11" s="85">
        <v>36</v>
      </c>
      <c r="M11" s="85">
        <v>37.5</v>
      </c>
      <c r="N11" s="85">
        <v>37.5</v>
      </c>
      <c r="O11" s="85">
        <v>36</v>
      </c>
      <c r="P11" s="85">
        <v>37.5</v>
      </c>
      <c r="Q11" s="85">
        <v>37.5</v>
      </c>
      <c r="R11" s="85">
        <v>36</v>
      </c>
      <c r="S11" s="85">
        <v>37.5</v>
      </c>
      <c r="T11" s="85">
        <v>37.5</v>
      </c>
      <c r="U11" s="85">
        <v>36</v>
      </c>
      <c r="V11" s="85">
        <v>35</v>
      </c>
      <c r="W11" s="85">
        <v>36</v>
      </c>
      <c r="X11" s="85">
        <v>35</v>
      </c>
      <c r="Y11" s="85">
        <v>37.5</v>
      </c>
      <c r="Z11" s="85">
        <v>37.5</v>
      </c>
      <c r="AA11" s="85">
        <v>36</v>
      </c>
      <c r="AB11" s="85">
        <v>35</v>
      </c>
      <c r="AC11" s="85">
        <v>37.5</v>
      </c>
      <c r="AD11" s="85">
        <v>36</v>
      </c>
      <c r="AE11" s="85">
        <v>37.5</v>
      </c>
      <c r="AF11" s="85">
        <v>36</v>
      </c>
      <c r="AG11" s="85">
        <v>35</v>
      </c>
      <c r="AH11" s="85">
        <v>36</v>
      </c>
      <c r="AI11" s="102">
        <v>35</v>
      </c>
      <c r="AJ11" s="85">
        <v>37.5</v>
      </c>
      <c r="AK11" s="85">
        <v>37.5</v>
      </c>
      <c r="AL11" s="85">
        <v>36</v>
      </c>
      <c r="AM11" s="85">
        <v>35</v>
      </c>
      <c r="AN11" s="85">
        <v>37.5</v>
      </c>
      <c r="AO11" s="85">
        <v>36</v>
      </c>
      <c r="AP11" s="85">
        <v>37.5</v>
      </c>
      <c r="AQ11" s="85">
        <v>36</v>
      </c>
      <c r="AR11" s="85">
        <v>36</v>
      </c>
      <c r="AS11" s="85">
        <v>36</v>
      </c>
      <c r="AT11" s="85">
        <v>35</v>
      </c>
      <c r="AU11" s="85">
        <v>36</v>
      </c>
      <c r="AV11" s="102">
        <v>35</v>
      </c>
      <c r="AW11" s="104">
        <v>35</v>
      </c>
      <c r="AX11" s="99" t="s">
        <v>38</v>
      </c>
      <c r="AY11" s="105"/>
      <c r="AZ11" s="111">
        <v>36</v>
      </c>
      <c r="BA11" s="85">
        <v>35</v>
      </c>
      <c r="BB11" s="85">
        <v>35</v>
      </c>
      <c r="BC11" s="108">
        <f>MAX(AZ11:BB11)</f>
        <v>36</v>
      </c>
    </row>
    <row r="12" spans="1:55" s="19" customFormat="1" ht="15.75" customHeight="1">
      <c r="A12" s="19">
        <f t="shared" si="0"/>
        <v>10</v>
      </c>
      <c r="B12" s="79"/>
      <c r="C12" s="96"/>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101"/>
      <c r="AJ12" s="84"/>
      <c r="AK12" s="84"/>
      <c r="AL12" s="84"/>
      <c r="AM12" s="84"/>
      <c r="AN12" s="84"/>
      <c r="AO12" s="84"/>
      <c r="AP12" s="84"/>
      <c r="AQ12" s="84"/>
      <c r="AR12" s="84"/>
      <c r="AS12" s="84"/>
      <c r="AT12" s="84"/>
      <c r="AU12" s="84"/>
      <c r="AV12" s="101"/>
      <c r="AW12" s="119"/>
      <c r="AX12" s="87"/>
      <c r="AY12" s="105"/>
      <c r="AZ12" s="109"/>
      <c r="BA12" s="84"/>
      <c r="BB12" s="84"/>
      <c r="BC12" s="110"/>
    </row>
    <row r="13" spans="1:55" s="19" customFormat="1" ht="15.75" customHeight="1">
      <c r="A13" s="19">
        <f t="shared" si="0"/>
        <v>11</v>
      </c>
      <c r="B13" s="80" t="s">
        <v>21</v>
      </c>
      <c r="C13" s="86">
        <v>52.5</v>
      </c>
      <c r="D13" s="85">
        <v>50.625</v>
      </c>
      <c r="E13" s="85">
        <v>49.5</v>
      </c>
      <c r="F13" s="85">
        <v>52.5</v>
      </c>
      <c r="G13" s="85">
        <v>50.625</v>
      </c>
      <c r="H13" s="85">
        <v>49.5</v>
      </c>
      <c r="I13" s="85">
        <v>48.75</v>
      </c>
      <c r="J13" s="85">
        <v>52.5</v>
      </c>
      <c r="K13" s="85">
        <v>50.625</v>
      </c>
      <c r="L13" s="85">
        <v>49.5</v>
      </c>
      <c r="M13" s="85">
        <v>52.5</v>
      </c>
      <c r="N13" s="85">
        <v>50.625</v>
      </c>
      <c r="O13" s="85">
        <v>49.5</v>
      </c>
      <c r="P13" s="85">
        <v>52.5</v>
      </c>
      <c r="Q13" s="85">
        <v>50.625</v>
      </c>
      <c r="R13" s="85">
        <v>49.5</v>
      </c>
      <c r="S13" s="85">
        <v>52.5</v>
      </c>
      <c r="T13" s="85">
        <v>50.625</v>
      </c>
      <c r="U13" s="85">
        <v>49.5</v>
      </c>
      <c r="V13" s="85">
        <v>48.75</v>
      </c>
      <c r="W13" s="85">
        <v>49.5</v>
      </c>
      <c r="X13" s="85">
        <v>48.75</v>
      </c>
      <c r="Y13" s="85">
        <v>50</v>
      </c>
      <c r="Z13" s="85">
        <v>50.625</v>
      </c>
      <c r="AA13" s="85">
        <v>49.5</v>
      </c>
      <c r="AB13" s="85">
        <v>48.75</v>
      </c>
      <c r="AC13" s="85">
        <v>50.625</v>
      </c>
      <c r="AD13" s="85">
        <v>49.5</v>
      </c>
      <c r="AE13" s="85">
        <v>50.625</v>
      </c>
      <c r="AF13" s="85">
        <v>49.5</v>
      </c>
      <c r="AG13" s="85">
        <v>48.75</v>
      </c>
      <c r="AH13" s="85">
        <v>49.5</v>
      </c>
      <c r="AI13" s="102">
        <v>48.75</v>
      </c>
      <c r="AJ13" s="85">
        <v>50</v>
      </c>
      <c r="AK13" s="85">
        <v>50.625</v>
      </c>
      <c r="AL13" s="85">
        <v>49.5</v>
      </c>
      <c r="AM13" s="85">
        <v>48.75</v>
      </c>
      <c r="AN13" s="85">
        <v>50.625</v>
      </c>
      <c r="AO13" s="85">
        <v>49.5</v>
      </c>
      <c r="AP13" s="85">
        <v>50.625</v>
      </c>
      <c r="AQ13" s="85">
        <v>49.5</v>
      </c>
      <c r="AR13" s="85">
        <v>49.5</v>
      </c>
      <c r="AS13" s="85">
        <v>51</v>
      </c>
      <c r="AT13" s="85">
        <v>48.75</v>
      </c>
      <c r="AU13" s="85">
        <v>51</v>
      </c>
      <c r="AV13" s="102">
        <v>48.75</v>
      </c>
      <c r="AW13" s="104">
        <v>48.75</v>
      </c>
      <c r="AX13" s="99" t="s">
        <v>38</v>
      </c>
      <c r="AY13" s="105"/>
      <c r="AZ13" s="111">
        <v>49.5</v>
      </c>
      <c r="BA13" s="85">
        <v>48.75</v>
      </c>
      <c r="BB13" s="85">
        <v>48.75</v>
      </c>
      <c r="BC13" s="108">
        <f>MAX(AZ13:BB13)</f>
        <v>49.5</v>
      </c>
    </row>
    <row r="14" spans="1:55" s="19" customFormat="1" ht="15.75" customHeight="1">
      <c r="A14" s="19">
        <f t="shared" si="0"/>
        <v>12</v>
      </c>
      <c r="B14" s="79"/>
      <c r="C14" s="96"/>
      <c r="D14" s="84"/>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101"/>
      <c r="AJ14" s="84"/>
      <c r="AK14" s="84"/>
      <c r="AL14" s="84"/>
      <c r="AM14" s="84"/>
      <c r="AN14" s="84"/>
      <c r="AO14" s="84"/>
      <c r="AP14" s="84"/>
      <c r="AQ14" s="84"/>
      <c r="AR14" s="84"/>
      <c r="AS14" s="84"/>
      <c r="AT14" s="84"/>
      <c r="AU14" s="84"/>
      <c r="AV14" s="101"/>
      <c r="AW14" s="119"/>
      <c r="AX14" s="87"/>
      <c r="AY14" s="105"/>
      <c r="AZ14" s="109"/>
      <c r="BA14" s="84"/>
      <c r="BB14" s="84"/>
      <c r="BC14" s="110"/>
    </row>
    <row r="15" spans="1:55" s="19" customFormat="1">
      <c r="A15" s="19">
        <f t="shared" si="0"/>
        <v>13</v>
      </c>
      <c r="B15" s="80" t="s">
        <v>125</v>
      </c>
      <c r="C15" s="86">
        <v>40</v>
      </c>
      <c r="D15" s="85">
        <v>37.5</v>
      </c>
      <c r="E15" s="85">
        <v>30</v>
      </c>
      <c r="F15" s="85">
        <v>40</v>
      </c>
      <c r="G15" s="85">
        <v>37.5</v>
      </c>
      <c r="H15" s="85">
        <v>30</v>
      </c>
      <c r="I15" s="85">
        <v>30</v>
      </c>
      <c r="J15" s="85">
        <v>40</v>
      </c>
      <c r="K15" s="85">
        <v>37.5</v>
      </c>
      <c r="L15" s="85">
        <v>30</v>
      </c>
      <c r="M15" s="85">
        <v>50</v>
      </c>
      <c r="N15" s="85">
        <v>50</v>
      </c>
      <c r="O15" s="85">
        <v>45</v>
      </c>
      <c r="P15" s="85">
        <v>50</v>
      </c>
      <c r="Q15" s="85">
        <v>50</v>
      </c>
      <c r="R15" s="85">
        <v>45</v>
      </c>
      <c r="S15" s="85">
        <v>50</v>
      </c>
      <c r="T15" s="85">
        <v>50</v>
      </c>
      <c r="U15" s="85">
        <v>45</v>
      </c>
      <c r="V15" s="85">
        <v>40</v>
      </c>
      <c r="W15" s="85">
        <v>45</v>
      </c>
      <c r="X15" s="85">
        <v>40</v>
      </c>
      <c r="Y15" s="85">
        <v>40</v>
      </c>
      <c r="Z15" s="85">
        <v>37.5</v>
      </c>
      <c r="AA15" s="85">
        <v>30</v>
      </c>
      <c r="AB15" s="85">
        <v>30</v>
      </c>
      <c r="AC15" s="85">
        <v>37.5</v>
      </c>
      <c r="AD15" s="85">
        <v>30</v>
      </c>
      <c r="AE15" s="85">
        <v>37.5</v>
      </c>
      <c r="AF15" s="85">
        <v>30</v>
      </c>
      <c r="AG15" s="85">
        <v>30</v>
      </c>
      <c r="AH15" s="85">
        <v>30</v>
      </c>
      <c r="AI15" s="85">
        <v>30</v>
      </c>
      <c r="AJ15" s="85">
        <v>50</v>
      </c>
      <c r="AK15" s="85">
        <v>50</v>
      </c>
      <c r="AL15" s="85">
        <v>45</v>
      </c>
      <c r="AM15" s="85">
        <v>40</v>
      </c>
      <c r="AN15" s="85">
        <v>50</v>
      </c>
      <c r="AO15" s="85">
        <v>45</v>
      </c>
      <c r="AP15" s="85">
        <v>50</v>
      </c>
      <c r="AQ15" s="85">
        <v>45</v>
      </c>
      <c r="AR15" s="85">
        <v>45</v>
      </c>
      <c r="AS15" s="85">
        <v>40</v>
      </c>
      <c r="AT15" s="85">
        <v>40</v>
      </c>
      <c r="AU15" s="85">
        <v>40</v>
      </c>
      <c r="AV15" s="102">
        <v>40</v>
      </c>
      <c r="AW15" s="104">
        <v>30</v>
      </c>
      <c r="AX15" s="99" t="s">
        <v>38</v>
      </c>
      <c r="AY15" s="105"/>
      <c r="AZ15" s="111">
        <v>30</v>
      </c>
      <c r="BA15" s="85">
        <v>30</v>
      </c>
      <c r="BB15" s="85">
        <v>30</v>
      </c>
      <c r="BC15" s="108">
        <f>MAX(AZ15:BB15)</f>
        <v>30</v>
      </c>
    </row>
    <row r="16" spans="1:55" s="19" customFormat="1">
      <c r="A16" s="19">
        <f t="shared" si="0"/>
        <v>14</v>
      </c>
      <c r="B16" s="79"/>
      <c r="C16" s="96"/>
      <c r="D16" s="84"/>
      <c r="E16" s="84"/>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101"/>
      <c r="AJ16" s="84"/>
      <c r="AK16" s="84"/>
      <c r="AL16" s="84"/>
      <c r="AM16" s="84"/>
      <c r="AN16" s="84"/>
      <c r="AO16" s="84"/>
      <c r="AP16" s="84"/>
      <c r="AQ16" s="84"/>
      <c r="AR16" s="84"/>
      <c r="AS16" s="84"/>
      <c r="AT16" s="84"/>
      <c r="AU16" s="84"/>
      <c r="AV16" s="101"/>
      <c r="AW16" s="119"/>
      <c r="AX16" s="87"/>
      <c r="AY16" s="105"/>
      <c r="AZ16" s="109"/>
      <c r="BA16" s="84"/>
      <c r="BB16" s="84"/>
      <c r="BC16" s="110"/>
    </row>
    <row r="17" spans="1:55" s="19" customFormat="1">
      <c r="A17" s="19">
        <f t="shared" si="0"/>
        <v>15</v>
      </c>
      <c r="B17" s="80" t="s">
        <v>23</v>
      </c>
      <c r="C17" s="86">
        <f t="shared" ref="C17:AW23" si="1">MAX(4*CLOCK_PERIOD,7.5)</f>
        <v>7.5</v>
      </c>
      <c r="D17" s="85">
        <f t="shared" si="1"/>
        <v>7.5</v>
      </c>
      <c r="E17" s="85">
        <f t="shared" si="1"/>
        <v>7.5</v>
      </c>
      <c r="F17" s="85">
        <f t="shared" si="1"/>
        <v>7.5</v>
      </c>
      <c r="G17" s="85">
        <f t="shared" si="1"/>
        <v>7.5</v>
      </c>
      <c r="H17" s="85">
        <f t="shared" si="1"/>
        <v>7.5</v>
      </c>
      <c r="I17" s="85">
        <f t="shared" si="1"/>
        <v>7.5</v>
      </c>
      <c r="J17" s="85">
        <f t="shared" si="1"/>
        <v>7.5</v>
      </c>
      <c r="K17" s="85">
        <f t="shared" si="1"/>
        <v>7.5</v>
      </c>
      <c r="L17" s="85">
        <f t="shared" si="1"/>
        <v>7.5</v>
      </c>
      <c r="M17" s="85">
        <f t="shared" si="1"/>
        <v>7.5</v>
      </c>
      <c r="N17" s="85">
        <f t="shared" si="1"/>
        <v>7.5</v>
      </c>
      <c r="O17" s="85">
        <f t="shared" si="1"/>
        <v>7.5</v>
      </c>
      <c r="P17" s="85">
        <f t="shared" si="1"/>
        <v>7.5</v>
      </c>
      <c r="Q17" s="85">
        <f t="shared" si="1"/>
        <v>7.5</v>
      </c>
      <c r="R17" s="85">
        <f t="shared" si="1"/>
        <v>7.5</v>
      </c>
      <c r="S17" s="85">
        <f t="shared" si="1"/>
        <v>7.5</v>
      </c>
      <c r="T17" s="85">
        <f t="shared" si="1"/>
        <v>7.5</v>
      </c>
      <c r="U17" s="85">
        <f t="shared" si="1"/>
        <v>7.5</v>
      </c>
      <c r="V17" s="85">
        <f>MAX(4*CLOCK_PERIOD,7.5)</f>
        <v>7.5</v>
      </c>
      <c r="W17" s="85">
        <f>MAX(4*CLOCK_PERIOD,7.5)</f>
        <v>7.5</v>
      </c>
      <c r="X17" s="85">
        <f>MAX(4*CLOCK_PERIOD,7.5)</f>
        <v>7.5</v>
      </c>
      <c r="Y17" s="85">
        <f t="shared" si="1"/>
        <v>7.5</v>
      </c>
      <c r="Z17" s="85">
        <f t="shared" si="1"/>
        <v>7.5</v>
      </c>
      <c r="AA17" s="85">
        <f t="shared" si="1"/>
        <v>7.5</v>
      </c>
      <c r="AB17" s="85">
        <f t="shared" si="1"/>
        <v>7.5</v>
      </c>
      <c r="AC17" s="85">
        <f t="shared" si="1"/>
        <v>7.5</v>
      </c>
      <c r="AD17" s="85">
        <f t="shared" si="1"/>
        <v>7.5</v>
      </c>
      <c r="AE17" s="85">
        <f t="shared" si="1"/>
        <v>7.5</v>
      </c>
      <c r="AF17" s="85">
        <f t="shared" si="1"/>
        <v>7.5</v>
      </c>
      <c r="AG17" s="85">
        <f t="shared" si="1"/>
        <v>7.5</v>
      </c>
      <c r="AH17" s="85">
        <f t="shared" si="1"/>
        <v>7.5</v>
      </c>
      <c r="AI17" s="102">
        <f t="shared" si="1"/>
        <v>7.5</v>
      </c>
      <c r="AJ17" s="85">
        <f t="shared" si="1"/>
        <v>7.5</v>
      </c>
      <c r="AK17" s="85">
        <f t="shared" si="1"/>
        <v>7.5</v>
      </c>
      <c r="AL17" s="85">
        <f t="shared" si="1"/>
        <v>7.5</v>
      </c>
      <c r="AM17" s="85">
        <f t="shared" si="1"/>
        <v>7.5</v>
      </c>
      <c r="AN17" s="85">
        <f t="shared" si="1"/>
        <v>7.5</v>
      </c>
      <c r="AO17" s="85">
        <f t="shared" si="1"/>
        <v>7.5</v>
      </c>
      <c r="AP17" s="85">
        <f t="shared" si="1"/>
        <v>7.5</v>
      </c>
      <c r="AQ17" s="85">
        <f t="shared" si="1"/>
        <v>7.5</v>
      </c>
      <c r="AR17" s="85">
        <f t="shared" si="1"/>
        <v>7.5</v>
      </c>
      <c r="AS17" s="85">
        <f t="shared" si="1"/>
        <v>7.5</v>
      </c>
      <c r="AT17" s="85">
        <f t="shared" si="1"/>
        <v>7.5</v>
      </c>
      <c r="AU17" s="85">
        <f t="shared" si="1"/>
        <v>7.5</v>
      </c>
      <c r="AV17" s="102">
        <f t="shared" si="1"/>
        <v>7.5</v>
      </c>
      <c r="AW17" s="104">
        <f t="shared" si="1"/>
        <v>7.5</v>
      </c>
      <c r="AX17" s="99" t="s">
        <v>38</v>
      </c>
      <c r="AY17" s="105"/>
      <c r="AZ17" s="111">
        <f t="shared" ref="AZ17:BA23" si="2">MAX(4*CLOCK_PERIOD,7.5)</f>
        <v>7.5</v>
      </c>
      <c r="BA17" s="85">
        <f t="shared" si="2"/>
        <v>7.5</v>
      </c>
      <c r="BB17" s="85">
        <f>MAX(4*CLOCK_PERIOD,7.5)</f>
        <v>7.5</v>
      </c>
      <c r="BC17" s="108">
        <f>MAX(AZ17:BB17)</f>
        <v>7.5</v>
      </c>
    </row>
    <row r="18" spans="1:55" s="19" customFormat="1" ht="28.5">
      <c r="A18" s="19">
        <f t="shared" si="0"/>
        <v>16</v>
      </c>
      <c r="B18" s="79"/>
      <c r="C18" s="96" t="s">
        <v>119</v>
      </c>
      <c r="D18" s="84" t="s">
        <v>119</v>
      </c>
      <c r="E18" s="84" t="s">
        <v>119</v>
      </c>
      <c r="F18" s="84" t="s">
        <v>119</v>
      </c>
      <c r="G18" s="84" t="s">
        <v>119</v>
      </c>
      <c r="H18" s="84" t="s">
        <v>119</v>
      </c>
      <c r="I18" s="84" t="s">
        <v>119</v>
      </c>
      <c r="J18" s="84" t="s">
        <v>119</v>
      </c>
      <c r="K18" s="84" t="s">
        <v>119</v>
      </c>
      <c r="L18" s="84" t="s">
        <v>119</v>
      </c>
      <c r="M18" s="84" t="s">
        <v>119</v>
      </c>
      <c r="N18" s="84" t="s">
        <v>119</v>
      </c>
      <c r="O18" s="84" t="s">
        <v>119</v>
      </c>
      <c r="P18" s="84" t="s">
        <v>119</v>
      </c>
      <c r="Q18" s="84" t="s">
        <v>119</v>
      </c>
      <c r="R18" s="84" t="s">
        <v>119</v>
      </c>
      <c r="S18" s="84" t="s">
        <v>119</v>
      </c>
      <c r="T18" s="84" t="s">
        <v>119</v>
      </c>
      <c r="U18" s="84" t="s">
        <v>119</v>
      </c>
      <c r="V18" s="84" t="s">
        <v>119</v>
      </c>
      <c r="W18" s="84" t="s">
        <v>119</v>
      </c>
      <c r="X18" s="84" t="s">
        <v>119</v>
      </c>
      <c r="Y18" s="84" t="s">
        <v>119</v>
      </c>
      <c r="Z18" s="84" t="s">
        <v>119</v>
      </c>
      <c r="AA18" s="84" t="s">
        <v>119</v>
      </c>
      <c r="AB18" s="84" t="s">
        <v>119</v>
      </c>
      <c r="AC18" s="84" t="s">
        <v>119</v>
      </c>
      <c r="AD18" s="84" t="s">
        <v>119</v>
      </c>
      <c r="AE18" s="84" t="s">
        <v>119</v>
      </c>
      <c r="AF18" s="84" t="s">
        <v>119</v>
      </c>
      <c r="AG18" s="84" t="s">
        <v>119</v>
      </c>
      <c r="AH18" s="84" t="s">
        <v>119</v>
      </c>
      <c r="AI18" s="101" t="s">
        <v>119</v>
      </c>
      <c r="AJ18" s="84" t="s">
        <v>119</v>
      </c>
      <c r="AK18" s="84" t="s">
        <v>119</v>
      </c>
      <c r="AL18" s="84" t="s">
        <v>119</v>
      </c>
      <c r="AM18" s="84" t="s">
        <v>119</v>
      </c>
      <c r="AN18" s="84" t="s">
        <v>119</v>
      </c>
      <c r="AO18" s="84" t="s">
        <v>119</v>
      </c>
      <c r="AP18" s="84" t="s">
        <v>119</v>
      </c>
      <c r="AQ18" s="84" t="s">
        <v>119</v>
      </c>
      <c r="AR18" s="84" t="s">
        <v>119</v>
      </c>
      <c r="AS18" s="84" t="s">
        <v>119</v>
      </c>
      <c r="AT18" s="84" t="s">
        <v>119</v>
      </c>
      <c r="AU18" s="84" t="s">
        <v>119</v>
      </c>
      <c r="AV18" s="101" t="s">
        <v>119</v>
      </c>
      <c r="AW18" s="119" t="s">
        <v>119</v>
      </c>
      <c r="AX18" s="87"/>
      <c r="AY18" s="105"/>
      <c r="AZ18" s="109" t="s">
        <v>119</v>
      </c>
      <c r="BA18" s="84" t="s">
        <v>119</v>
      </c>
      <c r="BB18" s="84" t="s">
        <v>119</v>
      </c>
      <c r="BC18" s="110"/>
    </row>
    <row r="19" spans="1:55" s="19" customFormat="1">
      <c r="A19" s="19">
        <f t="shared" si="0"/>
        <v>17</v>
      </c>
      <c r="B19" s="80" t="s">
        <v>28</v>
      </c>
      <c r="C19" s="86">
        <f t="shared" ref="C19:AW19" si="3">MAX(4*CLOCK_PERIOD,7.5)</f>
        <v>7.5</v>
      </c>
      <c r="D19" s="85">
        <f t="shared" si="3"/>
        <v>7.5</v>
      </c>
      <c r="E19" s="85">
        <f t="shared" si="3"/>
        <v>7.5</v>
      </c>
      <c r="F19" s="85">
        <f t="shared" si="3"/>
        <v>7.5</v>
      </c>
      <c r="G19" s="85">
        <f t="shared" si="3"/>
        <v>7.5</v>
      </c>
      <c r="H19" s="85">
        <f t="shared" si="3"/>
        <v>7.5</v>
      </c>
      <c r="I19" s="85">
        <f t="shared" si="3"/>
        <v>7.5</v>
      </c>
      <c r="J19" s="85">
        <f t="shared" si="3"/>
        <v>7.5</v>
      </c>
      <c r="K19" s="85">
        <f t="shared" si="3"/>
        <v>7.5</v>
      </c>
      <c r="L19" s="85">
        <f t="shared" si="3"/>
        <v>7.5</v>
      </c>
      <c r="M19" s="85">
        <f t="shared" si="3"/>
        <v>7.5</v>
      </c>
      <c r="N19" s="85">
        <f t="shared" si="3"/>
        <v>7.5</v>
      </c>
      <c r="O19" s="85">
        <f t="shared" si="3"/>
        <v>7.5</v>
      </c>
      <c r="P19" s="85">
        <f t="shared" si="3"/>
        <v>7.5</v>
      </c>
      <c r="Q19" s="85">
        <f t="shared" si="3"/>
        <v>7.5</v>
      </c>
      <c r="R19" s="85">
        <f t="shared" si="3"/>
        <v>7.5</v>
      </c>
      <c r="S19" s="85">
        <f t="shared" si="3"/>
        <v>7.5</v>
      </c>
      <c r="T19" s="85">
        <f t="shared" si="3"/>
        <v>7.5</v>
      </c>
      <c r="U19" s="85">
        <f t="shared" si="3"/>
        <v>7.5</v>
      </c>
      <c r="V19" s="85">
        <f t="shared" si="3"/>
        <v>7.5</v>
      </c>
      <c r="W19" s="85">
        <f t="shared" si="3"/>
        <v>7.5</v>
      </c>
      <c r="X19" s="85">
        <f t="shared" si="3"/>
        <v>7.5</v>
      </c>
      <c r="Y19" s="85">
        <f t="shared" si="3"/>
        <v>7.5</v>
      </c>
      <c r="Z19" s="85">
        <f t="shared" si="3"/>
        <v>7.5</v>
      </c>
      <c r="AA19" s="85">
        <f t="shared" si="3"/>
        <v>7.5</v>
      </c>
      <c r="AB19" s="85">
        <f t="shared" si="3"/>
        <v>7.5</v>
      </c>
      <c r="AC19" s="85">
        <f t="shared" si="3"/>
        <v>7.5</v>
      </c>
      <c r="AD19" s="85">
        <f t="shared" si="3"/>
        <v>7.5</v>
      </c>
      <c r="AE19" s="85">
        <f t="shared" si="3"/>
        <v>7.5</v>
      </c>
      <c r="AF19" s="85">
        <f t="shared" si="3"/>
        <v>7.5</v>
      </c>
      <c r="AG19" s="85">
        <f t="shared" si="3"/>
        <v>7.5</v>
      </c>
      <c r="AH19" s="85">
        <f t="shared" si="3"/>
        <v>7.5</v>
      </c>
      <c r="AI19" s="102">
        <f t="shared" si="3"/>
        <v>7.5</v>
      </c>
      <c r="AJ19" s="85">
        <f t="shared" si="3"/>
        <v>7.5</v>
      </c>
      <c r="AK19" s="85">
        <f t="shared" si="3"/>
        <v>7.5</v>
      </c>
      <c r="AL19" s="85">
        <f t="shared" si="3"/>
        <v>7.5</v>
      </c>
      <c r="AM19" s="85">
        <f t="shared" si="3"/>
        <v>7.5</v>
      </c>
      <c r="AN19" s="85">
        <f t="shared" si="3"/>
        <v>7.5</v>
      </c>
      <c r="AO19" s="85">
        <f t="shared" si="3"/>
        <v>7.5</v>
      </c>
      <c r="AP19" s="85">
        <f t="shared" si="3"/>
        <v>7.5</v>
      </c>
      <c r="AQ19" s="85">
        <f t="shared" si="3"/>
        <v>7.5</v>
      </c>
      <c r="AR19" s="85">
        <f t="shared" si="3"/>
        <v>7.5</v>
      </c>
      <c r="AS19" s="85">
        <f t="shared" si="3"/>
        <v>7.5</v>
      </c>
      <c r="AT19" s="85">
        <f t="shared" si="3"/>
        <v>7.5</v>
      </c>
      <c r="AU19" s="85">
        <f t="shared" si="3"/>
        <v>7.5</v>
      </c>
      <c r="AV19" s="102">
        <f t="shared" si="3"/>
        <v>7.5</v>
      </c>
      <c r="AW19" s="104">
        <f t="shared" si="3"/>
        <v>7.5</v>
      </c>
      <c r="AX19" s="99" t="s">
        <v>38</v>
      </c>
      <c r="AY19" s="105"/>
      <c r="AZ19" s="111">
        <f t="shared" ref="AZ19:BA19" si="4">MAX(4*CLOCK_PERIOD,7.5)</f>
        <v>7.5</v>
      </c>
      <c r="BA19" s="85">
        <f t="shared" si="4"/>
        <v>7.5</v>
      </c>
      <c r="BB19" s="85">
        <f>MAX(4*CLOCK_PERIOD,7.5)</f>
        <v>7.5</v>
      </c>
      <c r="BC19" s="108">
        <f>MAX(AZ19:BB19)</f>
        <v>7.5</v>
      </c>
    </row>
    <row r="20" spans="1:55" s="19" customFormat="1" ht="28.5">
      <c r="A20" s="19">
        <f t="shared" si="0"/>
        <v>18</v>
      </c>
      <c r="B20" s="79"/>
      <c r="C20" s="96" t="s">
        <v>119</v>
      </c>
      <c r="D20" s="84" t="s">
        <v>119</v>
      </c>
      <c r="E20" s="84" t="s">
        <v>119</v>
      </c>
      <c r="F20" s="84" t="s">
        <v>119</v>
      </c>
      <c r="G20" s="84" t="s">
        <v>119</v>
      </c>
      <c r="H20" s="84" t="s">
        <v>119</v>
      </c>
      <c r="I20" s="84" t="s">
        <v>119</v>
      </c>
      <c r="J20" s="84" t="s">
        <v>119</v>
      </c>
      <c r="K20" s="84" t="s">
        <v>119</v>
      </c>
      <c r="L20" s="84" t="s">
        <v>119</v>
      </c>
      <c r="M20" s="84" t="s">
        <v>119</v>
      </c>
      <c r="N20" s="84" t="s">
        <v>119</v>
      </c>
      <c r="O20" s="84" t="s">
        <v>119</v>
      </c>
      <c r="P20" s="84" t="s">
        <v>119</v>
      </c>
      <c r="Q20" s="84" t="s">
        <v>119</v>
      </c>
      <c r="R20" s="84" t="s">
        <v>119</v>
      </c>
      <c r="S20" s="84" t="s">
        <v>119</v>
      </c>
      <c r="T20" s="84" t="s">
        <v>119</v>
      </c>
      <c r="U20" s="84" t="s">
        <v>119</v>
      </c>
      <c r="V20" s="84" t="s">
        <v>119</v>
      </c>
      <c r="W20" s="84" t="s">
        <v>119</v>
      </c>
      <c r="X20" s="84" t="s">
        <v>119</v>
      </c>
      <c r="Y20" s="84" t="s">
        <v>119</v>
      </c>
      <c r="Z20" s="84" t="s">
        <v>119</v>
      </c>
      <c r="AA20" s="84" t="s">
        <v>119</v>
      </c>
      <c r="AB20" s="84" t="s">
        <v>119</v>
      </c>
      <c r="AC20" s="84" t="s">
        <v>119</v>
      </c>
      <c r="AD20" s="84" t="s">
        <v>119</v>
      </c>
      <c r="AE20" s="84" t="s">
        <v>119</v>
      </c>
      <c r="AF20" s="84" t="s">
        <v>119</v>
      </c>
      <c r="AG20" s="84" t="s">
        <v>119</v>
      </c>
      <c r="AH20" s="84" t="s">
        <v>119</v>
      </c>
      <c r="AI20" s="101" t="s">
        <v>119</v>
      </c>
      <c r="AJ20" s="84" t="s">
        <v>119</v>
      </c>
      <c r="AK20" s="84" t="s">
        <v>119</v>
      </c>
      <c r="AL20" s="84" t="s">
        <v>119</v>
      </c>
      <c r="AM20" s="84" t="s">
        <v>119</v>
      </c>
      <c r="AN20" s="84" t="s">
        <v>119</v>
      </c>
      <c r="AO20" s="84" t="s">
        <v>119</v>
      </c>
      <c r="AP20" s="84" t="s">
        <v>119</v>
      </c>
      <c r="AQ20" s="84" t="s">
        <v>119</v>
      </c>
      <c r="AR20" s="84" t="s">
        <v>119</v>
      </c>
      <c r="AS20" s="84" t="s">
        <v>119</v>
      </c>
      <c r="AT20" s="84" t="s">
        <v>119</v>
      </c>
      <c r="AU20" s="84" t="s">
        <v>119</v>
      </c>
      <c r="AV20" s="101" t="s">
        <v>119</v>
      </c>
      <c r="AW20" s="119" t="s">
        <v>119</v>
      </c>
      <c r="AX20" s="87"/>
      <c r="AY20" s="105"/>
      <c r="AZ20" s="109" t="s">
        <v>119</v>
      </c>
      <c r="BA20" s="84" t="s">
        <v>119</v>
      </c>
      <c r="BB20" s="84" t="s">
        <v>119</v>
      </c>
      <c r="BC20" s="110"/>
    </row>
    <row r="21" spans="1:55" s="19" customFormat="1">
      <c r="A21" s="19">
        <f t="shared" si="0"/>
        <v>19</v>
      </c>
      <c r="B21" s="80" t="s">
        <v>34</v>
      </c>
      <c r="C21" s="86">
        <v>110</v>
      </c>
      <c r="D21" s="85">
        <v>110</v>
      </c>
      <c r="E21" s="85">
        <v>110</v>
      </c>
      <c r="F21" s="85">
        <v>160</v>
      </c>
      <c r="G21" s="85">
        <v>160</v>
      </c>
      <c r="H21" s="117">
        <v>160</v>
      </c>
      <c r="I21" s="117">
        <v>160</v>
      </c>
      <c r="J21" s="117">
        <v>260</v>
      </c>
      <c r="K21" s="117">
        <v>260</v>
      </c>
      <c r="L21" s="117">
        <v>260</v>
      </c>
      <c r="M21" s="117">
        <v>110</v>
      </c>
      <c r="N21" s="117">
        <v>110</v>
      </c>
      <c r="O21" s="117">
        <v>110</v>
      </c>
      <c r="P21" s="117">
        <v>160</v>
      </c>
      <c r="Q21" s="117">
        <v>160</v>
      </c>
      <c r="R21" s="117">
        <v>160</v>
      </c>
      <c r="S21" s="117">
        <v>260</v>
      </c>
      <c r="T21" s="117">
        <v>260</v>
      </c>
      <c r="U21" s="117">
        <v>260</v>
      </c>
      <c r="V21" s="117">
        <v>260</v>
      </c>
      <c r="W21" s="117">
        <v>260</v>
      </c>
      <c r="X21" s="117">
        <v>260</v>
      </c>
      <c r="Y21" s="117">
        <v>110</v>
      </c>
      <c r="Z21" s="117">
        <v>110</v>
      </c>
      <c r="AA21" s="117">
        <v>110</v>
      </c>
      <c r="AB21" s="117">
        <v>110</v>
      </c>
      <c r="AC21" s="117">
        <v>160</v>
      </c>
      <c r="AD21" s="117">
        <v>160</v>
      </c>
      <c r="AE21" s="117">
        <v>260</v>
      </c>
      <c r="AF21" s="117">
        <v>260</v>
      </c>
      <c r="AG21" s="117">
        <v>260</v>
      </c>
      <c r="AH21" s="117">
        <v>260</v>
      </c>
      <c r="AI21" s="118">
        <v>260</v>
      </c>
      <c r="AJ21" s="117">
        <v>110</v>
      </c>
      <c r="AK21" s="117">
        <v>110</v>
      </c>
      <c r="AL21" s="117">
        <v>110</v>
      </c>
      <c r="AM21" s="117">
        <v>110</v>
      </c>
      <c r="AN21" s="117">
        <v>160</v>
      </c>
      <c r="AO21" s="117">
        <v>160</v>
      </c>
      <c r="AP21" s="117">
        <v>260</v>
      </c>
      <c r="AQ21" s="117">
        <v>260</v>
      </c>
      <c r="AR21" s="117">
        <v>260</v>
      </c>
      <c r="AS21" s="117">
        <v>260</v>
      </c>
      <c r="AT21" s="117">
        <v>260</v>
      </c>
      <c r="AU21" s="117">
        <v>260</v>
      </c>
      <c r="AV21" s="118">
        <v>260</v>
      </c>
      <c r="AW21" s="104">
        <v>160</v>
      </c>
      <c r="AX21" s="99" t="s">
        <v>38</v>
      </c>
      <c r="AY21" s="105"/>
      <c r="AZ21" s="111">
        <v>110</v>
      </c>
      <c r="BA21" s="86">
        <v>110</v>
      </c>
      <c r="BB21" s="86">
        <v>260</v>
      </c>
      <c r="BC21" s="108">
        <f>MAX(AZ21:BB21)</f>
        <v>260</v>
      </c>
    </row>
    <row r="22" spans="1:55" s="19" customFormat="1">
      <c r="A22" s="19">
        <f t="shared" si="0"/>
        <v>20</v>
      </c>
      <c r="B22" s="87"/>
      <c r="C22" s="96"/>
      <c r="D22" s="84"/>
      <c r="E22" s="84"/>
      <c r="F22" s="84"/>
      <c r="G22" s="84"/>
      <c r="H22" s="84"/>
      <c r="I22" s="84"/>
      <c r="J22" s="84"/>
      <c r="K22" s="84"/>
      <c r="L22" s="84"/>
      <c r="M22" s="84"/>
      <c r="N22" s="84"/>
      <c r="O22" s="84"/>
      <c r="P22" s="84"/>
      <c r="Q22" s="84"/>
      <c r="R22" s="84"/>
      <c r="S22" s="84"/>
      <c r="T22" s="84"/>
      <c r="U22" s="84"/>
      <c r="V22" s="84"/>
      <c r="W22" s="84"/>
      <c r="X22" s="84"/>
      <c r="Y22" s="84"/>
      <c r="Z22" s="84"/>
      <c r="AA22" s="84"/>
      <c r="AB22" s="84"/>
      <c r="AC22" s="84"/>
      <c r="AD22" s="84"/>
      <c r="AE22" s="84"/>
      <c r="AF22" s="84"/>
      <c r="AG22" s="84"/>
      <c r="AH22" s="84"/>
      <c r="AI22" s="101"/>
      <c r="AJ22" s="84"/>
      <c r="AK22" s="84"/>
      <c r="AL22" s="84"/>
      <c r="AM22" s="84"/>
      <c r="AN22" s="84"/>
      <c r="AO22" s="84"/>
      <c r="AP22" s="84"/>
      <c r="AQ22" s="84"/>
      <c r="AR22" s="84"/>
      <c r="AS22" s="84"/>
      <c r="AT22" s="84"/>
      <c r="AU22" s="84"/>
      <c r="AV22" s="101"/>
      <c r="AW22" s="119"/>
      <c r="AX22" s="87"/>
      <c r="AY22" s="105"/>
      <c r="AZ22" s="109"/>
      <c r="BA22" s="84"/>
      <c r="BB22" s="84"/>
      <c r="BC22" s="110"/>
    </row>
    <row r="23" spans="1:55" s="19" customFormat="1">
      <c r="A23" s="19">
        <f t="shared" si="0"/>
        <v>21</v>
      </c>
      <c r="B23" s="80" t="s">
        <v>22</v>
      </c>
      <c r="C23" s="85">
        <f>MAX(4*CLOCK_PERIOD,10)</f>
        <v>10</v>
      </c>
      <c r="D23" s="85">
        <f t="shared" si="1"/>
        <v>7.5</v>
      </c>
      <c r="E23" s="85">
        <f>MAX(4*CLOCK_PERIOD,6)</f>
        <v>6</v>
      </c>
      <c r="F23" s="85">
        <f>MAX(4*CLOCK_PERIOD,10)</f>
        <v>10</v>
      </c>
      <c r="G23" s="85">
        <f t="shared" si="1"/>
        <v>7.5</v>
      </c>
      <c r="H23" s="85">
        <f>MAX(4*CLOCK_PERIOD,6)</f>
        <v>6</v>
      </c>
      <c r="I23" s="85">
        <f>MAX(4*CLOCK_PERIOD,6)</f>
        <v>6</v>
      </c>
      <c r="J23" s="85">
        <f>MAX(4*CLOCK_PERIOD,10)</f>
        <v>10</v>
      </c>
      <c r="K23" s="85">
        <f t="shared" si="1"/>
        <v>7.5</v>
      </c>
      <c r="L23" s="85">
        <f>MAX(4*CLOCK_PERIOD,6)</f>
        <v>6</v>
      </c>
      <c r="M23" s="85">
        <f>MAX(4*CLOCK_PERIOD,10)</f>
        <v>10</v>
      </c>
      <c r="N23" s="85">
        <f>MAX(4*CLOCK_PERIOD,10)</f>
        <v>10</v>
      </c>
      <c r="O23" s="85">
        <f>MAX(4*CLOCK_PERIOD,7.5)</f>
        <v>7.5</v>
      </c>
      <c r="P23" s="85">
        <f>MAX(4*CLOCK_PERIOD,10)</f>
        <v>10</v>
      </c>
      <c r="Q23" s="85">
        <f>MAX(4*CLOCK_PERIOD,10)</f>
        <v>10</v>
      </c>
      <c r="R23" s="85">
        <f>MAX(4*CLOCK_PERIOD,7.5)</f>
        <v>7.5</v>
      </c>
      <c r="S23" s="85">
        <f>MAX(4*CLOCK_PERIOD,10)</f>
        <v>10</v>
      </c>
      <c r="T23" s="85">
        <f>MAX(4*CLOCK_PERIOD,10)</f>
        <v>10</v>
      </c>
      <c r="U23" s="85">
        <f>MAX(4*CLOCK_PERIOD,7.5)</f>
        <v>7.5</v>
      </c>
      <c r="V23" s="85">
        <f>MAX(4*CLOCK_PERIOD,7.5)</f>
        <v>7.5</v>
      </c>
      <c r="W23" s="85">
        <f>MAX(4*CLOCK_PERIOD,7.5)</f>
        <v>7.5</v>
      </c>
      <c r="X23" s="85">
        <f>MAX(4*CLOCK_PERIOD,7.5)</f>
        <v>7.5</v>
      </c>
      <c r="Y23" s="85">
        <f>MAX(4*CLOCK_PERIOD,10)</f>
        <v>10</v>
      </c>
      <c r="Z23" s="85">
        <f t="shared" si="1"/>
        <v>7.5</v>
      </c>
      <c r="AA23" s="85">
        <f>MAX(4*CLOCK_PERIOD,6)</f>
        <v>6</v>
      </c>
      <c r="AB23" s="85">
        <f>MAX(4*CLOCK_PERIOD,6)</f>
        <v>6</v>
      </c>
      <c r="AC23" s="85">
        <f>MAX(4*CLOCK_PERIOD,10)</f>
        <v>10</v>
      </c>
      <c r="AD23" s="85">
        <f t="shared" si="1"/>
        <v>7.5</v>
      </c>
      <c r="AE23" s="85">
        <f>MAX(4*CLOCK_PERIOD,7.5)</f>
        <v>7.5</v>
      </c>
      <c r="AF23" s="85">
        <f>MAX(4*CLOCK_PERIOD,6)</f>
        <v>6</v>
      </c>
      <c r="AG23" s="85">
        <f>MAX(4*CLOCK_PERIOD,6)</f>
        <v>6</v>
      </c>
      <c r="AH23" s="85">
        <f>MAX(4*CLOCK_PERIOD,6)</f>
        <v>6</v>
      </c>
      <c r="AI23" s="85">
        <f>MAX(4*CLOCK_PERIOD,6)</f>
        <v>6</v>
      </c>
      <c r="AJ23" s="85">
        <f>MAX(4*CLOCK_PERIOD,10)</f>
        <v>10</v>
      </c>
      <c r="AK23" s="85">
        <f>MAX(4*CLOCK_PERIOD,10)</f>
        <v>10</v>
      </c>
      <c r="AL23" s="85">
        <f>MAX(4*CLOCK_PERIOD,7.5)</f>
        <v>7.5</v>
      </c>
      <c r="AM23" s="85">
        <f>MAX(4*CLOCK_PERIOD,7.5)</f>
        <v>7.5</v>
      </c>
      <c r="AN23" s="85">
        <f>MAX(4*CLOCK_PERIOD,10)</f>
        <v>10</v>
      </c>
      <c r="AO23" s="85">
        <f>MAX(4*CLOCK_PERIOD,10)</f>
        <v>10</v>
      </c>
      <c r="AP23" s="85">
        <f t="shared" ref="AP23:AV23" si="5">MAX(4*CLOCK_PERIOD,7.5)</f>
        <v>7.5</v>
      </c>
      <c r="AQ23" s="85">
        <f t="shared" si="5"/>
        <v>7.5</v>
      </c>
      <c r="AR23" s="85">
        <f t="shared" si="5"/>
        <v>7.5</v>
      </c>
      <c r="AS23" s="85">
        <f t="shared" si="5"/>
        <v>7.5</v>
      </c>
      <c r="AT23" s="85">
        <f t="shared" si="5"/>
        <v>7.5</v>
      </c>
      <c r="AU23" s="85">
        <f t="shared" si="5"/>
        <v>7.5</v>
      </c>
      <c r="AV23" s="102">
        <f t="shared" si="5"/>
        <v>7.5</v>
      </c>
      <c r="AW23" s="104">
        <f>MAX(4*CLOCK_PERIOD,6)</f>
        <v>6</v>
      </c>
      <c r="AX23" s="99" t="s">
        <v>38</v>
      </c>
      <c r="AY23" s="105"/>
      <c r="AZ23" s="111">
        <f t="shared" si="2"/>
        <v>7.5</v>
      </c>
      <c r="BA23" s="85">
        <f t="shared" si="2"/>
        <v>7.5</v>
      </c>
      <c r="BB23" s="85">
        <f>MAX(4*CLOCK_PERIOD,7.5)</f>
        <v>7.5</v>
      </c>
      <c r="BC23" s="108">
        <f>MAX(AZ23:BB23)</f>
        <v>7.5</v>
      </c>
    </row>
    <row r="24" spans="1:55" s="19" customFormat="1" ht="28.5">
      <c r="A24" s="19">
        <f t="shared" si="0"/>
        <v>22</v>
      </c>
      <c r="B24" s="79"/>
      <c r="C24" s="84" t="s">
        <v>505</v>
      </c>
      <c r="D24" s="84" t="s">
        <v>119</v>
      </c>
      <c r="E24" s="84" t="s">
        <v>506</v>
      </c>
      <c r="F24" s="84" t="s">
        <v>505</v>
      </c>
      <c r="G24" s="84" t="s">
        <v>119</v>
      </c>
      <c r="H24" s="84" t="s">
        <v>506</v>
      </c>
      <c r="I24" s="84" t="s">
        <v>506</v>
      </c>
      <c r="J24" s="84" t="s">
        <v>505</v>
      </c>
      <c r="K24" s="84" t="s">
        <v>119</v>
      </c>
      <c r="L24" s="84" t="s">
        <v>506</v>
      </c>
      <c r="M24" s="84" t="s">
        <v>505</v>
      </c>
      <c r="N24" s="84" t="s">
        <v>505</v>
      </c>
      <c r="O24" s="84" t="s">
        <v>119</v>
      </c>
      <c r="P24" s="84" t="s">
        <v>505</v>
      </c>
      <c r="Q24" s="84" t="s">
        <v>505</v>
      </c>
      <c r="R24" s="84" t="s">
        <v>119</v>
      </c>
      <c r="S24" s="84" t="s">
        <v>505</v>
      </c>
      <c r="T24" s="84" t="s">
        <v>505</v>
      </c>
      <c r="U24" s="84" t="s">
        <v>119</v>
      </c>
      <c r="V24" s="84" t="s">
        <v>119</v>
      </c>
      <c r="W24" s="84" t="s">
        <v>119</v>
      </c>
      <c r="X24" s="84" t="s">
        <v>119</v>
      </c>
      <c r="Y24" s="84" t="s">
        <v>505</v>
      </c>
      <c r="Z24" s="84" t="s">
        <v>119</v>
      </c>
      <c r="AA24" s="84" t="s">
        <v>506</v>
      </c>
      <c r="AB24" s="84" t="s">
        <v>506</v>
      </c>
      <c r="AC24" s="84" t="s">
        <v>505</v>
      </c>
      <c r="AD24" s="84" t="s">
        <v>119</v>
      </c>
      <c r="AE24" s="84" t="s">
        <v>119</v>
      </c>
      <c r="AF24" s="84" t="s">
        <v>506</v>
      </c>
      <c r="AG24" s="84" t="s">
        <v>506</v>
      </c>
      <c r="AH24" s="84" t="s">
        <v>506</v>
      </c>
      <c r="AI24" s="84" t="s">
        <v>506</v>
      </c>
      <c r="AJ24" s="84" t="s">
        <v>505</v>
      </c>
      <c r="AK24" s="84" t="s">
        <v>505</v>
      </c>
      <c r="AL24" s="84" t="s">
        <v>119</v>
      </c>
      <c r="AM24" s="84" t="s">
        <v>119</v>
      </c>
      <c r="AN24" s="84" t="s">
        <v>505</v>
      </c>
      <c r="AO24" s="84" t="s">
        <v>505</v>
      </c>
      <c r="AP24" s="84" t="s">
        <v>119</v>
      </c>
      <c r="AQ24" s="84" t="s">
        <v>119</v>
      </c>
      <c r="AR24" s="84" t="s">
        <v>119</v>
      </c>
      <c r="AS24" s="84" t="s">
        <v>119</v>
      </c>
      <c r="AT24" s="84" t="s">
        <v>119</v>
      </c>
      <c r="AU24" s="84" t="s">
        <v>119</v>
      </c>
      <c r="AV24" s="101" t="s">
        <v>119</v>
      </c>
      <c r="AW24" s="119" t="s">
        <v>506</v>
      </c>
      <c r="AX24" s="87"/>
      <c r="AY24" s="105"/>
      <c r="AZ24" s="109" t="s">
        <v>119</v>
      </c>
      <c r="BA24" s="84" t="s">
        <v>119</v>
      </c>
      <c r="BB24" s="84" t="s">
        <v>119</v>
      </c>
      <c r="BC24" s="110"/>
    </row>
    <row r="25" spans="1:55" s="19" customFormat="1">
      <c r="A25" s="19">
        <f t="shared" si="0"/>
        <v>23</v>
      </c>
      <c r="B25" s="159" t="s">
        <v>24</v>
      </c>
      <c r="C25" s="165">
        <f>VLOOKUP(C$4,Lookup!$K3:$M6,3,FALSE)</f>
        <v>7.5</v>
      </c>
      <c r="D25" s="156">
        <f>VLOOKUP(D$4,Lookup!$K3:$M6,3,FALSE)</f>
        <v>7.5</v>
      </c>
      <c r="E25" s="156">
        <f>VLOOKUP(E$4,Lookup!$K3:$M6,3,FALSE)</f>
        <v>6</v>
      </c>
      <c r="F25" s="156">
        <f>VLOOKUP(F$4,Lookup!$K3:$M6,3,FALSE)</f>
        <v>7.5</v>
      </c>
      <c r="G25" s="156">
        <f>VLOOKUP(G$4,Lookup!$K3:$M6,3,FALSE)</f>
        <v>7.5</v>
      </c>
      <c r="H25" s="156">
        <f>VLOOKUP(H$4,Lookup!$K3:$M6,3,FALSE)</f>
        <v>6</v>
      </c>
      <c r="I25" s="156">
        <f>VLOOKUP(I$4,Lookup!$K3:$M6,3,FALSE)</f>
        <v>6</v>
      </c>
      <c r="J25" s="156">
        <f>VLOOKUP(J$4,Lookup!$K3:$M6,3,FALSE)</f>
        <v>7.5</v>
      </c>
      <c r="K25" s="156">
        <f>VLOOKUP(K$4,Lookup!$K3:$M6,3,FALSE)</f>
        <v>7.5</v>
      </c>
      <c r="L25" s="156">
        <f>VLOOKUP(L$4,Lookup!$K3:$M6,3,FALSE)</f>
        <v>6</v>
      </c>
      <c r="M25" s="156">
        <f>VLOOKUP(M$4,Lookup!$K3:$M6,3,FALSE)</f>
        <v>7.5</v>
      </c>
      <c r="N25" s="156">
        <f>VLOOKUP(N$4,Lookup!$K3:$M6,3,FALSE)</f>
        <v>7.5</v>
      </c>
      <c r="O25" s="156">
        <f>VLOOKUP(O$4,Lookup!$K3:$M6,3,FALSE)</f>
        <v>6</v>
      </c>
      <c r="P25" s="156">
        <f>VLOOKUP(P$4,Lookup!$K3:$M6,3,FALSE)</f>
        <v>7.5</v>
      </c>
      <c r="Q25" s="156">
        <f>VLOOKUP(Q$4,Lookup!$K3:$M6,3,FALSE)</f>
        <v>7.5</v>
      </c>
      <c r="R25" s="156">
        <f>VLOOKUP(R$4,Lookup!$K3:$M6,3,FALSE)</f>
        <v>6</v>
      </c>
      <c r="S25" s="156">
        <f>VLOOKUP(S$4,Lookup!$K3:$M6,3,FALSE)</f>
        <v>7.5</v>
      </c>
      <c r="T25" s="156">
        <f>VLOOKUP(T$4,Lookup!$K3:$M6,3,FALSE)</f>
        <v>7.5</v>
      </c>
      <c r="U25" s="156">
        <f>VLOOKUP(U$4,Lookup!$K3:$M6,3,FALSE)</f>
        <v>6</v>
      </c>
      <c r="V25" s="156">
        <f>VLOOKUP(V$4,Lookup!$K3:$M6,3,FALSE)</f>
        <v>6</v>
      </c>
      <c r="W25" s="156">
        <f>VLOOKUP(W$4,Lookup!$K3:$M6,3,FALSE)</f>
        <v>6</v>
      </c>
      <c r="X25" s="156">
        <f>VLOOKUP(X$4,Lookup!$K3:$M6,3,FALSE)</f>
        <v>6</v>
      </c>
      <c r="Y25" s="156">
        <f>VLOOKUP(Y$4,Lookup!$K3:$M6,3,FALSE)</f>
        <v>7.5</v>
      </c>
      <c r="Z25" s="156">
        <f>VLOOKUP(Z$4,Lookup!$K3:$M6,3,FALSE)</f>
        <v>7.5</v>
      </c>
      <c r="AA25" s="156">
        <f>VLOOKUP(AA$4,Lookup!$K3:$M6,3,FALSE)</f>
        <v>6</v>
      </c>
      <c r="AB25" s="156">
        <f>VLOOKUP(AB$4,Lookup!$K3:$M6,3,FALSE)</f>
        <v>6</v>
      </c>
      <c r="AC25" s="156">
        <f>VLOOKUP(AC$4,Lookup!$K3:$M6,3,FALSE)</f>
        <v>7.5</v>
      </c>
      <c r="AD25" s="156">
        <f>VLOOKUP(AD$4,Lookup!$K3:$M6,3,FALSE)</f>
        <v>6</v>
      </c>
      <c r="AE25" s="156">
        <f>VLOOKUP(AE$4,Lookup!$K3:$M6,3,FALSE)</f>
        <v>7.5</v>
      </c>
      <c r="AF25" s="156">
        <f>VLOOKUP(AF$4,Lookup!$K3:$M6,3,FALSE)</f>
        <v>6</v>
      </c>
      <c r="AG25" s="156">
        <f>VLOOKUP(AG$4,Lookup!$K3:$M6,3,FALSE)</f>
        <v>6</v>
      </c>
      <c r="AH25" s="156">
        <f>VLOOKUP(AH$4,Lookup!$K3:$M6,3,FALSE)</f>
        <v>6</v>
      </c>
      <c r="AI25" s="157">
        <f>VLOOKUP(AI$4,Lookup!$K3:$M6,3,FALSE)</f>
        <v>6</v>
      </c>
      <c r="AJ25" s="156">
        <f>VLOOKUP(AJ$4,Lookup!$K3:$M6,3,FALSE)</f>
        <v>7.5</v>
      </c>
      <c r="AK25" s="156">
        <f>VLOOKUP(AK$4,Lookup!$K3:$M6,3,FALSE)</f>
        <v>7.5</v>
      </c>
      <c r="AL25" s="156">
        <f>VLOOKUP(AL$4,Lookup!$K3:$M6,3,FALSE)</f>
        <v>6</v>
      </c>
      <c r="AM25" s="156">
        <f>VLOOKUP(AM$4,Lookup!$K3:$M6,3,FALSE)</f>
        <v>6</v>
      </c>
      <c r="AN25" s="156">
        <f>VLOOKUP(AN$4,Lookup!$K3:$M6,3,FALSE)</f>
        <v>7.5</v>
      </c>
      <c r="AO25" s="156">
        <f>VLOOKUP(AO$4,Lookup!$K3:$M6,3,FALSE)</f>
        <v>6</v>
      </c>
      <c r="AP25" s="156">
        <f>VLOOKUP(AP$4,Lookup!$K3:$M6,3,FALSE)</f>
        <v>7.5</v>
      </c>
      <c r="AQ25" s="156">
        <f>VLOOKUP(AQ$4,Lookup!$K3:$M6,3,FALSE)</f>
        <v>6</v>
      </c>
      <c r="AR25" s="156">
        <f>VLOOKUP(AR$4,Lookup!$K3:$M6,3,FALSE)</f>
        <v>6</v>
      </c>
      <c r="AS25" s="156">
        <f>VLOOKUP(AS$4,Lookup!$K3:$M6,3,FALSE)</f>
        <v>6</v>
      </c>
      <c r="AT25" s="156">
        <f>VLOOKUP(AT$4,Lookup!$K3:$M6,3,FALSE)</f>
        <v>6</v>
      </c>
      <c r="AU25" s="156">
        <f>VLOOKUP(AU$4,Lookup!$K3:$M6,3,FALSE)</f>
        <v>6</v>
      </c>
      <c r="AV25" s="157">
        <f>VLOOKUP(AV$4,Lookup!$K3:$M6,3,FALSE)</f>
        <v>6</v>
      </c>
      <c r="AW25" s="166">
        <f>VLOOKUP(AW$4,Lookup!$K3:$M6,3,FALSE)</f>
        <v>6</v>
      </c>
      <c r="AX25" s="99" t="s">
        <v>38</v>
      </c>
      <c r="AY25" s="105"/>
      <c r="AZ25" s="111">
        <f t="shared" ref="AZ25:BB25" si="6">MAX(3*CLOCK_PERIOD,6)</f>
        <v>6</v>
      </c>
      <c r="BA25" s="85">
        <f t="shared" si="6"/>
        <v>6</v>
      </c>
      <c r="BB25" s="85">
        <f t="shared" si="6"/>
        <v>6</v>
      </c>
      <c r="BC25" s="108">
        <f>MAX(AZ25:BB25)</f>
        <v>6</v>
      </c>
    </row>
    <row r="26" spans="1:55" s="19" customFormat="1" ht="28.5">
      <c r="A26" s="19">
        <f t="shared" si="0"/>
        <v>24</v>
      </c>
      <c r="B26" s="160"/>
      <c r="C26" s="167" t="str">
        <f>VLOOKUP(C$4,Lookup!$K3:$M6,2,FALSE)</f>
        <v>max(3nCK, 7.5ns)</v>
      </c>
      <c r="D26" s="168" t="str">
        <f>VLOOKUP(D$4,Lookup!$K3:$M6,2,FALSE)</f>
        <v>max(3nCK, 7.5ns)</v>
      </c>
      <c r="E26" s="168" t="str">
        <f>VLOOKUP(E$4,Lookup!$K3:$M6,2,FALSE)</f>
        <v>max(3nCK, 6ns)</v>
      </c>
      <c r="F26" s="168" t="str">
        <f>VLOOKUP(F$4,Lookup!$K3:$M6,2,FALSE)</f>
        <v>max(3nCK, 7.5ns)</v>
      </c>
      <c r="G26" s="168" t="str">
        <f>VLOOKUP(G$4,Lookup!$K3:$M6,2,FALSE)</f>
        <v>max(3nCK, 7.5ns)</v>
      </c>
      <c r="H26" s="168" t="str">
        <f>VLOOKUP(H$4,Lookup!$K3:$M6,2,FALSE)</f>
        <v>max(3nCK, 6ns)</v>
      </c>
      <c r="I26" s="168" t="str">
        <f>VLOOKUP(I$4,Lookup!$K3:$M6,2,FALSE)</f>
        <v>max(3nCK, 6ns)</v>
      </c>
      <c r="J26" s="168" t="str">
        <f>VLOOKUP(J$4,Lookup!$K3:$M6,2,FALSE)</f>
        <v>max(3nCK, 7.5ns)</v>
      </c>
      <c r="K26" s="168" t="str">
        <f>VLOOKUP(K$4,Lookup!$K3:$M6,2,FALSE)</f>
        <v>max(3nCK, 7.5ns)</v>
      </c>
      <c r="L26" s="168" t="str">
        <f>VLOOKUP(L$4,Lookup!$K3:$M6,2,FALSE)</f>
        <v>max(3nCK, 6ns)</v>
      </c>
      <c r="M26" s="168" t="str">
        <f>VLOOKUP(M$4,Lookup!$K3:$M6,2,FALSE)</f>
        <v>max(3nCK, 7.5ns)</v>
      </c>
      <c r="N26" s="168" t="str">
        <f>VLOOKUP(N$4,Lookup!$K3:$M6,2,FALSE)</f>
        <v>max(3nCK, 7.5ns)</v>
      </c>
      <c r="O26" s="168" t="str">
        <f>VLOOKUP(O$4,Lookup!$K3:$M6,2,FALSE)</f>
        <v>max(3nCK, 6ns)</v>
      </c>
      <c r="P26" s="168" t="str">
        <f>VLOOKUP(P$4,Lookup!$K3:$M6,2,FALSE)</f>
        <v>max(3nCK, 7.5ns)</v>
      </c>
      <c r="Q26" s="168" t="str">
        <f>VLOOKUP(Q$4,Lookup!$K3:$M6,2,FALSE)</f>
        <v>max(3nCK, 7.5ns)</v>
      </c>
      <c r="R26" s="168" t="str">
        <f>VLOOKUP(R$4,Lookup!$K3:$M6,2,FALSE)</f>
        <v>max(3nCK, 6ns)</v>
      </c>
      <c r="S26" s="168" t="str">
        <f>VLOOKUP(S$4,Lookup!$K3:$M6,2,FALSE)</f>
        <v>max(3nCK, 7.5ns)</v>
      </c>
      <c r="T26" s="168" t="str">
        <f>VLOOKUP(T$4,Lookup!$K3:$M6,2,FALSE)</f>
        <v>max(3nCK, 7.5ns)</v>
      </c>
      <c r="U26" s="168" t="str">
        <f>VLOOKUP(U$4,Lookup!$K3:$M6,2,FALSE)</f>
        <v>max(3nCK, 6ns)</v>
      </c>
      <c r="V26" s="168" t="str">
        <f>VLOOKUP(V$4,Lookup!$K3:$M6,2,FALSE)</f>
        <v>max(3nCK, 6ns)</v>
      </c>
      <c r="W26" s="168" t="str">
        <f>VLOOKUP(W$4,Lookup!$K3:$M6,2,FALSE)</f>
        <v>max(3nCK, 6ns)</v>
      </c>
      <c r="X26" s="168" t="str">
        <f>VLOOKUP(X$4,Lookup!$K3:$M6,2,FALSE)</f>
        <v>max(3nCK, 6ns)</v>
      </c>
      <c r="Y26" s="168" t="str">
        <f>VLOOKUP(Y$4,Lookup!$K3:$M6,2,FALSE)</f>
        <v>max(3nCK, 7.5ns)</v>
      </c>
      <c r="Z26" s="168" t="str">
        <f>VLOOKUP(Z$4,Lookup!$K3:$M6,2,FALSE)</f>
        <v>max(3nCK, 7.5ns)</v>
      </c>
      <c r="AA26" s="168" t="str">
        <f>VLOOKUP(AA$4,Lookup!$K3:$M6,2,FALSE)</f>
        <v>max(3nCK, 6ns)</v>
      </c>
      <c r="AB26" s="168" t="str">
        <f>VLOOKUP(AB$4,Lookup!$K3:$M6,2,FALSE)</f>
        <v>max(3nCK, 6ns)</v>
      </c>
      <c r="AC26" s="168" t="str">
        <f>VLOOKUP(AC$4,Lookup!$K3:$M6,2,FALSE)</f>
        <v>max(3nCK, 7.5ns)</v>
      </c>
      <c r="AD26" s="168" t="str">
        <f>VLOOKUP(AD$4,Lookup!$K3:$M6,2,FALSE)</f>
        <v>max(3nCK, 6ns)</v>
      </c>
      <c r="AE26" s="168" t="str">
        <f>VLOOKUP(AE$4,Lookup!$K3:$M6,2,FALSE)</f>
        <v>max(3nCK, 7.5ns)</v>
      </c>
      <c r="AF26" s="168" t="str">
        <f>VLOOKUP(AF$4,Lookup!$K3:$M6,2,FALSE)</f>
        <v>max(3nCK, 6ns)</v>
      </c>
      <c r="AG26" s="168" t="str">
        <f>VLOOKUP(AG$4,Lookup!$K3:$M6,2,FALSE)</f>
        <v>max(3nCK, 6ns)</v>
      </c>
      <c r="AH26" s="168" t="str">
        <f>VLOOKUP(AH$4,Lookup!$K3:$M6,2,FALSE)</f>
        <v>max(3nCK, 6ns)</v>
      </c>
      <c r="AI26" s="169" t="str">
        <f>VLOOKUP(AI$4,Lookup!$K3:$M6,2,FALSE)</f>
        <v>max(3nCK, 6ns)</v>
      </c>
      <c r="AJ26" s="168" t="str">
        <f>VLOOKUP(AJ$4,Lookup!$K3:$M6,2,FALSE)</f>
        <v>max(3nCK, 7.5ns)</v>
      </c>
      <c r="AK26" s="168" t="str">
        <f>VLOOKUP(AK$4,Lookup!$K3:$M6,2,FALSE)</f>
        <v>max(3nCK, 7.5ns)</v>
      </c>
      <c r="AL26" s="168" t="str">
        <f>VLOOKUP(AL$4,Lookup!$K3:$M6,2,FALSE)</f>
        <v>max(3nCK, 6ns)</v>
      </c>
      <c r="AM26" s="168" t="str">
        <f>VLOOKUP(AM$4,Lookup!$K3:$M6,2,FALSE)</f>
        <v>max(3nCK, 6ns)</v>
      </c>
      <c r="AN26" s="168" t="str">
        <f>VLOOKUP(AN$4,Lookup!$K3:$M6,2,FALSE)</f>
        <v>max(3nCK, 7.5ns)</v>
      </c>
      <c r="AO26" s="168" t="str">
        <f>VLOOKUP(AO$4,Lookup!$K3:$M6,2,FALSE)</f>
        <v>max(3nCK, 6ns)</v>
      </c>
      <c r="AP26" s="168" t="str">
        <f>VLOOKUP(AP$4,Lookup!$K3:$M6,2,FALSE)</f>
        <v>max(3nCK, 7.5ns)</v>
      </c>
      <c r="AQ26" s="168" t="str">
        <f>VLOOKUP(AQ$4,Lookup!$K3:$M6,2,FALSE)</f>
        <v>max(3nCK, 6ns)</v>
      </c>
      <c r="AR26" s="168" t="str">
        <f>VLOOKUP(AR$4,Lookup!$K3:$M6,2,FALSE)</f>
        <v>max(3nCK, 6ns)</v>
      </c>
      <c r="AS26" s="168" t="str">
        <f>VLOOKUP(AS$4,Lookup!$K3:$M6,2,FALSE)</f>
        <v>max(3nCK, 6ns)</v>
      </c>
      <c r="AT26" s="168" t="str">
        <f>VLOOKUP(AT$4,Lookup!$K3:$M6,2,FALSE)</f>
        <v>max(3nCK, 6ns)</v>
      </c>
      <c r="AU26" s="168" t="str">
        <f>VLOOKUP(AU$4,Lookup!$K3:$M6,2,FALSE)</f>
        <v>max(3nCK, 6ns)</v>
      </c>
      <c r="AV26" s="169" t="str">
        <f>VLOOKUP(AV$4,Lookup!$K3:$M6,2,FALSE)</f>
        <v>max(3nCK, 6ns)</v>
      </c>
      <c r="AW26" s="170" t="str">
        <f>VLOOKUP(AW$4,Lookup!$K3:$M6,2,FALSE)</f>
        <v>max(3nCK, 6ns)</v>
      </c>
      <c r="AX26" s="87"/>
      <c r="AY26" s="105"/>
      <c r="AZ26" s="109" t="s">
        <v>121</v>
      </c>
      <c r="BA26" s="84" t="s">
        <v>121</v>
      </c>
      <c r="BB26" s="84" t="s">
        <v>121</v>
      </c>
      <c r="BC26" s="110"/>
    </row>
    <row r="27" spans="1:55" s="19" customFormat="1">
      <c r="A27" s="19">
        <f t="shared" si="0"/>
        <v>25</v>
      </c>
      <c r="B27" s="159" t="s">
        <v>29</v>
      </c>
      <c r="C27" s="165">
        <f>VLOOKUP(C$4,Lookup!$K12:$M15,3,FALSE)</f>
        <v>7.5</v>
      </c>
      <c r="D27" s="156">
        <f>VLOOKUP(D$4,Lookup!$K12:$M15,3,FALSE)</f>
        <v>5.625</v>
      </c>
      <c r="E27" s="156">
        <f>VLOOKUP(E$4,Lookup!$K12:$M15,3,FALSE)</f>
        <v>5.625</v>
      </c>
      <c r="F27" s="156">
        <f>VLOOKUP(F$4,Lookup!$K12:$M15,3,FALSE)</f>
        <v>7.5</v>
      </c>
      <c r="G27" s="156">
        <f>VLOOKUP(G$4,Lookup!$K12:$M15,3,FALSE)</f>
        <v>5.625</v>
      </c>
      <c r="H27" s="156">
        <f>VLOOKUP(H$4,Lookup!$K12:$M15,3,FALSE)</f>
        <v>5.625</v>
      </c>
      <c r="I27" s="156">
        <f>VLOOKUP(I$4,Lookup!$K12:$M15,3,FALSE)</f>
        <v>5</v>
      </c>
      <c r="J27" s="156">
        <f>VLOOKUP(J$4,Lookup!$K12:$M15,3,FALSE)</f>
        <v>7.5</v>
      </c>
      <c r="K27" s="156">
        <f>VLOOKUP(K$4,Lookup!$K12:$M15,3,FALSE)</f>
        <v>5.625</v>
      </c>
      <c r="L27" s="156">
        <f>VLOOKUP(L$4,Lookup!$K12:$M15,3,FALSE)</f>
        <v>5.625</v>
      </c>
      <c r="M27" s="156">
        <f>VLOOKUP(M$4,Lookup!$K12:$M15,3,FALSE)</f>
        <v>7.5</v>
      </c>
      <c r="N27" s="156">
        <f>VLOOKUP(N$4,Lookup!$K12:$M15,3,FALSE)</f>
        <v>5.625</v>
      </c>
      <c r="O27" s="156">
        <f>VLOOKUP(O$4,Lookup!$K12:$M15,3,FALSE)</f>
        <v>5.625</v>
      </c>
      <c r="P27" s="156">
        <f>VLOOKUP(P$4,Lookup!$K12:$M15,3,FALSE)</f>
        <v>7.5</v>
      </c>
      <c r="Q27" s="156">
        <f>VLOOKUP(Q$4,Lookup!$K12:$M15,3,FALSE)</f>
        <v>5.625</v>
      </c>
      <c r="R27" s="156">
        <f>VLOOKUP(R$4,Lookup!$K12:$M15,3,FALSE)</f>
        <v>5.625</v>
      </c>
      <c r="S27" s="156">
        <f>VLOOKUP(S$4,Lookup!$K12:$M15,3,FALSE)</f>
        <v>7.5</v>
      </c>
      <c r="T27" s="156">
        <f>VLOOKUP(T$4,Lookup!$K12:$M15,3,FALSE)</f>
        <v>5.625</v>
      </c>
      <c r="U27" s="156">
        <f>VLOOKUP(U$4,Lookup!$K12:$M15,3,FALSE)</f>
        <v>5.625</v>
      </c>
      <c r="V27" s="156">
        <f>VLOOKUP(V$4,Lookup!$K12:$M15,3,FALSE)</f>
        <v>5</v>
      </c>
      <c r="W27" s="156">
        <f>VLOOKUP(W$4,Lookup!$K12:$M15,3,FALSE)</f>
        <v>5.625</v>
      </c>
      <c r="X27" s="156">
        <f>VLOOKUP(X$4,Lookup!$K12:$M15,3,FALSE)</f>
        <v>5</v>
      </c>
      <c r="Y27" s="156">
        <f>VLOOKUP(Y$4,Lookup!$K12:$M15,3,FALSE)</f>
        <v>7.5</v>
      </c>
      <c r="Z27" s="156">
        <f>VLOOKUP(Z$4,Lookup!$K12:$M15,3,FALSE)</f>
        <v>5.625</v>
      </c>
      <c r="AA27" s="156">
        <f>VLOOKUP(AA$4,Lookup!$K12:$M15,3,FALSE)</f>
        <v>5.625</v>
      </c>
      <c r="AB27" s="156">
        <f>VLOOKUP(AB$4,Lookup!$K12:$M15,3,FALSE)</f>
        <v>5</v>
      </c>
      <c r="AC27" s="156">
        <f>VLOOKUP(AC$4,Lookup!$K12:$M15,3,FALSE)</f>
        <v>5.625</v>
      </c>
      <c r="AD27" s="156">
        <f>VLOOKUP(AD$4,Lookup!$K12:$M15,3,FALSE)</f>
        <v>5.625</v>
      </c>
      <c r="AE27" s="156">
        <f>VLOOKUP(AE$4,Lookup!$K12:$M15,3,FALSE)</f>
        <v>5.625</v>
      </c>
      <c r="AF27" s="156">
        <f>VLOOKUP(AF$4,Lookup!$K12:$M15,3,FALSE)</f>
        <v>5.625</v>
      </c>
      <c r="AG27" s="156">
        <f>VLOOKUP(AG$4,Lookup!$K12:$M15,3,FALSE)</f>
        <v>5</v>
      </c>
      <c r="AH27" s="156">
        <f>VLOOKUP(AH$4,Lookup!$K12:$M15,3,FALSE)</f>
        <v>5.625</v>
      </c>
      <c r="AI27" s="157">
        <f>VLOOKUP(AI$4,Lookup!$K12:$M15,3,FALSE)</f>
        <v>5</v>
      </c>
      <c r="AJ27" s="156">
        <f>VLOOKUP(AJ$4,Lookup!$K12:$M15,3,FALSE)</f>
        <v>7.5</v>
      </c>
      <c r="AK27" s="156">
        <f>VLOOKUP(AK$4,Lookup!$K12:$M15,3,FALSE)</f>
        <v>5.625</v>
      </c>
      <c r="AL27" s="156">
        <f>VLOOKUP(AL$4,Lookup!$K12:$M15,3,FALSE)</f>
        <v>5.625</v>
      </c>
      <c r="AM27" s="156">
        <f>VLOOKUP(AM$4,Lookup!$K12:$M15,3,FALSE)</f>
        <v>5</v>
      </c>
      <c r="AN27" s="156">
        <f>VLOOKUP(AN$4,Lookup!$K12:$M15,3,FALSE)</f>
        <v>5.625</v>
      </c>
      <c r="AO27" s="156">
        <f>VLOOKUP(AO$4,Lookup!$K12:$M15,3,FALSE)</f>
        <v>5.625</v>
      </c>
      <c r="AP27" s="156">
        <f>VLOOKUP(AP$4,Lookup!$K12:$M15,3,FALSE)</f>
        <v>5.625</v>
      </c>
      <c r="AQ27" s="156">
        <f>VLOOKUP(AQ$4,Lookup!$K12:$M15,3,FALSE)</f>
        <v>5.625</v>
      </c>
      <c r="AR27" s="156">
        <f>VLOOKUP(AR$4,Lookup!$K12:$M15,3,FALSE)</f>
        <v>5.625</v>
      </c>
      <c r="AS27" s="156">
        <f>VLOOKUP(AS$4,Lookup!$K12:$M15,3,FALSE)</f>
        <v>5.625</v>
      </c>
      <c r="AT27" s="156">
        <f>VLOOKUP(AT$4,Lookup!$K12:$M15,3,FALSE)</f>
        <v>5</v>
      </c>
      <c r="AU27" s="156">
        <f>VLOOKUP(AU$4,Lookup!$K12:$M15,3,FALSE)</f>
        <v>5.625</v>
      </c>
      <c r="AV27" s="157">
        <f>VLOOKUP(AV$4,Lookup!$K12:$M15,3,FALSE)</f>
        <v>5</v>
      </c>
      <c r="AW27" s="166">
        <f>VLOOKUP(AW$4,Lookup!$K12:$M15,3,FALSE)</f>
        <v>5.625</v>
      </c>
      <c r="AX27" s="99" t="s">
        <v>38</v>
      </c>
      <c r="AY27" s="105"/>
      <c r="AZ27" s="111">
        <f t="shared" ref="AZ27" si="7">MAX(3*CLOCK_PERIOD,5.625)</f>
        <v>5.625</v>
      </c>
      <c r="BA27" s="85">
        <f>MAX(3*CLOCK_PERIOD,5)</f>
        <v>5</v>
      </c>
      <c r="BB27" s="85">
        <f>MAX(3*CLOCK_PERIOD,5)</f>
        <v>5</v>
      </c>
      <c r="BC27" s="108">
        <f>MAX(AZ27:BB27)</f>
        <v>5.625</v>
      </c>
    </row>
    <row r="28" spans="1:55" s="19" customFormat="1" ht="28.5">
      <c r="A28" s="19">
        <f t="shared" si="0"/>
        <v>26</v>
      </c>
      <c r="B28" s="160"/>
      <c r="C28" s="167" t="str">
        <f>VLOOKUP(C$4,Lookup!$K12:$M15,2,FALSE)</f>
        <v>max(3nCK, 7.5ns)</v>
      </c>
      <c r="D28" s="168" t="str">
        <f>VLOOKUP(D$4,Lookup!$K12:$M15,2,FALSE)</f>
        <v>max(3nCK, 5.625ns)</v>
      </c>
      <c r="E28" s="168" t="str">
        <f>VLOOKUP(E$4,Lookup!$K12:$M15,2,FALSE)</f>
        <v>max(3nCK, 5.625ns)</v>
      </c>
      <c r="F28" s="168" t="str">
        <f>VLOOKUP(F$4,Lookup!$K12:$M15,2,FALSE)</f>
        <v>max(3nCK, 7.5ns)</v>
      </c>
      <c r="G28" s="168" t="str">
        <f>VLOOKUP(G$4,Lookup!$K12:$M15,2,FALSE)</f>
        <v>max(3nCK, 5.625ns)</v>
      </c>
      <c r="H28" s="168" t="str">
        <f>VLOOKUP(H$4,Lookup!$K12:$M15,2,FALSE)</f>
        <v>max(3nCK, 5.625ns)</v>
      </c>
      <c r="I28" s="168" t="str">
        <f>VLOOKUP(I$4,Lookup!$K12:$M15,2,FALSE)</f>
        <v>max(3nCK, 5ns)</v>
      </c>
      <c r="J28" s="168" t="str">
        <f>VLOOKUP(J$4,Lookup!$K12:$M15,2,FALSE)</f>
        <v>max(3nCK, 7.5ns)</v>
      </c>
      <c r="K28" s="168" t="str">
        <f>VLOOKUP(K$4,Lookup!$K12:$M15,2,FALSE)</f>
        <v>max(3nCK, 5.625ns)</v>
      </c>
      <c r="L28" s="168" t="str">
        <f>VLOOKUP(L$4,Lookup!$K12:$M15,2,FALSE)</f>
        <v>max(3nCK, 5.625ns)</v>
      </c>
      <c r="M28" s="168" t="str">
        <f>VLOOKUP(M$4,Lookup!$K12:$M15,2,FALSE)</f>
        <v>max(3nCK, 7.5ns)</v>
      </c>
      <c r="N28" s="168" t="str">
        <f>VLOOKUP(N$4,Lookup!$K12:$M15,2,FALSE)</f>
        <v>max(3nCK, 5.625ns)</v>
      </c>
      <c r="O28" s="168" t="str">
        <f>VLOOKUP(O$4,Lookup!$K12:$M15,2,FALSE)</f>
        <v>max(3nCK, 5.625ns)</v>
      </c>
      <c r="P28" s="168" t="str">
        <f>VLOOKUP(P$4,Lookup!$K12:$M15,2,FALSE)</f>
        <v>max(3nCK, 7.5ns)</v>
      </c>
      <c r="Q28" s="168" t="str">
        <f>VLOOKUP(Q$4,Lookup!$K12:$M15,2,FALSE)</f>
        <v>max(3nCK, 5.625ns)</v>
      </c>
      <c r="R28" s="168" t="str">
        <f>VLOOKUP(R$4,Lookup!$K12:$M15,2,FALSE)</f>
        <v>max(3nCK, 5.625ns)</v>
      </c>
      <c r="S28" s="168" t="str">
        <f>VLOOKUP(S$4,Lookup!$K12:$M15,2,FALSE)</f>
        <v>max(3nCK, 7.5ns)</v>
      </c>
      <c r="T28" s="168" t="str">
        <f>VLOOKUP(T$4,Lookup!$K12:$M15,2,FALSE)</f>
        <v>max(3nCK, 5.625ns)</v>
      </c>
      <c r="U28" s="168" t="str">
        <f>VLOOKUP(U$4,Lookup!$K12:$M15,2,FALSE)</f>
        <v>max(3nCK, 5.625ns)</v>
      </c>
      <c r="V28" s="168" t="str">
        <f>VLOOKUP(V$4,Lookup!$K12:$M15,2,FALSE)</f>
        <v>max(3nCK, 5ns)</v>
      </c>
      <c r="W28" s="168" t="str">
        <f>VLOOKUP(W$4,Lookup!$K12:$M15,2,FALSE)</f>
        <v>max(3nCK, 5.625ns)</v>
      </c>
      <c r="X28" s="168" t="str">
        <f>VLOOKUP(X$4,Lookup!$K12:$M15,2,FALSE)</f>
        <v>max(3nCK, 5ns)</v>
      </c>
      <c r="Y28" s="168" t="str">
        <f>VLOOKUP(Y$4,Lookup!$K12:$M15,2,FALSE)</f>
        <v>max(3nCK, 7.5ns)</v>
      </c>
      <c r="Z28" s="168" t="str">
        <f>VLOOKUP(Z$4,Lookup!$K12:$M15,2,FALSE)</f>
        <v>max(3nCK, 5.625ns)</v>
      </c>
      <c r="AA28" s="168" t="str">
        <f>VLOOKUP(AA$4,Lookup!$K12:$M15,2,FALSE)</f>
        <v>max(3nCK, 5.625ns)</v>
      </c>
      <c r="AB28" s="168" t="str">
        <f>VLOOKUP(AB$4,Lookup!$K12:$M15,2,FALSE)</f>
        <v>max(3nCK, 5ns)</v>
      </c>
      <c r="AC28" s="168" t="str">
        <f>VLOOKUP(AC$4,Lookup!$K12:$M15,2,FALSE)</f>
        <v>max(3nCK, 5.625ns)</v>
      </c>
      <c r="AD28" s="168" t="str">
        <f>VLOOKUP(AD$4,Lookup!$K12:$M15,2,FALSE)</f>
        <v>max(3nCK, 5.625ns)</v>
      </c>
      <c r="AE28" s="168" t="str">
        <f>VLOOKUP(AE$4,Lookup!$K12:$M15,2,FALSE)</f>
        <v>max(3nCK, 5.625ns)</v>
      </c>
      <c r="AF28" s="168" t="str">
        <f>VLOOKUP(AF$4,Lookup!$K12:$M15,2,FALSE)</f>
        <v>max(3nCK, 5.625ns)</v>
      </c>
      <c r="AG28" s="168" t="str">
        <f>VLOOKUP(AG$4,Lookup!$K12:$M15,2,FALSE)</f>
        <v>max(3nCK, 5ns)</v>
      </c>
      <c r="AH28" s="168" t="str">
        <f>VLOOKUP(AH$4,Lookup!$K12:$M15,2,FALSE)</f>
        <v>max(3nCK, 5.625ns)</v>
      </c>
      <c r="AI28" s="169" t="str">
        <f>VLOOKUP(AI$4,Lookup!$K12:$M15,2,FALSE)</f>
        <v>max(3nCK, 5ns)</v>
      </c>
      <c r="AJ28" s="168" t="str">
        <f>VLOOKUP(AJ$4,Lookup!$K12:$M15,2,FALSE)</f>
        <v>max(3nCK, 7.5ns)</v>
      </c>
      <c r="AK28" s="168" t="str">
        <f>VLOOKUP(AK$4,Lookup!$K12:$M15,2,FALSE)</f>
        <v>max(3nCK, 5.625ns)</v>
      </c>
      <c r="AL28" s="168" t="str">
        <f>VLOOKUP(AL$4,Lookup!$K12:$M15,2,FALSE)</f>
        <v>max(3nCK, 5.625ns)</v>
      </c>
      <c r="AM28" s="168" t="str">
        <f>VLOOKUP(AM$4,Lookup!$K12:$M15,2,FALSE)</f>
        <v>max(3nCK, 5ns)</v>
      </c>
      <c r="AN28" s="168" t="str">
        <f>VLOOKUP(AN$4,Lookup!$K12:$M15,2,FALSE)</f>
        <v>max(3nCK, 5.625ns)</v>
      </c>
      <c r="AO28" s="168" t="str">
        <f>VLOOKUP(AO$4,Lookup!$K12:$M15,2,FALSE)</f>
        <v>max(3nCK, 5.625ns)</v>
      </c>
      <c r="AP28" s="168" t="str">
        <f>VLOOKUP(AP$4,Lookup!$K12:$M15,2,FALSE)</f>
        <v>max(3nCK, 5.625ns)</v>
      </c>
      <c r="AQ28" s="168" t="str">
        <f>VLOOKUP(AQ$4,Lookup!$K12:$M15,2,FALSE)</f>
        <v>max(3nCK, 5.625ns)</v>
      </c>
      <c r="AR28" s="168" t="str">
        <f>VLOOKUP(AR$4,Lookup!$K12:$M15,2,FALSE)</f>
        <v>max(3nCK, 5.625ns)</v>
      </c>
      <c r="AS28" s="168" t="str">
        <f>VLOOKUP(AS$4,Lookup!$K12:$M15,2,FALSE)</f>
        <v>max(3nCK, 5.625ns)</v>
      </c>
      <c r="AT28" s="168" t="str">
        <f>VLOOKUP(AT$4,Lookup!$K12:$M15,2,FALSE)</f>
        <v>max(3nCK, 5ns)</v>
      </c>
      <c r="AU28" s="168" t="str">
        <f>VLOOKUP(AU$4,Lookup!$K12:$M15,2,FALSE)</f>
        <v>max(3nCK, 5.625ns)</v>
      </c>
      <c r="AV28" s="169" t="str">
        <f>VLOOKUP(AV$4,Lookup!$K12:$M15,2,FALSE)</f>
        <v>max(3nCK, 5ns)</v>
      </c>
      <c r="AW28" s="170" t="str">
        <f>VLOOKUP(AW$4,Lookup!$K12:$M15,2,FALSE)</f>
        <v>max(3nCK, 5.625ns)</v>
      </c>
      <c r="AX28" s="87"/>
      <c r="AY28" s="105"/>
      <c r="AZ28" s="109" t="s">
        <v>123</v>
      </c>
      <c r="BA28" s="84" t="s">
        <v>310</v>
      </c>
      <c r="BB28" s="84" t="s">
        <v>310</v>
      </c>
      <c r="BC28" s="110"/>
    </row>
    <row r="29" spans="1:55" s="19" customFormat="1">
      <c r="A29" s="19">
        <f t="shared" si="0"/>
        <v>27</v>
      </c>
      <c r="B29" s="159" t="s">
        <v>128</v>
      </c>
      <c r="C29" s="165">
        <f t="shared" ref="C29:AW29" si="8">MAX(5*CLOCK_PERIOD,C21+10)</f>
        <v>120</v>
      </c>
      <c r="D29" s="156">
        <f t="shared" si="8"/>
        <v>120</v>
      </c>
      <c r="E29" s="156">
        <f t="shared" si="8"/>
        <v>120</v>
      </c>
      <c r="F29" s="156">
        <f t="shared" si="8"/>
        <v>170</v>
      </c>
      <c r="G29" s="156">
        <f t="shared" si="8"/>
        <v>170</v>
      </c>
      <c r="H29" s="156">
        <f t="shared" si="8"/>
        <v>170</v>
      </c>
      <c r="I29" s="156">
        <f t="shared" si="8"/>
        <v>170</v>
      </c>
      <c r="J29" s="156">
        <f t="shared" si="8"/>
        <v>270</v>
      </c>
      <c r="K29" s="156">
        <f t="shared" si="8"/>
        <v>270</v>
      </c>
      <c r="L29" s="156">
        <f t="shared" si="8"/>
        <v>270</v>
      </c>
      <c r="M29" s="156">
        <f t="shared" si="8"/>
        <v>120</v>
      </c>
      <c r="N29" s="156">
        <f t="shared" si="8"/>
        <v>120</v>
      </c>
      <c r="O29" s="156">
        <f t="shared" si="8"/>
        <v>120</v>
      </c>
      <c r="P29" s="156">
        <f t="shared" si="8"/>
        <v>170</v>
      </c>
      <c r="Q29" s="156">
        <f t="shared" si="8"/>
        <v>170</v>
      </c>
      <c r="R29" s="156">
        <f t="shared" si="8"/>
        <v>170</v>
      </c>
      <c r="S29" s="156">
        <f t="shared" si="8"/>
        <v>270</v>
      </c>
      <c r="T29" s="156">
        <f t="shared" si="8"/>
        <v>270</v>
      </c>
      <c r="U29" s="156">
        <f t="shared" si="8"/>
        <v>270</v>
      </c>
      <c r="V29" s="156">
        <f t="shared" si="8"/>
        <v>270</v>
      </c>
      <c r="W29" s="156">
        <f t="shared" si="8"/>
        <v>270</v>
      </c>
      <c r="X29" s="156">
        <f t="shared" si="8"/>
        <v>270</v>
      </c>
      <c r="Y29" s="156">
        <f t="shared" si="8"/>
        <v>120</v>
      </c>
      <c r="Z29" s="156">
        <f t="shared" si="8"/>
        <v>120</v>
      </c>
      <c r="AA29" s="156">
        <f t="shared" si="8"/>
        <v>120</v>
      </c>
      <c r="AB29" s="156">
        <f t="shared" si="8"/>
        <v>120</v>
      </c>
      <c r="AC29" s="156">
        <f t="shared" si="8"/>
        <v>170</v>
      </c>
      <c r="AD29" s="156">
        <f t="shared" si="8"/>
        <v>170</v>
      </c>
      <c r="AE29" s="156">
        <f t="shared" si="8"/>
        <v>270</v>
      </c>
      <c r="AF29" s="156">
        <f t="shared" si="8"/>
        <v>270</v>
      </c>
      <c r="AG29" s="156">
        <f t="shared" si="8"/>
        <v>270</v>
      </c>
      <c r="AH29" s="156">
        <f t="shared" si="8"/>
        <v>270</v>
      </c>
      <c r="AI29" s="156">
        <f t="shared" si="8"/>
        <v>270</v>
      </c>
      <c r="AJ29" s="156">
        <f t="shared" si="8"/>
        <v>120</v>
      </c>
      <c r="AK29" s="156">
        <f t="shared" si="8"/>
        <v>120</v>
      </c>
      <c r="AL29" s="156">
        <f t="shared" si="8"/>
        <v>120</v>
      </c>
      <c r="AM29" s="156">
        <f t="shared" si="8"/>
        <v>120</v>
      </c>
      <c r="AN29" s="156">
        <f t="shared" si="8"/>
        <v>170</v>
      </c>
      <c r="AO29" s="156">
        <f t="shared" si="8"/>
        <v>170</v>
      </c>
      <c r="AP29" s="156">
        <f t="shared" si="8"/>
        <v>270</v>
      </c>
      <c r="AQ29" s="156">
        <f t="shared" si="8"/>
        <v>270</v>
      </c>
      <c r="AR29" s="156">
        <f t="shared" si="8"/>
        <v>270</v>
      </c>
      <c r="AS29" s="156">
        <f t="shared" si="8"/>
        <v>270</v>
      </c>
      <c r="AT29" s="156">
        <f t="shared" si="8"/>
        <v>270</v>
      </c>
      <c r="AU29" s="156">
        <f t="shared" si="8"/>
        <v>270</v>
      </c>
      <c r="AV29" s="156">
        <f t="shared" si="8"/>
        <v>270</v>
      </c>
      <c r="AW29" s="166">
        <f t="shared" si="8"/>
        <v>170</v>
      </c>
      <c r="AX29" s="99" t="s">
        <v>38</v>
      </c>
      <c r="AY29" s="105"/>
      <c r="AZ29" s="111">
        <f>MAX(5*CLOCK_PERIOD,AZ21+10)</f>
        <v>120</v>
      </c>
      <c r="BA29" s="85">
        <f>MAX(5*CLOCK_PERIOD,BA21+10)</f>
        <v>120</v>
      </c>
      <c r="BB29" s="85">
        <f>MAX(5*CLOCK_PERIOD,BB21+10)</f>
        <v>270</v>
      </c>
      <c r="BC29" s="108">
        <f>MAX(AZ29:BB29)</f>
        <v>270</v>
      </c>
    </row>
    <row r="30" spans="1:55" s="19" customFormat="1" ht="28.5">
      <c r="A30" s="19">
        <f t="shared" si="0"/>
        <v>28</v>
      </c>
      <c r="B30" s="160"/>
      <c r="C30" s="167" t="s">
        <v>129</v>
      </c>
      <c r="D30" s="168" t="s">
        <v>129</v>
      </c>
      <c r="E30" s="168" t="s">
        <v>129</v>
      </c>
      <c r="F30" s="168" t="s">
        <v>129</v>
      </c>
      <c r="G30" s="168" t="s">
        <v>129</v>
      </c>
      <c r="H30" s="168" t="s">
        <v>129</v>
      </c>
      <c r="I30" s="168" t="s">
        <v>129</v>
      </c>
      <c r="J30" s="168" t="s">
        <v>129</v>
      </c>
      <c r="K30" s="168" t="s">
        <v>129</v>
      </c>
      <c r="L30" s="168" t="s">
        <v>129</v>
      </c>
      <c r="M30" s="168" t="s">
        <v>129</v>
      </c>
      <c r="N30" s="168" t="s">
        <v>129</v>
      </c>
      <c r="O30" s="168" t="s">
        <v>129</v>
      </c>
      <c r="P30" s="168" t="s">
        <v>129</v>
      </c>
      <c r="Q30" s="168" t="s">
        <v>129</v>
      </c>
      <c r="R30" s="168" t="s">
        <v>129</v>
      </c>
      <c r="S30" s="168" t="s">
        <v>129</v>
      </c>
      <c r="T30" s="168" t="s">
        <v>129</v>
      </c>
      <c r="U30" s="168" t="s">
        <v>129</v>
      </c>
      <c r="V30" s="168" t="s">
        <v>129</v>
      </c>
      <c r="W30" s="168" t="s">
        <v>129</v>
      </c>
      <c r="X30" s="168" t="s">
        <v>129</v>
      </c>
      <c r="Y30" s="168" t="s">
        <v>129</v>
      </c>
      <c r="Z30" s="168" t="s">
        <v>129</v>
      </c>
      <c r="AA30" s="168" t="s">
        <v>129</v>
      </c>
      <c r="AB30" s="168" t="s">
        <v>129</v>
      </c>
      <c r="AC30" s="168" t="s">
        <v>129</v>
      </c>
      <c r="AD30" s="168" t="s">
        <v>129</v>
      </c>
      <c r="AE30" s="168" t="s">
        <v>129</v>
      </c>
      <c r="AF30" s="168" t="s">
        <v>129</v>
      </c>
      <c r="AG30" s="168" t="s">
        <v>129</v>
      </c>
      <c r="AH30" s="168" t="s">
        <v>129</v>
      </c>
      <c r="AI30" s="169" t="s">
        <v>129</v>
      </c>
      <c r="AJ30" s="168" t="s">
        <v>129</v>
      </c>
      <c r="AK30" s="168" t="s">
        <v>129</v>
      </c>
      <c r="AL30" s="168" t="s">
        <v>129</v>
      </c>
      <c r="AM30" s="168" t="s">
        <v>129</v>
      </c>
      <c r="AN30" s="168" t="s">
        <v>129</v>
      </c>
      <c r="AO30" s="168" t="s">
        <v>129</v>
      </c>
      <c r="AP30" s="168" t="s">
        <v>129</v>
      </c>
      <c r="AQ30" s="168" t="s">
        <v>129</v>
      </c>
      <c r="AR30" s="168" t="s">
        <v>129</v>
      </c>
      <c r="AS30" s="168" t="s">
        <v>129</v>
      </c>
      <c r="AT30" s="168" t="s">
        <v>129</v>
      </c>
      <c r="AU30" s="168" t="s">
        <v>129</v>
      </c>
      <c r="AV30" s="169" t="s">
        <v>129</v>
      </c>
      <c r="AW30" s="170" t="s">
        <v>129</v>
      </c>
      <c r="AX30" s="87"/>
      <c r="AY30" s="105"/>
      <c r="AZ30" s="109" t="s">
        <v>129</v>
      </c>
      <c r="BA30" s="84" t="s">
        <v>129</v>
      </c>
      <c r="BB30" s="84" t="s">
        <v>129</v>
      </c>
      <c r="BC30" s="110"/>
    </row>
    <row r="31" spans="1:55" s="19" customFormat="1">
      <c r="A31" s="19">
        <f t="shared" si="0"/>
        <v>29</v>
      </c>
      <c r="B31" s="159" t="s">
        <v>126</v>
      </c>
      <c r="C31" s="165">
        <v>512</v>
      </c>
      <c r="D31" s="156">
        <v>512</v>
      </c>
      <c r="E31" s="156">
        <v>512</v>
      </c>
      <c r="F31" s="156">
        <v>512</v>
      </c>
      <c r="G31" s="156">
        <v>512</v>
      </c>
      <c r="H31" s="156">
        <v>512</v>
      </c>
      <c r="I31" s="156">
        <v>512</v>
      </c>
      <c r="J31" s="156">
        <v>512</v>
      </c>
      <c r="K31" s="156">
        <v>512</v>
      </c>
      <c r="L31" s="156">
        <v>512</v>
      </c>
      <c r="M31" s="156">
        <v>512</v>
      </c>
      <c r="N31" s="156">
        <v>512</v>
      </c>
      <c r="O31" s="156">
        <v>512</v>
      </c>
      <c r="P31" s="156">
        <v>512</v>
      </c>
      <c r="Q31" s="156">
        <v>512</v>
      </c>
      <c r="R31" s="156">
        <v>512</v>
      </c>
      <c r="S31" s="156">
        <v>512</v>
      </c>
      <c r="T31" s="156">
        <v>512</v>
      </c>
      <c r="U31" s="156">
        <v>512</v>
      </c>
      <c r="V31" s="156">
        <v>512</v>
      </c>
      <c r="W31" s="156">
        <v>512</v>
      </c>
      <c r="X31" s="156">
        <v>512</v>
      </c>
      <c r="Y31" s="156">
        <v>512</v>
      </c>
      <c r="Z31" s="156">
        <v>512</v>
      </c>
      <c r="AA31" s="156">
        <v>512</v>
      </c>
      <c r="AB31" s="156">
        <v>512</v>
      </c>
      <c r="AC31" s="156">
        <v>512</v>
      </c>
      <c r="AD31" s="156">
        <v>512</v>
      </c>
      <c r="AE31" s="156">
        <v>512</v>
      </c>
      <c r="AF31" s="156">
        <v>512</v>
      </c>
      <c r="AG31" s="156">
        <v>512</v>
      </c>
      <c r="AH31" s="156">
        <v>512</v>
      </c>
      <c r="AI31" s="157">
        <v>512</v>
      </c>
      <c r="AJ31" s="156">
        <v>512</v>
      </c>
      <c r="AK31" s="156">
        <v>512</v>
      </c>
      <c r="AL31" s="156">
        <v>512</v>
      </c>
      <c r="AM31" s="156">
        <v>512</v>
      </c>
      <c r="AN31" s="156">
        <v>512</v>
      </c>
      <c r="AO31" s="156">
        <v>512</v>
      </c>
      <c r="AP31" s="156">
        <v>512</v>
      </c>
      <c r="AQ31" s="156">
        <v>512</v>
      </c>
      <c r="AR31" s="156">
        <v>512</v>
      </c>
      <c r="AS31" s="156">
        <v>512</v>
      </c>
      <c r="AT31" s="156">
        <v>512</v>
      </c>
      <c r="AU31" s="156">
        <v>512</v>
      </c>
      <c r="AV31" s="157">
        <v>512</v>
      </c>
      <c r="AW31" s="166">
        <v>512</v>
      </c>
      <c r="AX31" s="99" t="s">
        <v>122</v>
      </c>
      <c r="AY31" s="105"/>
      <c r="AZ31" s="111">
        <v>512</v>
      </c>
      <c r="BA31" s="85">
        <v>512</v>
      </c>
      <c r="BB31" s="85">
        <v>512</v>
      </c>
      <c r="BC31" s="108">
        <f>MAX(AZ31:BB31)</f>
        <v>512</v>
      </c>
    </row>
    <row r="32" spans="1:55" s="19" customFormat="1">
      <c r="A32" s="19">
        <f t="shared" si="0"/>
        <v>30</v>
      </c>
      <c r="B32" s="160" t="s">
        <v>306</v>
      </c>
      <c r="C32" s="167"/>
      <c r="D32" s="168"/>
      <c r="E32" s="168"/>
      <c r="F32" s="168"/>
      <c r="G32" s="168"/>
      <c r="H32" s="168"/>
      <c r="I32" s="168"/>
      <c r="J32" s="168"/>
      <c r="K32" s="168"/>
      <c r="L32" s="168"/>
      <c r="M32" s="168"/>
      <c r="N32" s="168"/>
      <c r="O32" s="168"/>
      <c r="P32" s="168"/>
      <c r="Q32" s="168"/>
      <c r="R32" s="168"/>
      <c r="S32" s="168"/>
      <c r="T32" s="168"/>
      <c r="U32" s="168"/>
      <c r="V32" s="168"/>
      <c r="W32" s="168"/>
      <c r="X32" s="168"/>
      <c r="Y32" s="168"/>
      <c r="Z32" s="168"/>
      <c r="AA32" s="168"/>
      <c r="AB32" s="168"/>
      <c r="AC32" s="168"/>
      <c r="AD32" s="168"/>
      <c r="AE32" s="168"/>
      <c r="AF32" s="168"/>
      <c r="AG32" s="168"/>
      <c r="AH32" s="168"/>
      <c r="AI32" s="169"/>
      <c r="AJ32" s="168"/>
      <c r="AK32" s="168"/>
      <c r="AL32" s="168"/>
      <c r="AM32" s="168"/>
      <c r="AN32" s="168"/>
      <c r="AO32" s="168"/>
      <c r="AP32" s="168"/>
      <c r="AQ32" s="168"/>
      <c r="AR32" s="168"/>
      <c r="AS32" s="168"/>
      <c r="AT32" s="168"/>
      <c r="AU32" s="168"/>
      <c r="AV32" s="169"/>
      <c r="AW32" s="170"/>
      <c r="AX32" s="87"/>
      <c r="AY32" s="105"/>
      <c r="AZ32" s="109"/>
      <c r="BA32" s="84"/>
      <c r="BB32" s="84"/>
      <c r="BC32" s="110"/>
    </row>
    <row r="33" spans="1:55" s="19" customFormat="1">
      <c r="A33" s="19">
        <f t="shared" si="0"/>
        <v>31</v>
      </c>
      <c r="B33" s="159" t="s">
        <v>68</v>
      </c>
      <c r="C33" s="165">
        <f t="shared" ref="C33:AW33" si="9">C27+CLOCK_PERIOD</f>
        <v>9</v>
      </c>
      <c r="D33" s="156">
        <f t="shared" si="9"/>
        <v>7.125</v>
      </c>
      <c r="E33" s="156">
        <f t="shared" si="9"/>
        <v>7.125</v>
      </c>
      <c r="F33" s="156">
        <f t="shared" si="9"/>
        <v>9</v>
      </c>
      <c r="G33" s="156">
        <f t="shared" si="9"/>
        <v>7.125</v>
      </c>
      <c r="H33" s="156">
        <f t="shared" si="9"/>
        <v>7.125</v>
      </c>
      <c r="I33" s="156">
        <f t="shared" si="9"/>
        <v>6.5</v>
      </c>
      <c r="J33" s="156">
        <f t="shared" si="9"/>
        <v>9</v>
      </c>
      <c r="K33" s="156">
        <f t="shared" si="9"/>
        <v>7.125</v>
      </c>
      <c r="L33" s="156">
        <f t="shared" si="9"/>
        <v>7.125</v>
      </c>
      <c r="M33" s="156">
        <f t="shared" si="9"/>
        <v>9</v>
      </c>
      <c r="N33" s="156">
        <f t="shared" si="9"/>
        <v>7.125</v>
      </c>
      <c r="O33" s="156">
        <f t="shared" si="9"/>
        <v>7.125</v>
      </c>
      <c r="P33" s="156">
        <f t="shared" si="9"/>
        <v>9</v>
      </c>
      <c r="Q33" s="156">
        <f t="shared" si="9"/>
        <v>7.125</v>
      </c>
      <c r="R33" s="156">
        <f t="shared" si="9"/>
        <v>7.125</v>
      </c>
      <c r="S33" s="156">
        <f t="shared" si="9"/>
        <v>9</v>
      </c>
      <c r="T33" s="156">
        <f t="shared" si="9"/>
        <v>7.125</v>
      </c>
      <c r="U33" s="156">
        <f t="shared" si="9"/>
        <v>7.125</v>
      </c>
      <c r="V33" s="156">
        <f t="shared" si="9"/>
        <v>6.5</v>
      </c>
      <c r="W33" s="156">
        <f t="shared" si="9"/>
        <v>7.125</v>
      </c>
      <c r="X33" s="156">
        <f t="shared" si="9"/>
        <v>6.5</v>
      </c>
      <c r="Y33" s="156">
        <f t="shared" si="9"/>
        <v>9</v>
      </c>
      <c r="Z33" s="156">
        <f t="shared" si="9"/>
        <v>7.125</v>
      </c>
      <c r="AA33" s="156">
        <f t="shared" si="9"/>
        <v>7.125</v>
      </c>
      <c r="AB33" s="156">
        <f t="shared" si="9"/>
        <v>6.5</v>
      </c>
      <c r="AC33" s="156">
        <f t="shared" si="9"/>
        <v>7.125</v>
      </c>
      <c r="AD33" s="156">
        <f t="shared" si="9"/>
        <v>7.125</v>
      </c>
      <c r="AE33" s="156">
        <f t="shared" si="9"/>
        <v>7.125</v>
      </c>
      <c r="AF33" s="156">
        <f t="shared" si="9"/>
        <v>7.125</v>
      </c>
      <c r="AG33" s="156">
        <f t="shared" si="9"/>
        <v>6.5</v>
      </c>
      <c r="AH33" s="156">
        <f t="shared" ref="AH33:AI33" si="10">AH27+CLOCK_PERIOD</f>
        <v>7.125</v>
      </c>
      <c r="AI33" s="157">
        <f t="shared" si="10"/>
        <v>6.5</v>
      </c>
      <c r="AJ33" s="156">
        <f t="shared" si="9"/>
        <v>9</v>
      </c>
      <c r="AK33" s="156">
        <f t="shared" si="9"/>
        <v>7.125</v>
      </c>
      <c r="AL33" s="156">
        <f t="shared" si="9"/>
        <v>7.125</v>
      </c>
      <c r="AM33" s="156">
        <f t="shared" si="9"/>
        <v>6.5</v>
      </c>
      <c r="AN33" s="156">
        <f t="shared" si="9"/>
        <v>7.125</v>
      </c>
      <c r="AO33" s="156">
        <f t="shared" si="9"/>
        <v>7.125</v>
      </c>
      <c r="AP33" s="156">
        <f t="shared" si="9"/>
        <v>7.125</v>
      </c>
      <c r="AQ33" s="156">
        <f t="shared" si="9"/>
        <v>7.125</v>
      </c>
      <c r="AR33" s="156">
        <f t="shared" si="9"/>
        <v>7.125</v>
      </c>
      <c r="AS33" s="156">
        <f t="shared" si="9"/>
        <v>7.125</v>
      </c>
      <c r="AT33" s="156">
        <f t="shared" si="9"/>
        <v>6.5</v>
      </c>
      <c r="AU33" s="156">
        <f t="shared" si="9"/>
        <v>7.125</v>
      </c>
      <c r="AV33" s="157">
        <f t="shared" si="9"/>
        <v>6.5</v>
      </c>
      <c r="AW33" s="166">
        <f t="shared" si="9"/>
        <v>7.125</v>
      </c>
      <c r="AX33" s="99" t="s">
        <v>38</v>
      </c>
      <c r="AY33" s="105"/>
      <c r="AZ33" s="111">
        <f>AZ27+CLOCK_PERIOD</f>
        <v>7.125</v>
      </c>
      <c r="BA33" s="85">
        <f>BA27+CLOCK_PERIOD</f>
        <v>6.5</v>
      </c>
      <c r="BB33" s="85">
        <f>BB27+CLOCK_PERIOD</f>
        <v>6.5</v>
      </c>
      <c r="BC33" s="108">
        <f>MAX(AZ33:BB33)</f>
        <v>7.125</v>
      </c>
    </row>
    <row r="34" spans="1:55" s="19" customFormat="1">
      <c r="A34" s="19">
        <f t="shared" si="0"/>
        <v>32</v>
      </c>
      <c r="B34" s="160"/>
      <c r="C34" s="167" t="s">
        <v>130</v>
      </c>
      <c r="D34" s="168" t="s">
        <v>130</v>
      </c>
      <c r="E34" s="168" t="s">
        <v>130</v>
      </c>
      <c r="F34" s="168" t="s">
        <v>130</v>
      </c>
      <c r="G34" s="168" t="s">
        <v>130</v>
      </c>
      <c r="H34" s="168" t="s">
        <v>130</v>
      </c>
      <c r="I34" s="168" t="s">
        <v>130</v>
      </c>
      <c r="J34" s="168" t="s">
        <v>130</v>
      </c>
      <c r="K34" s="168" t="s">
        <v>130</v>
      </c>
      <c r="L34" s="168" t="s">
        <v>130</v>
      </c>
      <c r="M34" s="168" t="s">
        <v>130</v>
      </c>
      <c r="N34" s="168" t="s">
        <v>130</v>
      </c>
      <c r="O34" s="168" t="s">
        <v>130</v>
      </c>
      <c r="P34" s="168" t="s">
        <v>130</v>
      </c>
      <c r="Q34" s="168" t="s">
        <v>130</v>
      </c>
      <c r="R34" s="168" t="s">
        <v>130</v>
      </c>
      <c r="S34" s="168" t="s">
        <v>130</v>
      </c>
      <c r="T34" s="168" t="s">
        <v>130</v>
      </c>
      <c r="U34" s="168" t="s">
        <v>130</v>
      </c>
      <c r="V34" s="168" t="s">
        <v>130</v>
      </c>
      <c r="W34" s="168" t="s">
        <v>130</v>
      </c>
      <c r="X34" s="168" t="s">
        <v>130</v>
      </c>
      <c r="Y34" s="168" t="s">
        <v>130</v>
      </c>
      <c r="Z34" s="168" t="s">
        <v>130</v>
      </c>
      <c r="AA34" s="168" t="s">
        <v>130</v>
      </c>
      <c r="AB34" s="168" t="s">
        <v>130</v>
      </c>
      <c r="AC34" s="168" t="s">
        <v>130</v>
      </c>
      <c r="AD34" s="168" t="s">
        <v>130</v>
      </c>
      <c r="AE34" s="168" t="s">
        <v>130</v>
      </c>
      <c r="AF34" s="168" t="s">
        <v>130</v>
      </c>
      <c r="AG34" s="168" t="s">
        <v>130</v>
      </c>
      <c r="AH34" s="168" t="s">
        <v>130</v>
      </c>
      <c r="AI34" s="169" t="s">
        <v>130</v>
      </c>
      <c r="AJ34" s="168" t="s">
        <v>130</v>
      </c>
      <c r="AK34" s="168" t="s">
        <v>130</v>
      </c>
      <c r="AL34" s="168" t="s">
        <v>130</v>
      </c>
      <c r="AM34" s="168" t="s">
        <v>130</v>
      </c>
      <c r="AN34" s="168" t="s">
        <v>130</v>
      </c>
      <c r="AO34" s="168" t="s">
        <v>130</v>
      </c>
      <c r="AP34" s="168" t="s">
        <v>130</v>
      </c>
      <c r="AQ34" s="168" t="s">
        <v>130</v>
      </c>
      <c r="AR34" s="168" t="s">
        <v>130</v>
      </c>
      <c r="AS34" s="168" t="s">
        <v>130</v>
      </c>
      <c r="AT34" s="168" t="s">
        <v>130</v>
      </c>
      <c r="AU34" s="168" t="s">
        <v>130</v>
      </c>
      <c r="AV34" s="169" t="s">
        <v>130</v>
      </c>
      <c r="AW34" s="170" t="s">
        <v>130</v>
      </c>
      <c r="AX34" s="87"/>
      <c r="AY34" s="105"/>
      <c r="AZ34" s="109" t="s">
        <v>130</v>
      </c>
      <c r="BA34" s="84" t="s">
        <v>130</v>
      </c>
      <c r="BB34" s="84" t="s">
        <v>130</v>
      </c>
      <c r="BC34" s="110"/>
    </row>
    <row r="35" spans="1:55" s="19" customFormat="1">
      <c r="A35" s="19">
        <f t="shared" si="0"/>
        <v>33</v>
      </c>
      <c r="B35" s="159" t="s">
        <v>36</v>
      </c>
      <c r="C35" s="165">
        <f t="shared" ref="C35:AW35" si="11">MAX(64*CLOCK_PERIOD,80)</f>
        <v>96</v>
      </c>
      <c r="D35" s="165">
        <f t="shared" si="11"/>
        <v>96</v>
      </c>
      <c r="E35" s="165">
        <f t="shared" si="11"/>
        <v>96</v>
      </c>
      <c r="F35" s="165">
        <f t="shared" si="11"/>
        <v>96</v>
      </c>
      <c r="G35" s="165">
        <f t="shared" si="11"/>
        <v>96</v>
      </c>
      <c r="H35" s="165">
        <f t="shared" si="11"/>
        <v>96</v>
      </c>
      <c r="I35" s="165">
        <f t="shared" si="11"/>
        <v>96</v>
      </c>
      <c r="J35" s="165">
        <f t="shared" si="11"/>
        <v>96</v>
      </c>
      <c r="K35" s="165">
        <f t="shared" si="11"/>
        <v>96</v>
      </c>
      <c r="L35" s="165">
        <f t="shared" si="11"/>
        <v>96</v>
      </c>
      <c r="M35" s="165">
        <f t="shared" si="11"/>
        <v>96</v>
      </c>
      <c r="N35" s="165">
        <f t="shared" si="11"/>
        <v>96</v>
      </c>
      <c r="O35" s="165">
        <f t="shared" si="11"/>
        <v>96</v>
      </c>
      <c r="P35" s="165">
        <f t="shared" si="11"/>
        <v>96</v>
      </c>
      <c r="Q35" s="165">
        <f t="shared" si="11"/>
        <v>96</v>
      </c>
      <c r="R35" s="165">
        <f t="shared" si="11"/>
        <v>96</v>
      </c>
      <c r="S35" s="165">
        <f t="shared" si="11"/>
        <v>96</v>
      </c>
      <c r="T35" s="165">
        <f t="shared" si="11"/>
        <v>96</v>
      </c>
      <c r="U35" s="165">
        <f t="shared" si="11"/>
        <v>96</v>
      </c>
      <c r="V35" s="165">
        <f t="shared" si="11"/>
        <v>96</v>
      </c>
      <c r="W35" s="165">
        <f t="shared" si="11"/>
        <v>96</v>
      </c>
      <c r="X35" s="165">
        <f t="shared" si="11"/>
        <v>96</v>
      </c>
      <c r="Y35" s="165">
        <f t="shared" si="11"/>
        <v>96</v>
      </c>
      <c r="Z35" s="165">
        <f t="shared" si="11"/>
        <v>96</v>
      </c>
      <c r="AA35" s="165">
        <f t="shared" si="11"/>
        <v>96</v>
      </c>
      <c r="AB35" s="165">
        <f t="shared" si="11"/>
        <v>96</v>
      </c>
      <c r="AC35" s="165">
        <f t="shared" si="11"/>
        <v>96</v>
      </c>
      <c r="AD35" s="165">
        <f t="shared" si="11"/>
        <v>96</v>
      </c>
      <c r="AE35" s="165">
        <f t="shared" si="11"/>
        <v>96</v>
      </c>
      <c r="AF35" s="165">
        <f t="shared" si="11"/>
        <v>96</v>
      </c>
      <c r="AG35" s="165">
        <f t="shared" si="11"/>
        <v>96</v>
      </c>
      <c r="AH35" s="165">
        <f t="shared" si="11"/>
        <v>96</v>
      </c>
      <c r="AI35" s="171">
        <f t="shared" si="11"/>
        <v>96</v>
      </c>
      <c r="AJ35" s="165">
        <f t="shared" si="11"/>
        <v>96</v>
      </c>
      <c r="AK35" s="165">
        <f t="shared" si="11"/>
        <v>96</v>
      </c>
      <c r="AL35" s="165">
        <f t="shared" si="11"/>
        <v>96</v>
      </c>
      <c r="AM35" s="165">
        <f t="shared" si="11"/>
        <v>96</v>
      </c>
      <c r="AN35" s="165">
        <f t="shared" si="11"/>
        <v>96</v>
      </c>
      <c r="AO35" s="165">
        <f t="shared" si="11"/>
        <v>96</v>
      </c>
      <c r="AP35" s="165">
        <f t="shared" si="11"/>
        <v>96</v>
      </c>
      <c r="AQ35" s="165">
        <f t="shared" si="11"/>
        <v>96</v>
      </c>
      <c r="AR35" s="165">
        <f t="shared" si="11"/>
        <v>96</v>
      </c>
      <c r="AS35" s="165">
        <f t="shared" si="11"/>
        <v>96</v>
      </c>
      <c r="AT35" s="165">
        <f t="shared" si="11"/>
        <v>96</v>
      </c>
      <c r="AU35" s="165">
        <f t="shared" si="11"/>
        <v>96</v>
      </c>
      <c r="AV35" s="171">
        <f t="shared" si="11"/>
        <v>96</v>
      </c>
      <c r="AW35" s="166">
        <f t="shared" si="11"/>
        <v>96</v>
      </c>
      <c r="AX35" s="99" t="s">
        <v>38</v>
      </c>
      <c r="AY35" s="105"/>
      <c r="AZ35" s="111">
        <v>160</v>
      </c>
      <c r="BA35" s="85">
        <v>160</v>
      </c>
      <c r="BB35" s="85">
        <v>160</v>
      </c>
      <c r="BC35" s="108">
        <f>MAX(AZ35:BB35)</f>
        <v>160</v>
      </c>
    </row>
    <row r="36" spans="1:55" s="19" customFormat="1" ht="28.5">
      <c r="A36" s="19">
        <f t="shared" si="0"/>
        <v>34</v>
      </c>
      <c r="B36" s="160"/>
      <c r="C36" s="168" t="s">
        <v>499</v>
      </c>
      <c r="D36" s="168" t="s">
        <v>499</v>
      </c>
      <c r="E36" s="168" t="s">
        <v>499</v>
      </c>
      <c r="F36" s="168" t="s">
        <v>499</v>
      </c>
      <c r="G36" s="168" t="s">
        <v>499</v>
      </c>
      <c r="H36" s="168" t="s">
        <v>499</v>
      </c>
      <c r="I36" s="168" t="s">
        <v>499</v>
      </c>
      <c r="J36" s="168" t="s">
        <v>499</v>
      </c>
      <c r="K36" s="168" t="s">
        <v>499</v>
      </c>
      <c r="L36" s="168" t="s">
        <v>499</v>
      </c>
      <c r="M36" s="168" t="s">
        <v>499</v>
      </c>
      <c r="N36" s="168" t="s">
        <v>499</v>
      </c>
      <c r="O36" s="168" t="s">
        <v>499</v>
      </c>
      <c r="P36" s="168" t="s">
        <v>499</v>
      </c>
      <c r="Q36" s="168" t="s">
        <v>499</v>
      </c>
      <c r="R36" s="168" t="s">
        <v>499</v>
      </c>
      <c r="S36" s="168" t="s">
        <v>499</v>
      </c>
      <c r="T36" s="168" t="s">
        <v>499</v>
      </c>
      <c r="U36" s="168" t="s">
        <v>499</v>
      </c>
      <c r="V36" s="168" t="s">
        <v>499</v>
      </c>
      <c r="W36" s="168" t="s">
        <v>499</v>
      </c>
      <c r="X36" s="168" t="s">
        <v>499</v>
      </c>
      <c r="Y36" s="168" t="s">
        <v>499</v>
      </c>
      <c r="Z36" s="168" t="s">
        <v>499</v>
      </c>
      <c r="AA36" s="168" t="s">
        <v>499</v>
      </c>
      <c r="AB36" s="168" t="s">
        <v>499</v>
      </c>
      <c r="AC36" s="168" t="s">
        <v>499</v>
      </c>
      <c r="AD36" s="168" t="s">
        <v>499</v>
      </c>
      <c r="AE36" s="168" t="s">
        <v>499</v>
      </c>
      <c r="AF36" s="168" t="s">
        <v>499</v>
      </c>
      <c r="AG36" s="168" t="s">
        <v>499</v>
      </c>
      <c r="AH36" s="168" t="s">
        <v>499</v>
      </c>
      <c r="AI36" s="169" t="s">
        <v>499</v>
      </c>
      <c r="AJ36" s="168" t="s">
        <v>499</v>
      </c>
      <c r="AK36" s="168" t="s">
        <v>499</v>
      </c>
      <c r="AL36" s="168" t="s">
        <v>499</v>
      </c>
      <c r="AM36" s="168" t="s">
        <v>499</v>
      </c>
      <c r="AN36" s="168" t="s">
        <v>499</v>
      </c>
      <c r="AO36" s="168" t="s">
        <v>499</v>
      </c>
      <c r="AP36" s="168" t="s">
        <v>499</v>
      </c>
      <c r="AQ36" s="168" t="s">
        <v>499</v>
      </c>
      <c r="AR36" s="168" t="s">
        <v>499</v>
      </c>
      <c r="AS36" s="168" t="s">
        <v>499</v>
      </c>
      <c r="AT36" s="168" t="s">
        <v>499</v>
      </c>
      <c r="AU36" s="168" t="s">
        <v>499</v>
      </c>
      <c r="AV36" s="169" t="s">
        <v>499</v>
      </c>
      <c r="AW36" s="170" t="s">
        <v>499</v>
      </c>
      <c r="AX36" s="87"/>
      <c r="AY36" s="105"/>
      <c r="AZ36" s="109" t="s">
        <v>499</v>
      </c>
      <c r="BA36" s="84" t="s">
        <v>499</v>
      </c>
      <c r="BB36" s="84" t="s">
        <v>499</v>
      </c>
      <c r="BC36" s="110"/>
    </row>
    <row r="37" spans="1:55">
      <c r="A37" s="19">
        <f t="shared" si="0"/>
        <v>35</v>
      </c>
      <c r="B37" s="161" t="s">
        <v>302</v>
      </c>
      <c r="C37" s="172">
        <v>4</v>
      </c>
      <c r="D37" s="173">
        <v>4</v>
      </c>
      <c r="E37" s="173">
        <v>4</v>
      </c>
      <c r="F37" s="173">
        <v>4</v>
      </c>
      <c r="G37" s="173">
        <v>4</v>
      </c>
      <c r="H37" s="173">
        <v>4</v>
      </c>
      <c r="I37" s="173">
        <v>4</v>
      </c>
      <c r="J37" s="173">
        <v>4</v>
      </c>
      <c r="K37" s="173">
        <v>4</v>
      </c>
      <c r="L37" s="173">
        <v>4</v>
      </c>
      <c r="M37" s="173">
        <v>4</v>
      </c>
      <c r="N37" s="173">
        <v>4</v>
      </c>
      <c r="O37" s="173">
        <v>4</v>
      </c>
      <c r="P37" s="173">
        <v>4</v>
      </c>
      <c r="Q37" s="173">
        <v>4</v>
      </c>
      <c r="R37" s="173">
        <v>4</v>
      </c>
      <c r="S37" s="173">
        <v>4</v>
      </c>
      <c r="T37" s="173">
        <v>4</v>
      </c>
      <c r="U37" s="173">
        <v>4</v>
      </c>
      <c r="V37" s="173">
        <v>4</v>
      </c>
      <c r="W37" s="173">
        <v>4</v>
      </c>
      <c r="X37" s="173">
        <v>4</v>
      </c>
      <c r="Y37" s="173">
        <v>4</v>
      </c>
      <c r="Z37" s="173">
        <v>4</v>
      </c>
      <c r="AA37" s="173">
        <v>4</v>
      </c>
      <c r="AB37" s="173">
        <v>4</v>
      </c>
      <c r="AC37" s="173">
        <v>4</v>
      </c>
      <c r="AD37" s="173">
        <v>4</v>
      </c>
      <c r="AE37" s="173">
        <v>4</v>
      </c>
      <c r="AF37" s="173">
        <v>4</v>
      </c>
      <c r="AG37" s="173">
        <v>4</v>
      </c>
      <c r="AH37" s="173">
        <v>4</v>
      </c>
      <c r="AI37" s="174">
        <v>4</v>
      </c>
      <c r="AJ37" s="173">
        <v>4</v>
      </c>
      <c r="AK37" s="173">
        <v>4</v>
      </c>
      <c r="AL37" s="173">
        <v>4</v>
      </c>
      <c r="AM37" s="173">
        <v>4</v>
      </c>
      <c r="AN37" s="173">
        <v>4</v>
      </c>
      <c r="AO37" s="173">
        <v>4</v>
      </c>
      <c r="AP37" s="173">
        <v>4</v>
      </c>
      <c r="AQ37" s="173">
        <v>4</v>
      </c>
      <c r="AR37" s="173">
        <v>4</v>
      </c>
      <c r="AS37" s="173">
        <v>4</v>
      </c>
      <c r="AT37" s="173">
        <v>4</v>
      </c>
      <c r="AU37" s="173">
        <v>4</v>
      </c>
      <c r="AV37" s="174">
        <v>4</v>
      </c>
      <c r="AW37" s="175">
        <v>4</v>
      </c>
      <c r="AX37" s="90" t="s">
        <v>122</v>
      </c>
      <c r="AY37" s="106"/>
      <c r="AZ37" s="107">
        <v>4</v>
      </c>
      <c r="BA37" s="83">
        <v>4</v>
      </c>
      <c r="BB37" s="83">
        <v>4</v>
      </c>
      <c r="BC37" s="108">
        <f>MAX(AZ37:BB37)</f>
        <v>4</v>
      </c>
    </row>
    <row r="38" spans="1:55">
      <c r="A38" s="19">
        <f t="shared" si="0"/>
        <v>36</v>
      </c>
      <c r="B38" s="162"/>
      <c r="C38" s="167"/>
      <c r="D38" s="168"/>
      <c r="E38" s="168"/>
      <c r="F38" s="168"/>
      <c r="G38" s="168"/>
      <c r="H38" s="168"/>
      <c r="I38" s="168"/>
      <c r="J38" s="168"/>
      <c r="K38" s="168"/>
      <c r="L38" s="168"/>
      <c r="M38" s="168"/>
      <c r="N38" s="168"/>
      <c r="O38" s="168"/>
      <c r="P38" s="168"/>
      <c r="Q38" s="168"/>
      <c r="R38" s="168"/>
      <c r="S38" s="168"/>
      <c r="T38" s="168"/>
      <c r="U38" s="168"/>
      <c r="V38" s="168"/>
      <c r="W38" s="168"/>
      <c r="X38" s="168"/>
      <c r="Y38" s="168"/>
      <c r="Z38" s="168"/>
      <c r="AA38" s="168"/>
      <c r="AB38" s="168"/>
      <c r="AC38" s="168"/>
      <c r="AD38" s="168"/>
      <c r="AE38" s="168"/>
      <c r="AF38" s="168"/>
      <c r="AG38" s="168"/>
      <c r="AH38" s="168"/>
      <c r="AI38" s="169"/>
      <c r="AJ38" s="168"/>
      <c r="AK38" s="168"/>
      <c r="AL38" s="168"/>
      <c r="AM38" s="168"/>
      <c r="AN38" s="168"/>
      <c r="AO38" s="168"/>
      <c r="AP38" s="168"/>
      <c r="AQ38" s="168"/>
      <c r="AR38" s="168"/>
      <c r="AS38" s="168"/>
      <c r="AT38" s="168"/>
      <c r="AU38" s="168"/>
      <c r="AV38" s="169"/>
      <c r="AW38" s="170"/>
      <c r="AX38" s="89"/>
      <c r="AY38" s="106"/>
      <c r="AZ38" s="109"/>
      <c r="BA38" s="84"/>
      <c r="BB38" s="84"/>
      <c r="BC38" s="110"/>
    </row>
    <row r="39" spans="1:55">
      <c r="A39" s="19">
        <f t="shared" si="0"/>
        <v>37</v>
      </c>
      <c r="B39" s="163" t="s">
        <v>299</v>
      </c>
      <c r="C39" s="172">
        <v>4</v>
      </c>
      <c r="D39" s="173">
        <v>4</v>
      </c>
      <c r="E39" s="173">
        <v>4</v>
      </c>
      <c r="F39" s="173">
        <v>4</v>
      </c>
      <c r="G39" s="173">
        <v>4</v>
      </c>
      <c r="H39" s="173">
        <v>4</v>
      </c>
      <c r="I39" s="173">
        <v>4</v>
      </c>
      <c r="J39" s="173">
        <v>4</v>
      </c>
      <c r="K39" s="173">
        <v>4</v>
      </c>
      <c r="L39" s="173">
        <v>4</v>
      </c>
      <c r="M39" s="173">
        <v>4</v>
      </c>
      <c r="N39" s="173">
        <v>4</v>
      </c>
      <c r="O39" s="173">
        <v>4</v>
      </c>
      <c r="P39" s="173">
        <v>4</v>
      </c>
      <c r="Q39" s="173">
        <v>4</v>
      </c>
      <c r="R39" s="173">
        <v>4</v>
      </c>
      <c r="S39" s="173">
        <v>4</v>
      </c>
      <c r="T39" s="173">
        <v>4</v>
      </c>
      <c r="U39" s="173">
        <v>4</v>
      </c>
      <c r="V39" s="173">
        <v>4</v>
      </c>
      <c r="W39" s="173">
        <v>4</v>
      </c>
      <c r="X39" s="173">
        <v>4</v>
      </c>
      <c r="Y39" s="173">
        <v>4</v>
      </c>
      <c r="Z39" s="173">
        <v>4</v>
      </c>
      <c r="AA39" s="173">
        <v>4</v>
      </c>
      <c r="AB39" s="156">
        <v>4</v>
      </c>
      <c r="AC39" s="173">
        <v>4</v>
      </c>
      <c r="AD39" s="173">
        <v>4</v>
      </c>
      <c r="AE39" s="173">
        <v>4</v>
      </c>
      <c r="AF39" s="173">
        <v>4</v>
      </c>
      <c r="AG39" s="173">
        <v>4</v>
      </c>
      <c r="AH39" s="173">
        <v>4</v>
      </c>
      <c r="AI39" s="174">
        <v>4</v>
      </c>
      <c r="AJ39" s="173">
        <v>4</v>
      </c>
      <c r="AK39" s="173">
        <v>4</v>
      </c>
      <c r="AL39" s="173">
        <v>4</v>
      </c>
      <c r="AM39" s="156">
        <v>4</v>
      </c>
      <c r="AN39" s="173">
        <v>4</v>
      </c>
      <c r="AO39" s="173">
        <v>4</v>
      </c>
      <c r="AP39" s="173">
        <v>4</v>
      </c>
      <c r="AQ39" s="173">
        <v>4</v>
      </c>
      <c r="AR39" s="173">
        <v>4</v>
      </c>
      <c r="AS39" s="173">
        <v>4</v>
      </c>
      <c r="AT39" s="173">
        <v>4</v>
      </c>
      <c r="AU39" s="173">
        <v>4</v>
      </c>
      <c r="AV39" s="174">
        <v>4</v>
      </c>
      <c r="AW39" s="175">
        <v>4</v>
      </c>
      <c r="AX39" s="90" t="s">
        <v>122</v>
      </c>
      <c r="AY39" s="106"/>
      <c r="AZ39" s="107">
        <v>4</v>
      </c>
      <c r="BA39" s="83">
        <v>4</v>
      </c>
      <c r="BB39" s="83">
        <v>4</v>
      </c>
      <c r="BC39" s="108">
        <f>MAX(AZ39:BB39)</f>
        <v>4</v>
      </c>
    </row>
    <row r="40" spans="1:55">
      <c r="A40" s="19">
        <f t="shared" si="0"/>
        <v>38</v>
      </c>
      <c r="B40" s="162"/>
      <c r="C40" s="167"/>
      <c r="D40" s="168"/>
      <c r="E40" s="168"/>
      <c r="F40" s="168"/>
      <c r="G40" s="168"/>
      <c r="H40" s="168"/>
      <c r="I40" s="168"/>
      <c r="J40" s="168"/>
      <c r="K40" s="168"/>
      <c r="L40" s="168"/>
      <c r="M40" s="168"/>
      <c r="N40" s="168"/>
      <c r="O40" s="168"/>
      <c r="P40" s="168"/>
      <c r="Q40" s="168"/>
      <c r="R40" s="168"/>
      <c r="S40" s="168"/>
      <c r="T40" s="168"/>
      <c r="U40" s="168"/>
      <c r="V40" s="168"/>
      <c r="W40" s="168"/>
      <c r="X40" s="168"/>
      <c r="Y40" s="168"/>
      <c r="Z40" s="168"/>
      <c r="AA40" s="168"/>
      <c r="AB40" s="168"/>
      <c r="AC40" s="168"/>
      <c r="AD40" s="168"/>
      <c r="AE40" s="168"/>
      <c r="AF40" s="168"/>
      <c r="AG40" s="168"/>
      <c r="AH40" s="168"/>
      <c r="AI40" s="169"/>
      <c r="AJ40" s="168"/>
      <c r="AK40" s="168"/>
      <c r="AL40" s="168"/>
      <c r="AM40" s="168"/>
      <c r="AN40" s="168"/>
      <c r="AO40" s="168"/>
      <c r="AP40" s="168"/>
      <c r="AQ40" s="168"/>
      <c r="AR40" s="168"/>
      <c r="AS40" s="168"/>
      <c r="AT40" s="168"/>
      <c r="AU40" s="168"/>
      <c r="AV40" s="169"/>
      <c r="AW40" s="170"/>
      <c r="AX40" s="89"/>
      <c r="AY40" s="106"/>
      <c r="AZ40" s="109"/>
      <c r="BA40" s="84"/>
      <c r="BB40" s="84"/>
      <c r="BC40" s="110"/>
    </row>
    <row r="41" spans="1:55">
      <c r="A41" s="19">
        <f t="shared" si="0"/>
        <v>39</v>
      </c>
      <c r="B41" s="163" t="s">
        <v>298</v>
      </c>
      <c r="C41" s="165">
        <f t="shared" ref="C41:X41" si="12">MAX(12*CLOCK_PERIOD,15)</f>
        <v>18</v>
      </c>
      <c r="D41" s="156">
        <f t="shared" si="12"/>
        <v>18</v>
      </c>
      <c r="E41" s="156">
        <f t="shared" si="12"/>
        <v>18</v>
      </c>
      <c r="F41" s="156">
        <f t="shared" si="12"/>
        <v>18</v>
      </c>
      <c r="G41" s="156">
        <f t="shared" si="12"/>
        <v>18</v>
      </c>
      <c r="H41" s="156">
        <f t="shared" si="12"/>
        <v>18</v>
      </c>
      <c r="I41" s="156">
        <f t="shared" si="12"/>
        <v>18</v>
      </c>
      <c r="J41" s="156">
        <f t="shared" si="12"/>
        <v>18</v>
      </c>
      <c r="K41" s="156">
        <f t="shared" si="12"/>
        <v>18</v>
      </c>
      <c r="L41" s="156">
        <f t="shared" si="12"/>
        <v>18</v>
      </c>
      <c r="M41" s="156">
        <f t="shared" si="12"/>
        <v>18</v>
      </c>
      <c r="N41" s="156">
        <f t="shared" si="12"/>
        <v>18</v>
      </c>
      <c r="O41" s="156">
        <f t="shared" si="12"/>
        <v>18</v>
      </c>
      <c r="P41" s="156">
        <f t="shared" si="12"/>
        <v>18</v>
      </c>
      <c r="Q41" s="156">
        <f t="shared" si="12"/>
        <v>18</v>
      </c>
      <c r="R41" s="156">
        <f t="shared" si="12"/>
        <v>18</v>
      </c>
      <c r="S41" s="156">
        <f t="shared" si="12"/>
        <v>18</v>
      </c>
      <c r="T41" s="156">
        <f t="shared" si="12"/>
        <v>18</v>
      </c>
      <c r="U41" s="156">
        <f t="shared" si="12"/>
        <v>18</v>
      </c>
      <c r="V41" s="156">
        <f t="shared" si="12"/>
        <v>18</v>
      </c>
      <c r="W41" s="156">
        <f t="shared" si="12"/>
        <v>18</v>
      </c>
      <c r="X41" s="156">
        <f t="shared" si="12"/>
        <v>18</v>
      </c>
      <c r="Y41" s="156">
        <f>MAX(12*CLOCK_PERIOD,15)</f>
        <v>18</v>
      </c>
      <c r="Z41" s="156">
        <f>MAX(12*CLOCK_PERIOD,15)</f>
        <v>18</v>
      </c>
      <c r="AA41" s="156">
        <f>MAX(12*CLOCK_PERIOD,15)</f>
        <v>18</v>
      </c>
      <c r="AB41" s="156">
        <f>MAX(12*CLOCK_PERIOD,15)</f>
        <v>18</v>
      </c>
      <c r="AC41" s="156">
        <f t="shared" ref="AC41:AI41" si="13">MAX(12*CLOCK_PERIOD,15)</f>
        <v>18</v>
      </c>
      <c r="AD41" s="156">
        <f t="shared" si="13"/>
        <v>18</v>
      </c>
      <c r="AE41" s="156">
        <f t="shared" si="13"/>
        <v>18</v>
      </c>
      <c r="AF41" s="156">
        <f t="shared" si="13"/>
        <v>18</v>
      </c>
      <c r="AG41" s="156">
        <f t="shared" si="13"/>
        <v>18</v>
      </c>
      <c r="AH41" s="156">
        <f t="shared" si="13"/>
        <v>18</v>
      </c>
      <c r="AI41" s="157">
        <f t="shared" si="13"/>
        <v>18</v>
      </c>
      <c r="AJ41" s="156">
        <f>MAX(12*CLOCK_PERIOD,15)</f>
        <v>18</v>
      </c>
      <c r="AK41" s="156">
        <f>MAX(12*CLOCK_PERIOD,15)</f>
        <v>18</v>
      </c>
      <c r="AL41" s="156">
        <f>MAX(12*CLOCK_PERIOD,15)</f>
        <v>18</v>
      </c>
      <c r="AM41" s="156">
        <f>MAX(12*CLOCK_PERIOD,15)</f>
        <v>18</v>
      </c>
      <c r="AN41" s="156">
        <f t="shared" ref="AN41:AW41" si="14">MAX(12*CLOCK_PERIOD,15)</f>
        <v>18</v>
      </c>
      <c r="AO41" s="156">
        <f t="shared" si="14"/>
        <v>18</v>
      </c>
      <c r="AP41" s="156">
        <f t="shared" si="14"/>
        <v>18</v>
      </c>
      <c r="AQ41" s="156">
        <f t="shared" si="14"/>
        <v>18</v>
      </c>
      <c r="AR41" s="156">
        <f t="shared" si="14"/>
        <v>18</v>
      </c>
      <c r="AS41" s="156">
        <f t="shared" si="14"/>
        <v>18</v>
      </c>
      <c r="AT41" s="156">
        <f t="shared" si="14"/>
        <v>18</v>
      </c>
      <c r="AU41" s="156">
        <f t="shared" si="14"/>
        <v>18</v>
      </c>
      <c r="AV41" s="157">
        <f t="shared" si="14"/>
        <v>18</v>
      </c>
      <c r="AW41" s="166">
        <f t="shared" si="14"/>
        <v>18</v>
      </c>
      <c r="AX41" s="90" t="s">
        <v>38</v>
      </c>
      <c r="AY41" s="106"/>
      <c r="AZ41" s="107">
        <f t="shared" ref="AZ41:BB41" si="15">MAX(12*CLOCK_PERIOD,15)</f>
        <v>18</v>
      </c>
      <c r="BA41" s="83">
        <f t="shared" si="15"/>
        <v>18</v>
      </c>
      <c r="BB41" s="83">
        <f t="shared" si="15"/>
        <v>18</v>
      </c>
      <c r="BC41" s="108">
        <f>MAX(AZ41:BB41)</f>
        <v>18</v>
      </c>
    </row>
    <row r="42" spans="1:55" ht="28.5">
      <c r="A42" s="19">
        <f t="shared" si="0"/>
        <v>40</v>
      </c>
      <c r="B42" s="162"/>
      <c r="C42" s="167" t="s">
        <v>314</v>
      </c>
      <c r="D42" s="168" t="s">
        <v>314</v>
      </c>
      <c r="E42" s="168" t="s">
        <v>314</v>
      </c>
      <c r="F42" s="168" t="s">
        <v>314</v>
      </c>
      <c r="G42" s="168" t="s">
        <v>314</v>
      </c>
      <c r="H42" s="168" t="s">
        <v>314</v>
      </c>
      <c r="I42" s="168" t="s">
        <v>314</v>
      </c>
      <c r="J42" s="168" t="s">
        <v>314</v>
      </c>
      <c r="K42" s="168" t="s">
        <v>314</v>
      </c>
      <c r="L42" s="168" t="s">
        <v>314</v>
      </c>
      <c r="M42" s="168" t="s">
        <v>314</v>
      </c>
      <c r="N42" s="168" t="s">
        <v>314</v>
      </c>
      <c r="O42" s="168" t="s">
        <v>314</v>
      </c>
      <c r="P42" s="168" t="s">
        <v>314</v>
      </c>
      <c r="Q42" s="168" t="s">
        <v>314</v>
      </c>
      <c r="R42" s="168" t="s">
        <v>314</v>
      </c>
      <c r="S42" s="168" t="s">
        <v>314</v>
      </c>
      <c r="T42" s="168" t="s">
        <v>314</v>
      </c>
      <c r="U42" s="168" t="s">
        <v>314</v>
      </c>
      <c r="V42" s="168" t="s">
        <v>314</v>
      </c>
      <c r="W42" s="168" t="s">
        <v>314</v>
      </c>
      <c r="X42" s="168" t="s">
        <v>314</v>
      </c>
      <c r="Y42" s="168" t="s">
        <v>314</v>
      </c>
      <c r="Z42" s="168" t="s">
        <v>314</v>
      </c>
      <c r="AA42" s="168" t="s">
        <v>314</v>
      </c>
      <c r="AB42" s="168" t="s">
        <v>314</v>
      </c>
      <c r="AC42" s="168" t="s">
        <v>314</v>
      </c>
      <c r="AD42" s="168" t="s">
        <v>314</v>
      </c>
      <c r="AE42" s="168" t="s">
        <v>314</v>
      </c>
      <c r="AF42" s="168" t="s">
        <v>314</v>
      </c>
      <c r="AG42" s="168" t="s">
        <v>314</v>
      </c>
      <c r="AH42" s="168" t="s">
        <v>314</v>
      </c>
      <c r="AI42" s="169" t="s">
        <v>314</v>
      </c>
      <c r="AJ42" s="168" t="s">
        <v>314</v>
      </c>
      <c r="AK42" s="168" t="s">
        <v>314</v>
      </c>
      <c r="AL42" s="168" t="s">
        <v>314</v>
      </c>
      <c r="AM42" s="168" t="s">
        <v>314</v>
      </c>
      <c r="AN42" s="168" t="s">
        <v>314</v>
      </c>
      <c r="AO42" s="168" t="s">
        <v>314</v>
      </c>
      <c r="AP42" s="168" t="s">
        <v>314</v>
      </c>
      <c r="AQ42" s="168" t="s">
        <v>314</v>
      </c>
      <c r="AR42" s="168" t="s">
        <v>314</v>
      </c>
      <c r="AS42" s="168" t="s">
        <v>314</v>
      </c>
      <c r="AT42" s="168" t="s">
        <v>314</v>
      </c>
      <c r="AU42" s="168" t="s">
        <v>314</v>
      </c>
      <c r="AV42" s="169" t="s">
        <v>314</v>
      </c>
      <c r="AW42" s="170" t="s">
        <v>314</v>
      </c>
      <c r="AX42" s="89"/>
      <c r="AY42" s="106"/>
      <c r="AZ42" s="109" t="s">
        <v>314</v>
      </c>
      <c r="BA42" s="84" t="s">
        <v>314</v>
      </c>
      <c r="BB42" s="84" t="s">
        <v>314</v>
      </c>
      <c r="BC42" s="110"/>
    </row>
    <row r="43" spans="1:55">
      <c r="A43" s="19">
        <f t="shared" si="0"/>
        <v>41</v>
      </c>
      <c r="B43" s="163" t="s">
        <v>296</v>
      </c>
      <c r="C43" s="165">
        <v>0</v>
      </c>
      <c r="D43" s="156">
        <v>0</v>
      </c>
      <c r="E43" s="156">
        <v>0</v>
      </c>
      <c r="F43" s="156">
        <v>0</v>
      </c>
      <c r="G43" s="156">
        <v>0</v>
      </c>
      <c r="H43" s="156">
        <v>0</v>
      </c>
      <c r="I43" s="156">
        <v>0</v>
      </c>
      <c r="J43" s="156">
        <v>0</v>
      </c>
      <c r="K43" s="156">
        <v>0</v>
      </c>
      <c r="L43" s="156">
        <v>0</v>
      </c>
      <c r="M43" s="156">
        <v>0</v>
      </c>
      <c r="N43" s="156">
        <v>0</v>
      </c>
      <c r="O43" s="156">
        <v>0</v>
      </c>
      <c r="P43" s="156">
        <v>0</v>
      </c>
      <c r="Q43" s="156">
        <v>0</v>
      </c>
      <c r="R43" s="156">
        <v>0</v>
      </c>
      <c r="S43" s="156">
        <v>0</v>
      </c>
      <c r="T43" s="156">
        <v>0</v>
      </c>
      <c r="U43" s="156">
        <v>0</v>
      </c>
      <c r="V43" s="156">
        <v>0</v>
      </c>
      <c r="W43" s="156">
        <v>0</v>
      </c>
      <c r="X43" s="156">
        <v>0</v>
      </c>
      <c r="Y43" s="156">
        <v>0</v>
      </c>
      <c r="Z43" s="156">
        <v>0</v>
      </c>
      <c r="AA43" s="156">
        <v>0</v>
      </c>
      <c r="AB43" s="156">
        <v>0</v>
      </c>
      <c r="AC43" s="156">
        <v>0</v>
      </c>
      <c r="AD43" s="156">
        <v>0</v>
      </c>
      <c r="AE43" s="156">
        <v>0</v>
      </c>
      <c r="AF43" s="156">
        <v>0</v>
      </c>
      <c r="AG43" s="156">
        <v>0</v>
      </c>
      <c r="AH43" s="156">
        <v>0</v>
      </c>
      <c r="AI43" s="157">
        <v>0</v>
      </c>
      <c r="AJ43" s="156">
        <v>0</v>
      </c>
      <c r="AK43" s="156">
        <v>0</v>
      </c>
      <c r="AL43" s="156">
        <v>0</v>
      </c>
      <c r="AM43" s="156">
        <v>0</v>
      </c>
      <c r="AN43" s="156">
        <v>0</v>
      </c>
      <c r="AO43" s="156">
        <v>0</v>
      </c>
      <c r="AP43" s="156">
        <v>0</v>
      </c>
      <c r="AQ43" s="156">
        <v>0</v>
      </c>
      <c r="AR43" s="156">
        <v>0</v>
      </c>
      <c r="AS43" s="156">
        <v>0</v>
      </c>
      <c r="AT43" s="156">
        <v>0</v>
      </c>
      <c r="AU43" s="156">
        <v>0</v>
      </c>
      <c r="AV43" s="157">
        <v>0</v>
      </c>
      <c r="AW43" s="166">
        <v>0</v>
      </c>
      <c r="AX43" s="90" t="s">
        <v>38</v>
      </c>
      <c r="AY43" s="106"/>
      <c r="AZ43" s="111">
        <v>0</v>
      </c>
      <c r="BA43" s="85">
        <v>0</v>
      </c>
      <c r="BB43" s="85">
        <v>0</v>
      </c>
      <c r="BC43" s="108">
        <f>MAX(AZ43:BB43)</f>
        <v>0</v>
      </c>
    </row>
    <row r="44" spans="1:55">
      <c r="A44" s="19">
        <f t="shared" si="0"/>
        <v>42</v>
      </c>
      <c r="B44" s="162"/>
      <c r="C44" s="167"/>
      <c r="D44" s="168"/>
      <c r="E44" s="168"/>
      <c r="F44" s="168"/>
      <c r="G44" s="168"/>
      <c r="H44" s="168"/>
      <c r="I44" s="168"/>
      <c r="J44" s="168"/>
      <c r="K44" s="168"/>
      <c r="L44" s="168"/>
      <c r="M44" s="168"/>
      <c r="N44" s="168"/>
      <c r="O44" s="168"/>
      <c r="P44" s="168"/>
      <c r="Q44" s="168"/>
      <c r="R44" s="168"/>
      <c r="S44" s="168"/>
      <c r="T44" s="168"/>
      <c r="U44" s="168"/>
      <c r="V44" s="168"/>
      <c r="W44" s="168"/>
      <c r="X44" s="168"/>
      <c r="Y44" s="168"/>
      <c r="Z44" s="168"/>
      <c r="AA44" s="168"/>
      <c r="AB44" s="168"/>
      <c r="AC44" s="168"/>
      <c r="AD44" s="168"/>
      <c r="AE44" s="168"/>
      <c r="AF44" s="168"/>
      <c r="AG44" s="168"/>
      <c r="AH44" s="168"/>
      <c r="AI44" s="169"/>
      <c r="AJ44" s="168"/>
      <c r="AK44" s="168"/>
      <c r="AL44" s="168"/>
      <c r="AM44" s="168"/>
      <c r="AN44" s="168"/>
      <c r="AO44" s="168"/>
      <c r="AP44" s="168"/>
      <c r="AQ44" s="168"/>
      <c r="AR44" s="168"/>
      <c r="AS44" s="168"/>
      <c r="AT44" s="168"/>
      <c r="AU44" s="168"/>
      <c r="AV44" s="169"/>
      <c r="AW44" s="170"/>
      <c r="AX44" s="89"/>
      <c r="AY44" s="106"/>
      <c r="AZ44" s="109"/>
      <c r="BA44" s="84"/>
      <c r="BB44" s="84"/>
      <c r="BC44" s="110"/>
    </row>
    <row r="45" spans="1:55">
      <c r="A45" s="19">
        <f t="shared" si="0"/>
        <v>43</v>
      </c>
      <c r="B45" s="163" t="s">
        <v>297</v>
      </c>
      <c r="C45" s="165">
        <v>40</v>
      </c>
      <c r="D45" s="156">
        <v>40</v>
      </c>
      <c r="E45" s="156">
        <v>40</v>
      </c>
      <c r="F45" s="156">
        <v>40</v>
      </c>
      <c r="G45" s="156">
        <v>40</v>
      </c>
      <c r="H45" s="156">
        <v>40</v>
      </c>
      <c r="I45" s="156">
        <v>40</v>
      </c>
      <c r="J45" s="156">
        <v>40</v>
      </c>
      <c r="K45" s="156">
        <v>40</v>
      </c>
      <c r="L45" s="156">
        <v>40</v>
      </c>
      <c r="M45" s="156">
        <v>40</v>
      </c>
      <c r="N45" s="156">
        <v>40</v>
      </c>
      <c r="O45" s="156">
        <v>40</v>
      </c>
      <c r="P45" s="156">
        <v>40</v>
      </c>
      <c r="Q45" s="156">
        <v>40</v>
      </c>
      <c r="R45" s="156">
        <v>40</v>
      </c>
      <c r="S45" s="156">
        <v>40</v>
      </c>
      <c r="T45" s="156">
        <v>40</v>
      </c>
      <c r="U45" s="156">
        <v>40</v>
      </c>
      <c r="V45" s="156">
        <v>40</v>
      </c>
      <c r="W45" s="156">
        <v>40</v>
      </c>
      <c r="X45" s="156">
        <v>40</v>
      </c>
      <c r="Y45" s="156">
        <v>40</v>
      </c>
      <c r="Z45" s="156">
        <v>40</v>
      </c>
      <c r="AA45" s="156">
        <v>40</v>
      </c>
      <c r="AB45" s="156">
        <v>40</v>
      </c>
      <c r="AC45" s="156">
        <v>40</v>
      </c>
      <c r="AD45" s="156">
        <v>40</v>
      </c>
      <c r="AE45" s="156">
        <v>40</v>
      </c>
      <c r="AF45" s="156">
        <v>40</v>
      </c>
      <c r="AG45" s="156">
        <v>40</v>
      </c>
      <c r="AH45" s="156">
        <v>40</v>
      </c>
      <c r="AI45" s="157">
        <v>40</v>
      </c>
      <c r="AJ45" s="156">
        <v>40</v>
      </c>
      <c r="AK45" s="156">
        <v>40</v>
      </c>
      <c r="AL45" s="156">
        <v>40</v>
      </c>
      <c r="AM45" s="156">
        <v>40</v>
      </c>
      <c r="AN45" s="156">
        <v>40</v>
      </c>
      <c r="AO45" s="156">
        <v>40</v>
      </c>
      <c r="AP45" s="156">
        <v>40</v>
      </c>
      <c r="AQ45" s="156">
        <v>40</v>
      </c>
      <c r="AR45" s="156">
        <v>40</v>
      </c>
      <c r="AS45" s="156">
        <v>40</v>
      </c>
      <c r="AT45" s="156">
        <v>40</v>
      </c>
      <c r="AU45" s="156">
        <v>40</v>
      </c>
      <c r="AV45" s="157">
        <v>40</v>
      </c>
      <c r="AW45" s="166">
        <v>40</v>
      </c>
      <c r="AX45" s="90" t="s">
        <v>122</v>
      </c>
      <c r="AY45" s="106"/>
      <c r="AZ45" s="111">
        <v>40</v>
      </c>
      <c r="BA45" s="85">
        <v>40</v>
      </c>
      <c r="BB45" s="85">
        <v>40</v>
      </c>
      <c r="BC45" s="108">
        <f>MAX(AZ45:BB45)</f>
        <v>40</v>
      </c>
    </row>
    <row r="46" spans="1:55">
      <c r="A46" s="19">
        <f t="shared" si="0"/>
        <v>44</v>
      </c>
      <c r="B46" s="162"/>
      <c r="C46" s="167"/>
      <c r="D46" s="168"/>
      <c r="E46" s="168"/>
      <c r="F46" s="168"/>
      <c r="G46" s="168"/>
      <c r="H46" s="168"/>
      <c r="I46" s="168"/>
      <c r="J46" s="168"/>
      <c r="K46" s="168"/>
      <c r="L46" s="168"/>
      <c r="M46" s="168"/>
      <c r="N46" s="168"/>
      <c r="O46" s="168"/>
      <c r="P46" s="168"/>
      <c r="Q46" s="168"/>
      <c r="R46" s="168"/>
      <c r="S46" s="168"/>
      <c r="T46" s="168"/>
      <c r="U46" s="168"/>
      <c r="V46" s="168"/>
      <c r="W46" s="168"/>
      <c r="X46" s="168"/>
      <c r="Y46" s="168"/>
      <c r="Z46" s="168"/>
      <c r="AA46" s="168"/>
      <c r="AB46" s="168"/>
      <c r="AC46" s="168"/>
      <c r="AD46" s="168"/>
      <c r="AE46" s="168"/>
      <c r="AF46" s="168"/>
      <c r="AG46" s="168"/>
      <c r="AH46" s="168"/>
      <c r="AI46" s="169"/>
      <c r="AJ46" s="168"/>
      <c r="AK46" s="168"/>
      <c r="AL46" s="168"/>
      <c r="AM46" s="168"/>
      <c r="AN46" s="168"/>
      <c r="AO46" s="168"/>
      <c r="AP46" s="168"/>
      <c r="AQ46" s="168"/>
      <c r="AR46" s="168"/>
      <c r="AS46" s="168"/>
      <c r="AT46" s="168"/>
      <c r="AU46" s="168"/>
      <c r="AV46" s="169"/>
      <c r="AW46" s="170"/>
      <c r="AX46" s="89"/>
      <c r="AY46" s="106"/>
      <c r="AZ46" s="109"/>
      <c r="BA46" s="84"/>
      <c r="BB46" s="84"/>
      <c r="BC46" s="110"/>
    </row>
    <row r="47" spans="1:55">
      <c r="A47" s="19">
        <f t="shared" si="0"/>
        <v>45</v>
      </c>
      <c r="B47" s="163" t="s">
        <v>317</v>
      </c>
      <c r="C47" s="165">
        <f t="shared" ref="C47:X47" si="16">MAX(10*CLOCK_PERIOD,24)</f>
        <v>24</v>
      </c>
      <c r="D47" s="156">
        <f t="shared" si="16"/>
        <v>24</v>
      </c>
      <c r="E47" s="156">
        <f t="shared" si="16"/>
        <v>24</v>
      </c>
      <c r="F47" s="156">
        <f t="shared" si="16"/>
        <v>24</v>
      </c>
      <c r="G47" s="156">
        <f t="shared" si="16"/>
        <v>24</v>
      </c>
      <c r="H47" s="156">
        <f t="shared" si="16"/>
        <v>24</v>
      </c>
      <c r="I47" s="156">
        <f t="shared" si="16"/>
        <v>24</v>
      </c>
      <c r="J47" s="156">
        <f t="shared" si="16"/>
        <v>24</v>
      </c>
      <c r="K47" s="156">
        <f t="shared" si="16"/>
        <v>24</v>
      </c>
      <c r="L47" s="156">
        <f t="shared" si="16"/>
        <v>24</v>
      </c>
      <c r="M47" s="156">
        <f t="shared" si="16"/>
        <v>24</v>
      </c>
      <c r="N47" s="156">
        <f t="shared" si="16"/>
        <v>24</v>
      </c>
      <c r="O47" s="156">
        <f t="shared" si="16"/>
        <v>24</v>
      </c>
      <c r="P47" s="156">
        <f t="shared" si="16"/>
        <v>24</v>
      </c>
      <c r="Q47" s="156">
        <f t="shared" si="16"/>
        <v>24</v>
      </c>
      <c r="R47" s="156">
        <f t="shared" si="16"/>
        <v>24</v>
      </c>
      <c r="S47" s="156">
        <f t="shared" si="16"/>
        <v>24</v>
      </c>
      <c r="T47" s="156">
        <f t="shared" si="16"/>
        <v>24</v>
      </c>
      <c r="U47" s="156">
        <f t="shared" si="16"/>
        <v>24</v>
      </c>
      <c r="V47" s="156">
        <f t="shared" si="16"/>
        <v>24</v>
      </c>
      <c r="W47" s="156">
        <f t="shared" si="16"/>
        <v>24</v>
      </c>
      <c r="X47" s="156">
        <f t="shared" si="16"/>
        <v>24</v>
      </c>
      <c r="Y47" s="156">
        <f>MAX(10*CLOCK_PERIOD,24)</f>
        <v>24</v>
      </c>
      <c r="Z47" s="156">
        <f>MAX(10*CLOCK_PERIOD,24)</f>
        <v>24</v>
      </c>
      <c r="AA47" s="156">
        <f>MAX(10*CLOCK_PERIOD,24)</f>
        <v>24</v>
      </c>
      <c r="AB47" s="156">
        <f>MAX(10*CLOCK_PERIOD,24)</f>
        <v>24</v>
      </c>
      <c r="AC47" s="156">
        <f t="shared" ref="AC47:AI47" si="17">MAX(10*CLOCK_PERIOD,24)</f>
        <v>24</v>
      </c>
      <c r="AD47" s="156">
        <f t="shared" si="17"/>
        <v>24</v>
      </c>
      <c r="AE47" s="156">
        <f t="shared" si="17"/>
        <v>24</v>
      </c>
      <c r="AF47" s="156">
        <f t="shared" si="17"/>
        <v>24</v>
      </c>
      <c r="AG47" s="156">
        <f t="shared" si="17"/>
        <v>24</v>
      </c>
      <c r="AH47" s="156">
        <f t="shared" si="17"/>
        <v>24</v>
      </c>
      <c r="AI47" s="157">
        <f t="shared" si="17"/>
        <v>24</v>
      </c>
      <c r="AJ47" s="156">
        <f>MAX(10*CLOCK_PERIOD,24)</f>
        <v>24</v>
      </c>
      <c r="AK47" s="156">
        <f>MAX(10*CLOCK_PERIOD,24)</f>
        <v>24</v>
      </c>
      <c r="AL47" s="156">
        <f>MAX(10*CLOCK_PERIOD,24)</f>
        <v>24</v>
      </c>
      <c r="AM47" s="156">
        <f>MAX(10*CLOCK_PERIOD,24)</f>
        <v>24</v>
      </c>
      <c r="AN47" s="156">
        <f t="shared" ref="AN47:AW47" si="18">MAX(10*CLOCK_PERIOD,24)</f>
        <v>24</v>
      </c>
      <c r="AO47" s="156">
        <f t="shared" si="18"/>
        <v>24</v>
      </c>
      <c r="AP47" s="156">
        <f t="shared" si="18"/>
        <v>24</v>
      </c>
      <c r="AQ47" s="156">
        <f t="shared" si="18"/>
        <v>24</v>
      </c>
      <c r="AR47" s="156">
        <f t="shared" si="18"/>
        <v>24</v>
      </c>
      <c r="AS47" s="156">
        <f t="shared" si="18"/>
        <v>24</v>
      </c>
      <c r="AT47" s="156">
        <f t="shared" si="18"/>
        <v>24</v>
      </c>
      <c r="AU47" s="156">
        <f t="shared" si="18"/>
        <v>24</v>
      </c>
      <c r="AV47" s="157">
        <f t="shared" si="18"/>
        <v>24</v>
      </c>
      <c r="AW47" s="166">
        <f t="shared" si="18"/>
        <v>24</v>
      </c>
      <c r="AX47" s="88" t="s">
        <v>38</v>
      </c>
      <c r="AY47" s="106"/>
      <c r="AZ47" s="111">
        <f t="shared" ref="AZ47:BB47" si="19">MAX(10*CLOCK_PERIOD,24)</f>
        <v>24</v>
      </c>
      <c r="BA47" s="85">
        <f t="shared" si="19"/>
        <v>24</v>
      </c>
      <c r="BB47" s="85">
        <f t="shared" si="19"/>
        <v>24</v>
      </c>
      <c r="BC47" s="108">
        <f>MAX(AZ47:BB47)</f>
        <v>24</v>
      </c>
    </row>
    <row r="48" spans="1:55" ht="29.25" thickBot="1">
      <c r="B48" s="164"/>
      <c r="C48" s="176" t="s">
        <v>318</v>
      </c>
      <c r="D48" s="177" t="s">
        <v>318</v>
      </c>
      <c r="E48" s="177" t="s">
        <v>318</v>
      </c>
      <c r="F48" s="177" t="s">
        <v>318</v>
      </c>
      <c r="G48" s="177" t="s">
        <v>318</v>
      </c>
      <c r="H48" s="177" t="s">
        <v>318</v>
      </c>
      <c r="I48" s="177" t="s">
        <v>318</v>
      </c>
      <c r="J48" s="177" t="s">
        <v>318</v>
      </c>
      <c r="K48" s="177" t="s">
        <v>318</v>
      </c>
      <c r="L48" s="177" t="s">
        <v>318</v>
      </c>
      <c r="M48" s="177" t="s">
        <v>318</v>
      </c>
      <c r="N48" s="177" t="s">
        <v>318</v>
      </c>
      <c r="O48" s="177" t="s">
        <v>318</v>
      </c>
      <c r="P48" s="177" t="s">
        <v>318</v>
      </c>
      <c r="Q48" s="177" t="s">
        <v>318</v>
      </c>
      <c r="R48" s="177" t="s">
        <v>318</v>
      </c>
      <c r="S48" s="177" t="s">
        <v>318</v>
      </c>
      <c r="T48" s="177" t="s">
        <v>318</v>
      </c>
      <c r="U48" s="177" t="s">
        <v>318</v>
      </c>
      <c r="V48" s="177" t="s">
        <v>318</v>
      </c>
      <c r="W48" s="177" t="s">
        <v>318</v>
      </c>
      <c r="X48" s="177" t="s">
        <v>318</v>
      </c>
      <c r="Y48" s="177" t="s">
        <v>318</v>
      </c>
      <c r="Z48" s="177" t="s">
        <v>318</v>
      </c>
      <c r="AA48" s="177" t="s">
        <v>318</v>
      </c>
      <c r="AB48" s="177" t="s">
        <v>318</v>
      </c>
      <c r="AC48" s="177" t="s">
        <v>318</v>
      </c>
      <c r="AD48" s="177" t="s">
        <v>318</v>
      </c>
      <c r="AE48" s="177" t="s">
        <v>318</v>
      </c>
      <c r="AF48" s="177" t="s">
        <v>318</v>
      </c>
      <c r="AG48" s="177" t="s">
        <v>318</v>
      </c>
      <c r="AH48" s="177" t="s">
        <v>318</v>
      </c>
      <c r="AI48" s="178" t="s">
        <v>318</v>
      </c>
      <c r="AJ48" s="177" t="s">
        <v>318</v>
      </c>
      <c r="AK48" s="177" t="s">
        <v>318</v>
      </c>
      <c r="AL48" s="177" t="s">
        <v>318</v>
      </c>
      <c r="AM48" s="177" t="s">
        <v>318</v>
      </c>
      <c r="AN48" s="177" t="s">
        <v>318</v>
      </c>
      <c r="AO48" s="177" t="s">
        <v>318</v>
      </c>
      <c r="AP48" s="177" t="s">
        <v>318</v>
      </c>
      <c r="AQ48" s="177" t="s">
        <v>318</v>
      </c>
      <c r="AR48" s="177" t="s">
        <v>318</v>
      </c>
      <c r="AS48" s="177" t="s">
        <v>318</v>
      </c>
      <c r="AT48" s="177" t="s">
        <v>318</v>
      </c>
      <c r="AU48" s="177" t="s">
        <v>318</v>
      </c>
      <c r="AV48" s="178" t="s">
        <v>318</v>
      </c>
      <c r="AW48" s="179" t="s">
        <v>318</v>
      </c>
      <c r="AX48" s="91"/>
      <c r="AY48" s="106"/>
      <c r="AZ48" s="112" t="s">
        <v>318</v>
      </c>
      <c r="BA48" s="92" t="s">
        <v>318</v>
      </c>
      <c r="BB48" s="92" t="s">
        <v>318</v>
      </c>
      <c r="BC48" s="113"/>
    </row>
    <row r="49" spans="3:3">
      <c r="C49" s="120" t="s">
        <v>648</v>
      </c>
    </row>
    <row r="50" spans="3:3">
      <c r="C50" s="116" t="s">
        <v>636</v>
      </c>
    </row>
    <row r="51" spans="3:3">
      <c r="C51" s="120"/>
    </row>
    <row r="53" spans="3:3">
      <c r="C53" s="93" t="s">
        <v>529</v>
      </c>
    </row>
  </sheetData>
  <sheetProtection password="DF21" sheet="1" objects="1" scenarios="1"/>
  <mergeCells count="16">
    <mergeCell ref="S2:V2"/>
    <mergeCell ref="AZ2:BC2"/>
    <mergeCell ref="C2:E2"/>
    <mergeCell ref="F2:I2"/>
    <mergeCell ref="J2:L2"/>
    <mergeCell ref="M2:O2"/>
    <mergeCell ref="P2:R2"/>
    <mergeCell ref="AU2:AV2"/>
    <mergeCell ref="AR2:AT2"/>
    <mergeCell ref="W2:X2"/>
    <mergeCell ref="Y2:AB2"/>
    <mergeCell ref="AJ2:AM2"/>
    <mergeCell ref="AN2:AQ2"/>
    <mergeCell ref="AC2:AD2"/>
    <mergeCell ref="AE2:AG2"/>
    <mergeCell ref="AH2:AI2"/>
  </mergeCells>
  <phoneticPr fontId="14" type="noConversion"/>
  <dataValidations count="1">
    <dataValidation type="list" allowBlank="1" showInputMessage="1" showErrorMessage="1" sqref="AW4">
      <formula1>Speed_Grade_lookup</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dimension ref="B2:N74"/>
  <sheetViews>
    <sheetView topLeftCell="A34" zoomScaleNormal="100" workbookViewId="0">
      <selection activeCell="E15" sqref="E15"/>
    </sheetView>
  </sheetViews>
  <sheetFormatPr defaultColWidth="9.125" defaultRowHeight="15.75"/>
  <cols>
    <col min="1" max="1" width="4.5" style="144" customWidth="1"/>
    <col min="2" max="2" width="32" style="123" customWidth="1"/>
    <col min="3" max="3" width="9.125" style="124"/>
    <col min="4" max="4" width="9.125" style="144"/>
    <col min="5" max="5" width="24.5" style="123" customWidth="1"/>
    <col min="6" max="7" width="9.125" style="124"/>
    <col min="8" max="8" width="43.125" style="123" customWidth="1"/>
    <col min="9" max="9" width="9.125" style="124"/>
    <col min="10" max="10" width="9.125" style="144"/>
    <col min="11" max="11" width="24.625" style="123" customWidth="1"/>
    <col min="12" max="12" width="23.5" style="144" customWidth="1"/>
    <col min="13" max="13" width="9.125" style="124"/>
    <col min="14" max="16384" width="9.125" style="144"/>
  </cols>
  <sheetData>
    <row r="2" spans="2:13" s="142" customFormat="1">
      <c r="B2" s="139" t="s">
        <v>3</v>
      </c>
      <c r="C2" s="140"/>
      <c r="D2" s="141"/>
      <c r="E2" s="121" t="s">
        <v>4</v>
      </c>
      <c r="F2" s="122"/>
      <c r="G2" s="122"/>
      <c r="H2" s="126" t="s">
        <v>5</v>
      </c>
      <c r="I2" s="122"/>
      <c r="J2" s="141"/>
      <c r="K2" s="142" t="s">
        <v>24</v>
      </c>
      <c r="M2" s="122"/>
    </row>
    <row r="3" spans="2:13">
      <c r="B3" s="127" t="s">
        <v>74</v>
      </c>
      <c r="C3" s="128">
        <v>0</v>
      </c>
      <c r="D3" s="124"/>
      <c r="E3" s="123" t="s">
        <v>45</v>
      </c>
      <c r="F3" s="124">
        <v>1</v>
      </c>
      <c r="H3" s="123" t="s">
        <v>639</v>
      </c>
      <c r="I3" s="124">
        <v>0</v>
      </c>
      <c r="J3" s="124"/>
      <c r="K3" s="123">
        <v>800</v>
      </c>
      <c r="L3" s="143" t="s">
        <v>120</v>
      </c>
      <c r="M3" s="158">
        <f>MAX(3 * CLOCK_PERIOD, 7.5)</f>
        <v>7.5</v>
      </c>
    </row>
    <row r="4" spans="2:13">
      <c r="B4" s="127" t="s">
        <v>73</v>
      </c>
      <c r="C4" s="128">
        <v>1</v>
      </c>
      <c r="D4" s="124"/>
      <c r="E4" s="123" t="s">
        <v>46</v>
      </c>
      <c r="F4" s="124">
        <v>2</v>
      </c>
      <c r="H4" s="123" t="s">
        <v>45</v>
      </c>
      <c r="I4" s="124">
        <v>1</v>
      </c>
      <c r="J4" s="124"/>
      <c r="K4" s="123">
        <v>1066</v>
      </c>
      <c r="L4" s="143" t="s">
        <v>120</v>
      </c>
      <c r="M4" s="158">
        <f>MAX(3 * CLOCK_PERIOD, 7.5)</f>
        <v>7.5</v>
      </c>
    </row>
    <row r="5" spans="2:13">
      <c r="B5" s="127" t="s">
        <v>72</v>
      </c>
      <c r="C5" s="128">
        <v>2</v>
      </c>
      <c r="D5" s="124"/>
      <c r="E5" s="123" t="s">
        <v>42</v>
      </c>
      <c r="F5" s="124">
        <v>3</v>
      </c>
      <c r="H5" s="123" t="s">
        <v>46</v>
      </c>
      <c r="I5" s="124">
        <v>2</v>
      </c>
      <c r="J5" s="124"/>
      <c r="K5" s="123">
        <v>1333</v>
      </c>
      <c r="L5" s="143" t="s">
        <v>121</v>
      </c>
      <c r="M5" s="158">
        <f>MAX(3 * CLOCK_PERIOD, 6)</f>
        <v>6</v>
      </c>
    </row>
    <row r="6" spans="2:13">
      <c r="B6" s="127" t="s">
        <v>71</v>
      </c>
      <c r="C6" s="128">
        <v>3</v>
      </c>
      <c r="D6" s="124"/>
      <c r="E6" s="123" t="s">
        <v>44</v>
      </c>
      <c r="F6" s="124">
        <v>5</v>
      </c>
      <c r="K6" s="123">
        <v>1600</v>
      </c>
      <c r="L6" s="143" t="s">
        <v>121</v>
      </c>
      <c r="M6" s="158">
        <f>MAX(3 * CLOCK_PERIOD, 6)</f>
        <v>6</v>
      </c>
    </row>
    <row r="7" spans="2:13">
      <c r="B7" s="127"/>
      <c r="C7" s="128"/>
      <c r="E7" s="123" t="s">
        <v>43</v>
      </c>
      <c r="F7" s="124">
        <v>4</v>
      </c>
    </row>
    <row r="11" spans="2:13" s="142" customFormat="1">
      <c r="B11" s="145" t="s">
        <v>6</v>
      </c>
      <c r="C11" s="146"/>
      <c r="E11" s="126" t="s">
        <v>7</v>
      </c>
      <c r="F11" s="122"/>
      <c r="G11" s="122"/>
      <c r="H11" s="126" t="s">
        <v>142</v>
      </c>
      <c r="I11" s="122"/>
      <c r="K11" s="142" t="s">
        <v>29</v>
      </c>
      <c r="M11" s="122"/>
    </row>
    <row r="12" spans="2:13">
      <c r="B12" s="147" t="s">
        <v>42</v>
      </c>
      <c r="C12" s="148">
        <v>0</v>
      </c>
      <c r="E12" s="123" t="s">
        <v>48</v>
      </c>
      <c r="F12" s="124">
        <v>0</v>
      </c>
      <c r="H12" s="123" t="s">
        <v>54</v>
      </c>
      <c r="I12" s="124">
        <v>0</v>
      </c>
      <c r="J12" s="124"/>
      <c r="K12" s="123">
        <v>800</v>
      </c>
      <c r="L12" s="143" t="s">
        <v>120</v>
      </c>
      <c r="M12" s="158">
        <f>MAX(3 * CLOCK_PERIOD, 7.5)</f>
        <v>7.5</v>
      </c>
    </row>
    <row r="13" spans="2:13">
      <c r="B13" s="147" t="s">
        <v>47</v>
      </c>
      <c r="C13" s="148">
        <v>1</v>
      </c>
      <c r="E13" s="123" t="s">
        <v>49</v>
      </c>
      <c r="F13" s="124">
        <v>1</v>
      </c>
      <c r="H13" s="123" t="s">
        <v>52</v>
      </c>
      <c r="I13" s="124">
        <v>1</v>
      </c>
      <c r="J13" s="124"/>
      <c r="K13" s="123">
        <v>1066</v>
      </c>
      <c r="L13" s="143" t="s">
        <v>123</v>
      </c>
      <c r="M13" s="158">
        <f>MAX(3 * CLOCK_PERIOD, 5.625)</f>
        <v>5.625</v>
      </c>
    </row>
    <row r="14" spans="2:13">
      <c r="B14" s="144"/>
      <c r="E14" s="123" t="s">
        <v>50</v>
      </c>
      <c r="F14" s="124">
        <v>2</v>
      </c>
      <c r="H14" s="123" t="s">
        <v>53</v>
      </c>
      <c r="I14" s="124">
        <v>2</v>
      </c>
      <c r="J14" s="124"/>
      <c r="K14" s="123">
        <v>1333</v>
      </c>
      <c r="L14" s="143" t="s">
        <v>123</v>
      </c>
      <c r="M14" s="158">
        <f>MAX(3 * CLOCK_PERIOD, 5.625)</f>
        <v>5.625</v>
      </c>
    </row>
    <row r="15" spans="2:13">
      <c r="B15" s="144"/>
      <c r="E15" s="123" t="s">
        <v>51</v>
      </c>
      <c r="F15" s="124">
        <v>3</v>
      </c>
      <c r="K15" s="123">
        <v>1600</v>
      </c>
      <c r="L15" s="143" t="s">
        <v>517</v>
      </c>
      <c r="M15" s="158">
        <f>MAX(3 * CLOCK_PERIOD, 5)</f>
        <v>5</v>
      </c>
    </row>
    <row r="16" spans="2:13">
      <c r="B16" s="144"/>
      <c r="E16" s="127" t="s">
        <v>138</v>
      </c>
      <c r="F16" s="128">
        <v>4</v>
      </c>
    </row>
    <row r="17" spans="2:14">
      <c r="B17" s="144"/>
      <c r="E17" s="127" t="s">
        <v>139</v>
      </c>
      <c r="F17" s="128">
        <v>5</v>
      </c>
      <c r="H17" s="126" t="s">
        <v>608</v>
      </c>
    </row>
    <row r="18" spans="2:14">
      <c r="B18" s="144"/>
      <c r="E18" s="127" t="s">
        <v>140</v>
      </c>
      <c r="F18" s="128">
        <v>6</v>
      </c>
      <c r="H18" s="123" t="s">
        <v>583</v>
      </c>
      <c r="I18" s="124">
        <v>0</v>
      </c>
    </row>
    <row r="19" spans="2:14">
      <c r="B19" s="144"/>
      <c r="E19" s="127" t="s">
        <v>141</v>
      </c>
      <c r="F19" s="128">
        <v>7</v>
      </c>
      <c r="H19" s="123" t="s">
        <v>609</v>
      </c>
      <c r="I19" s="124">
        <v>1</v>
      </c>
    </row>
    <row r="20" spans="2:14">
      <c r="B20" s="144"/>
    </row>
    <row r="22" spans="2:14" s="142" customFormat="1">
      <c r="B22" s="126" t="s">
        <v>641</v>
      </c>
      <c r="C22" s="124"/>
      <c r="E22" s="126" t="s">
        <v>11</v>
      </c>
      <c r="F22" s="122"/>
      <c r="G22" s="122"/>
      <c r="H22" s="126" t="s">
        <v>14</v>
      </c>
      <c r="I22" s="122"/>
      <c r="M22" s="122"/>
    </row>
    <row r="23" spans="2:14">
      <c r="B23" s="123" t="s">
        <v>642</v>
      </c>
      <c r="C23" s="124">
        <v>1</v>
      </c>
      <c r="E23" s="123" t="s">
        <v>63</v>
      </c>
      <c r="F23" s="124">
        <v>0</v>
      </c>
      <c r="H23" s="123" t="s">
        <v>584</v>
      </c>
      <c r="I23" s="124">
        <v>0</v>
      </c>
      <c r="J23" s="124"/>
    </row>
    <row r="24" spans="2:14">
      <c r="B24" s="123" t="s">
        <v>643</v>
      </c>
      <c r="C24" s="124">
        <v>2</v>
      </c>
      <c r="E24" s="123" t="s">
        <v>64</v>
      </c>
      <c r="F24" s="124">
        <v>1</v>
      </c>
      <c r="H24" s="123" t="s">
        <v>585</v>
      </c>
      <c r="I24" s="124">
        <v>1</v>
      </c>
      <c r="J24" s="124"/>
    </row>
    <row r="25" spans="2:14">
      <c r="E25" s="123" t="s">
        <v>62</v>
      </c>
      <c r="F25" s="124">
        <v>2</v>
      </c>
    </row>
    <row r="26" spans="2:14">
      <c r="E26" s="123" t="s">
        <v>65</v>
      </c>
      <c r="F26" s="124">
        <v>3</v>
      </c>
    </row>
    <row r="27" spans="2:14">
      <c r="K27" s="144"/>
      <c r="N27" s="123"/>
    </row>
    <row r="28" spans="2:14">
      <c r="E28" s="144"/>
      <c r="H28" s="126" t="s">
        <v>613</v>
      </c>
      <c r="I28" s="144"/>
      <c r="K28" s="144"/>
      <c r="N28" s="123"/>
    </row>
    <row r="29" spans="2:14">
      <c r="H29" s="123" t="s">
        <v>615</v>
      </c>
      <c r="I29" s="124">
        <v>5</v>
      </c>
    </row>
    <row r="32" spans="2:14">
      <c r="B32" s="144"/>
    </row>
    <row r="33" spans="2:9">
      <c r="B33" s="126" t="s">
        <v>13</v>
      </c>
      <c r="C33" s="122"/>
      <c r="E33" s="126" t="s">
        <v>9</v>
      </c>
      <c r="F33" s="122"/>
      <c r="G33" s="122"/>
      <c r="H33" s="126" t="s">
        <v>580</v>
      </c>
    </row>
    <row r="34" spans="2:9">
      <c r="B34" s="123" t="s">
        <v>154</v>
      </c>
      <c r="C34" s="124">
        <v>0</v>
      </c>
      <c r="E34" s="123" t="s">
        <v>55</v>
      </c>
      <c r="F34" s="124">
        <v>2</v>
      </c>
      <c r="G34" s="124">
        <v>5</v>
      </c>
      <c r="H34" s="123">
        <v>800</v>
      </c>
    </row>
    <row r="35" spans="2:9">
      <c r="B35" s="123" t="s">
        <v>155</v>
      </c>
      <c r="C35" s="124">
        <v>1</v>
      </c>
      <c r="E35" s="123" t="s">
        <v>56</v>
      </c>
      <c r="F35" s="124">
        <v>4</v>
      </c>
      <c r="G35" s="124">
        <v>6</v>
      </c>
      <c r="H35" s="123">
        <v>1066</v>
      </c>
    </row>
    <row r="36" spans="2:9">
      <c r="B36" s="123" t="s">
        <v>156</v>
      </c>
      <c r="C36" s="124">
        <v>2</v>
      </c>
      <c r="E36" s="123" t="s">
        <v>57</v>
      </c>
      <c r="F36" s="124">
        <v>6</v>
      </c>
      <c r="G36" s="124">
        <v>7</v>
      </c>
      <c r="H36" s="123">
        <v>1333</v>
      </c>
    </row>
    <row r="37" spans="2:9">
      <c r="B37" s="123" t="s">
        <v>157</v>
      </c>
      <c r="C37" s="124">
        <v>3</v>
      </c>
      <c r="E37" s="123" t="s">
        <v>58</v>
      </c>
      <c r="F37" s="124">
        <v>8</v>
      </c>
      <c r="G37" s="124">
        <v>8</v>
      </c>
      <c r="H37" s="123">
        <v>1600</v>
      </c>
    </row>
    <row r="38" spans="2:9">
      <c r="E38" s="123" t="s">
        <v>59</v>
      </c>
      <c r="F38" s="124">
        <v>10</v>
      </c>
      <c r="G38" s="124">
        <v>9</v>
      </c>
    </row>
    <row r="39" spans="2:9">
      <c r="E39" s="123" t="s">
        <v>60</v>
      </c>
      <c r="F39" s="124">
        <v>12</v>
      </c>
      <c r="G39" s="124">
        <v>10</v>
      </c>
    </row>
    <row r="40" spans="2:9">
      <c r="E40" s="123" t="s">
        <v>61</v>
      </c>
      <c r="F40" s="124">
        <v>14</v>
      </c>
      <c r="G40" s="124">
        <v>11</v>
      </c>
    </row>
    <row r="41" spans="2:9">
      <c r="E41" s="127" t="s">
        <v>145</v>
      </c>
      <c r="F41" s="128">
        <v>1</v>
      </c>
      <c r="G41" s="128">
        <v>12</v>
      </c>
      <c r="H41" s="142" t="s">
        <v>614</v>
      </c>
    </row>
    <row r="42" spans="2:9">
      <c r="E42" s="127" t="s">
        <v>146</v>
      </c>
      <c r="F42" s="128">
        <v>3</v>
      </c>
      <c r="G42" s="128">
        <v>13</v>
      </c>
      <c r="H42" s="123" t="s">
        <v>616</v>
      </c>
      <c r="I42" s="124">
        <v>11</v>
      </c>
    </row>
    <row r="43" spans="2:9">
      <c r="E43" s="127" t="s">
        <v>147</v>
      </c>
      <c r="F43" s="128">
        <v>5</v>
      </c>
      <c r="G43" s="128">
        <v>14</v>
      </c>
      <c r="H43" s="123" t="s">
        <v>617</v>
      </c>
      <c r="I43" s="124">
        <v>13</v>
      </c>
    </row>
    <row r="44" spans="2:9">
      <c r="E44" s="127" t="s">
        <v>148</v>
      </c>
      <c r="F44" s="128">
        <v>7</v>
      </c>
      <c r="G44" s="128">
        <v>15</v>
      </c>
    </row>
    <row r="45" spans="2:9">
      <c r="E45" s="127" t="s">
        <v>149</v>
      </c>
      <c r="F45" s="128">
        <v>9</v>
      </c>
      <c r="G45" s="128">
        <v>16</v>
      </c>
    </row>
    <row r="48" spans="2:9">
      <c r="B48" s="126" t="s">
        <v>98</v>
      </c>
      <c r="E48" s="142" t="s">
        <v>100</v>
      </c>
      <c r="H48" s="142" t="s">
        <v>101</v>
      </c>
    </row>
    <row r="49" spans="2:9">
      <c r="B49" s="123" t="s">
        <v>105</v>
      </c>
      <c r="C49" s="124">
        <v>0</v>
      </c>
      <c r="E49" s="144" t="s">
        <v>452</v>
      </c>
      <c r="F49" s="124">
        <v>0</v>
      </c>
      <c r="H49" s="144" t="s">
        <v>107</v>
      </c>
      <c r="I49" s="124">
        <v>0</v>
      </c>
    </row>
    <row r="50" spans="2:9">
      <c r="B50" s="123" t="s">
        <v>127</v>
      </c>
      <c r="C50" s="124">
        <v>1</v>
      </c>
      <c r="E50" s="144" t="s">
        <v>453</v>
      </c>
      <c r="F50" s="124">
        <v>1</v>
      </c>
      <c r="H50" s="144" t="s">
        <v>225</v>
      </c>
      <c r="I50" s="124">
        <v>1</v>
      </c>
    </row>
    <row r="51" spans="2:9">
      <c r="H51" s="144" t="s">
        <v>227</v>
      </c>
      <c r="I51" s="124">
        <v>2</v>
      </c>
    </row>
    <row r="52" spans="2:9">
      <c r="B52" s="126" t="s">
        <v>99</v>
      </c>
      <c r="E52" s="144"/>
      <c r="H52" s="144" t="s">
        <v>229</v>
      </c>
      <c r="I52" s="124">
        <v>3</v>
      </c>
    </row>
    <row r="53" spans="2:9">
      <c r="B53" s="123" t="s">
        <v>106</v>
      </c>
      <c r="C53" s="124">
        <v>0</v>
      </c>
      <c r="E53" s="144"/>
      <c r="H53" s="144" t="s">
        <v>231</v>
      </c>
      <c r="I53" s="124">
        <v>4</v>
      </c>
    </row>
    <row r="54" spans="2:9">
      <c r="B54" s="123" t="s">
        <v>108</v>
      </c>
      <c r="C54" s="124">
        <v>1</v>
      </c>
      <c r="E54" s="144"/>
      <c r="H54" s="144" t="s">
        <v>226</v>
      </c>
      <c r="I54" s="124">
        <v>5</v>
      </c>
    </row>
    <row r="55" spans="2:9">
      <c r="H55" s="144" t="s">
        <v>228</v>
      </c>
      <c r="I55" s="124">
        <v>6</v>
      </c>
    </row>
    <row r="56" spans="2:9">
      <c r="H56" s="144" t="s">
        <v>230</v>
      </c>
      <c r="I56" s="124">
        <v>7</v>
      </c>
    </row>
    <row r="57" spans="2:9">
      <c r="H57" s="144"/>
    </row>
    <row r="58" spans="2:9">
      <c r="B58" s="126" t="s">
        <v>189</v>
      </c>
      <c r="E58" s="126" t="s">
        <v>313</v>
      </c>
      <c r="H58" s="142" t="s">
        <v>315</v>
      </c>
    </row>
    <row r="59" spans="2:9">
      <c r="B59" s="123">
        <v>5</v>
      </c>
      <c r="C59" s="124">
        <v>1</v>
      </c>
      <c r="E59" s="123">
        <v>4</v>
      </c>
      <c r="F59" s="124">
        <v>0</v>
      </c>
      <c r="H59" s="123">
        <v>12</v>
      </c>
      <c r="I59" s="124">
        <v>0</v>
      </c>
    </row>
    <row r="60" spans="2:9">
      <c r="B60" s="123">
        <v>6</v>
      </c>
      <c r="C60" s="124">
        <v>2</v>
      </c>
      <c r="E60" s="123">
        <v>5</v>
      </c>
      <c r="F60" s="124">
        <v>1</v>
      </c>
      <c r="H60" s="123">
        <v>13</v>
      </c>
      <c r="I60" s="124">
        <v>1</v>
      </c>
    </row>
    <row r="61" spans="2:9">
      <c r="B61" s="123">
        <v>7</v>
      </c>
      <c r="C61" s="124">
        <v>3</v>
      </c>
      <c r="H61" s="123">
        <v>14</v>
      </c>
      <c r="I61" s="124">
        <v>2</v>
      </c>
    </row>
    <row r="62" spans="2:9">
      <c r="B62" s="123">
        <v>8</v>
      </c>
      <c r="C62" s="124">
        <v>4</v>
      </c>
      <c r="H62" s="123">
        <v>15</v>
      </c>
      <c r="I62" s="124">
        <v>3</v>
      </c>
    </row>
    <row r="63" spans="2:9">
      <c r="B63" s="123">
        <v>9</v>
      </c>
      <c r="C63" s="124">
        <v>5</v>
      </c>
      <c r="E63" s="126" t="s">
        <v>316</v>
      </c>
      <c r="H63" s="123">
        <v>16</v>
      </c>
      <c r="I63" s="124">
        <v>4</v>
      </c>
    </row>
    <row r="64" spans="2:9">
      <c r="B64" s="123">
        <v>10</v>
      </c>
      <c r="C64" s="124">
        <v>5</v>
      </c>
      <c r="E64" s="123">
        <v>4</v>
      </c>
      <c r="F64" s="124">
        <v>0</v>
      </c>
      <c r="H64" s="123">
        <v>17</v>
      </c>
      <c r="I64" s="124">
        <v>5</v>
      </c>
    </row>
    <row r="65" spans="2:9">
      <c r="B65" s="123">
        <v>11</v>
      </c>
      <c r="C65" s="124">
        <v>6</v>
      </c>
      <c r="E65" s="123">
        <v>5</v>
      </c>
      <c r="F65" s="124">
        <v>1</v>
      </c>
      <c r="H65" s="144"/>
    </row>
    <row r="66" spans="2:9">
      <c r="B66" s="123">
        <v>12</v>
      </c>
      <c r="C66" s="124">
        <v>6</v>
      </c>
      <c r="E66" s="123">
        <v>6</v>
      </c>
      <c r="F66" s="124">
        <v>2</v>
      </c>
      <c r="H66" s="144"/>
    </row>
    <row r="67" spans="2:9">
      <c r="B67" s="123">
        <v>13</v>
      </c>
      <c r="C67" s="124">
        <v>7</v>
      </c>
      <c r="E67" s="123">
        <v>7</v>
      </c>
      <c r="F67" s="124">
        <v>3</v>
      </c>
      <c r="H67" s="142" t="s">
        <v>455</v>
      </c>
    </row>
    <row r="68" spans="2:9">
      <c r="B68" s="123">
        <v>14</v>
      </c>
      <c r="C68" s="124">
        <v>7</v>
      </c>
      <c r="H68" s="144" t="s">
        <v>456</v>
      </c>
      <c r="I68" s="124">
        <v>0</v>
      </c>
    </row>
    <row r="69" spans="2:9">
      <c r="B69" s="123">
        <v>15</v>
      </c>
      <c r="C69" s="124">
        <v>0</v>
      </c>
      <c r="H69" s="144" t="s">
        <v>457</v>
      </c>
      <c r="I69" s="124">
        <v>1</v>
      </c>
    </row>
    <row r="70" spans="2:9">
      <c r="B70" s="123">
        <v>16</v>
      </c>
      <c r="C70" s="124">
        <v>0</v>
      </c>
      <c r="H70" s="144"/>
    </row>
    <row r="74" spans="2:9">
      <c r="B74" s="126" t="s">
        <v>529</v>
      </c>
    </row>
  </sheetData>
  <sheetProtection password="DF21" sheet="1" objects="1" scenarios="1"/>
  <phoneticPr fontId="1"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vt:i4>
      </vt:variant>
      <vt:variant>
        <vt:lpstr>命名范围</vt:lpstr>
      </vt:variant>
      <vt:variant>
        <vt:i4>118</vt:i4>
      </vt:variant>
    </vt:vector>
  </HeadingPairs>
  <TitlesOfParts>
    <vt:vector size="125" baseType="lpstr">
      <vt:lpstr>Notes</vt:lpstr>
      <vt:lpstr>Instructions</vt:lpstr>
      <vt:lpstr>Design Parameters</vt:lpstr>
      <vt:lpstr>Controller Registers</vt:lpstr>
      <vt:lpstr>PHY Registers</vt:lpstr>
      <vt:lpstr>Datasheet</vt:lpstr>
      <vt:lpstr>Lookup</vt:lpstr>
      <vt:lpstr>address_mirroring_val</vt:lpstr>
      <vt:lpstr>ASR</vt:lpstr>
      <vt:lpstr>asr_val</vt:lpstr>
      <vt:lpstr>CL</vt:lpstr>
      <vt:lpstr>cl_val</vt:lpstr>
      <vt:lpstr>CLOCK_FREQ</vt:lpstr>
      <vt:lpstr>CLOCK_PERIOD</vt:lpstr>
      <vt:lpstr>CWL</vt:lpstr>
      <vt:lpstr>cwl_val</vt:lpstr>
      <vt:lpstr>datasheet_table</vt:lpstr>
      <vt:lpstr>DDR_TERM</vt:lpstr>
      <vt:lpstr>ddr_term_val</vt:lpstr>
      <vt:lpstr>desc_address_mirroring</vt:lpstr>
      <vt:lpstr>desc_ASR</vt:lpstr>
      <vt:lpstr>desc_CL</vt:lpstr>
      <vt:lpstr>desc_COMMAND_DELAY</vt:lpstr>
      <vt:lpstr>desc_CWL</vt:lpstr>
      <vt:lpstr>desc_Datasheet_Table</vt:lpstr>
      <vt:lpstr>desc_DDR_TERM</vt:lpstr>
      <vt:lpstr>desc_Device</vt:lpstr>
      <vt:lpstr>desc_DYN_ODT</vt:lpstr>
      <vt:lpstr>desc_EBANK</vt:lpstr>
      <vt:lpstr>desc_ECC_Byte</vt:lpstr>
      <vt:lpstr>desc_IBANK</vt:lpstr>
      <vt:lpstr>desc_IBANK_POS</vt:lpstr>
      <vt:lpstr>desc_INITREF_DIS</vt:lpstr>
      <vt:lpstr>desc_MODE_CYCLE_TIME</vt:lpstr>
      <vt:lpstr>desc_MODE_UPDATE_DELAY</vt:lpstr>
      <vt:lpstr>desc_NM</vt:lpstr>
      <vt:lpstr>desc_PAGESIZE</vt:lpstr>
      <vt:lpstr>desc_PASR</vt:lpstr>
      <vt:lpstr>desc_PHY_MODE</vt:lpstr>
      <vt:lpstr>desc_PHY_ODT</vt:lpstr>
      <vt:lpstr>desc_PHY_ZO</vt:lpstr>
      <vt:lpstr>desc_ROWSIZE</vt:lpstr>
      <vt:lpstr>desc_SDRAM_DRIVE</vt:lpstr>
      <vt:lpstr>desc_Speed_Grade</vt:lpstr>
      <vt:lpstr>desc_SRT</vt:lpstr>
      <vt:lpstr>desc_WRITE_RECOVERY</vt:lpstr>
      <vt:lpstr>DYN_ODT</vt:lpstr>
      <vt:lpstr>dyn_odt_val</vt:lpstr>
      <vt:lpstr>EBANK</vt:lpstr>
      <vt:lpstr>ebank_val</vt:lpstr>
      <vt:lpstr>ecc_byte_val</vt:lpstr>
      <vt:lpstr>IBANK</vt:lpstr>
      <vt:lpstr>IBANK_POS</vt:lpstr>
      <vt:lpstr>ibank_pos_0</vt:lpstr>
      <vt:lpstr>ibank_pos_1</vt:lpstr>
      <vt:lpstr>ibank_pos_2</vt:lpstr>
      <vt:lpstr>ibank_pos_3</vt:lpstr>
      <vt:lpstr>ibank_pos_val</vt:lpstr>
      <vt:lpstr>ibank_val</vt:lpstr>
      <vt:lpstr>INITREF_DIS</vt:lpstr>
      <vt:lpstr>initref_dis_val</vt:lpstr>
      <vt:lpstr>NM</vt:lpstr>
      <vt:lpstr>nm_val</vt:lpstr>
      <vt:lpstr>PAGESIZE</vt:lpstr>
      <vt:lpstr>pagesize_val</vt:lpstr>
      <vt:lpstr>PASR</vt:lpstr>
      <vt:lpstr>pasr_val</vt:lpstr>
      <vt:lpstr>phy_accc_zo_val</vt:lpstr>
      <vt:lpstr>phy_data_zo_val</vt:lpstr>
      <vt:lpstr>phy_mode_val</vt:lpstr>
      <vt:lpstr>phy_odt_val</vt:lpstr>
      <vt:lpstr>refresh_clocks_ext_temp</vt:lpstr>
      <vt:lpstr>refresh_clocks_normal</vt:lpstr>
      <vt:lpstr>refresh_period_normal</vt:lpstr>
      <vt:lpstr>SDRAM_DRIVE</vt:lpstr>
      <vt:lpstr>sdram_drive_val</vt:lpstr>
      <vt:lpstr>set_DDR_TERM</vt:lpstr>
      <vt:lpstr>set_IBANK_POS</vt:lpstr>
      <vt:lpstr>Speed_Grade_lookup</vt:lpstr>
      <vt:lpstr>SRT</vt:lpstr>
      <vt:lpstr>srt_val</vt:lpstr>
      <vt:lpstr>t_ccd_lookup_val</vt:lpstr>
      <vt:lpstr>t_ccd_val</vt:lpstr>
      <vt:lpstr>T_CKE</vt:lpstr>
      <vt:lpstr>t_cke_val</vt:lpstr>
      <vt:lpstr>t_ckesr_val</vt:lpstr>
      <vt:lpstr>t_dllk_val</vt:lpstr>
      <vt:lpstr>t_faw_val</vt:lpstr>
      <vt:lpstr>t_mod_lookup_val</vt:lpstr>
      <vt:lpstr>t_mod_val</vt:lpstr>
      <vt:lpstr>t_mrd_lookup_val</vt:lpstr>
      <vt:lpstr>t_mrd_val</vt:lpstr>
      <vt:lpstr>t_ras_val</vt:lpstr>
      <vt:lpstr>t_rc_val</vt:lpstr>
      <vt:lpstr>t_rcd_val</vt:lpstr>
      <vt:lpstr>T_RFC</vt:lpstr>
      <vt:lpstr>t_rfc_val</vt:lpstr>
      <vt:lpstr>t_rp_val</vt:lpstr>
      <vt:lpstr>t_rrd_emif_val</vt:lpstr>
      <vt:lpstr>t_rrd_val</vt:lpstr>
      <vt:lpstr>t_rtp_val</vt:lpstr>
      <vt:lpstr>t_wlmrd_val</vt:lpstr>
      <vt:lpstr>t_wlo_val</vt:lpstr>
      <vt:lpstr>t_wr_lookup_val</vt:lpstr>
      <vt:lpstr>t_wr_val</vt:lpstr>
      <vt:lpstr>t_wtr_val</vt:lpstr>
      <vt:lpstr>t_xp_val</vt:lpstr>
      <vt:lpstr>t_xpdll_val</vt:lpstr>
      <vt:lpstr>t_xs_val</vt:lpstr>
      <vt:lpstr>t_xsdll_val</vt:lpstr>
      <vt:lpstr>t_xsnr_val</vt:lpstr>
      <vt:lpstr>t_xsrd_val</vt:lpstr>
      <vt:lpstr>t_zqcs_val</vt:lpstr>
      <vt:lpstr>tcke_val</vt:lpstr>
      <vt:lpstr>tras_val</vt:lpstr>
      <vt:lpstr>trc_val</vt:lpstr>
      <vt:lpstr>trcd_val</vt:lpstr>
      <vt:lpstr>trp_val</vt:lpstr>
      <vt:lpstr>trrd_val</vt:lpstr>
      <vt:lpstr>trtp_val</vt:lpstr>
      <vt:lpstr>twr_val</vt:lpstr>
      <vt:lpstr>twtr_val</vt:lpstr>
      <vt:lpstr>txp_val</vt:lpstr>
      <vt:lpstr>txsnr_val</vt:lpstr>
      <vt:lpstr>txsrd_val</vt:lpstr>
    </vt:vector>
  </TitlesOfParts>
  <Company>Texas Instruments Incorporated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a0271760</dc:creator>
  <cp:lastModifiedBy>yuhaitao</cp:lastModifiedBy>
  <dcterms:created xsi:type="dcterms:W3CDTF">2011-01-20T18:08:26Z</dcterms:created>
  <dcterms:modified xsi:type="dcterms:W3CDTF">2018-07-30T02:16:37Z</dcterms:modified>
</cp:coreProperties>
</file>