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2500" windowHeight="8868" tabRatio="492" activeTab="0"/>
  </bookViews>
  <sheets>
    <sheet name="DESIGN INPUTS AND CALCULATIONS" sheetId="1" r:id="rId1"/>
    <sheet name="SCHEMATIC" sheetId="2" r:id="rId2"/>
    <sheet name="data" sheetId="3" r:id="rId3"/>
    <sheet name="VCOMP" sheetId="4" r:id="rId4"/>
  </sheets>
  <externalReferences>
    <externalReference r:id="rId7"/>
  </externalReferences>
  <definedNames>
    <definedName name="a_1">'data'!$H$39</definedName>
    <definedName name="a_2">'data'!$H$49</definedName>
    <definedName name="a_3">'data'!$H$60</definedName>
    <definedName name="a_4">'data'!$H$65</definedName>
    <definedName name="Alpha1_A">'[1]Ideal ICOMP_MH'!$B$309</definedName>
    <definedName name="Alpha1_B">'[1]Ideal ICOMP_MH'!$B$310</definedName>
    <definedName name="Alpha1_C">'[1]Ideal ICOMP_MH'!$B$311</definedName>
    <definedName name="Alpha2">'[1]Ideal ICOMP_MH'!$B$313</definedName>
    <definedName name="b_1">'data'!$H$40</definedName>
    <definedName name="b_2">'data'!$H$50</definedName>
    <definedName name="b_3">'data'!$H$61</definedName>
    <definedName name="b_4">'data'!$H$66</definedName>
    <definedName name="Beta">'[1]Ideal ICOMP_MH'!$B$314</definedName>
    <definedName name="c_1">'data'!$H$41</definedName>
    <definedName name="c_2">'data'!$H$51</definedName>
    <definedName name="c_3">'data'!$H$62</definedName>
    <definedName name="C_f1">'data'!$B$245</definedName>
    <definedName name="C_f2">'data'!$B$257</definedName>
    <definedName name="C_s1">'data'!$A$234</definedName>
    <definedName name="C_s2">'data'!$A$247</definedName>
    <definedName name="Cicomp">'DESIGN INPUTS AND CALCULATIONS'!$C$190</definedName>
    <definedName name="Cicomp_maxrcmd">'DESIGN INPUTS AND CALCULATIONS'!$C$188</definedName>
    <definedName name="Cicomp_minrcmd">'DESIGN INPUTS AND CALCULATIONS'!$C$189</definedName>
    <definedName name="CICOMPmax_initial">'data'!$F$251</definedName>
    <definedName name="CICOMPmin_initial">'data'!$F$256</definedName>
    <definedName name="Cin">'DESIGN INPUTS AND CALCULATIONS'!$C$69</definedName>
    <definedName name="Cin_initial">'data'!$F$227</definedName>
    <definedName name="Cin_rcmd">'DESIGN INPUTS AND CALCULATIONS'!$C$68</definedName>
    <definedName name="Cisense">'DESIGN INPUTS AND CALCULATIONS'!$C$126</definedName>
    <definedName name="Cisense_initial">'data'!$F$275</definedName>
    <definedName name="Coss">'DESIGN INPUTS AND CALCULATIONS'!$C$104</definedName>
    <definedName name="Cout">'DESIGN INPUTS AND CALCULATIONS'!$C$134</definedName>
    <definedName name="Cout_initial">'data'!$F$235</definedName>
    <definedName name="Cout_rcmd">'DESIGN INPUTS AND CALCULATIONS'!$C$133</definedName>
    <definedName name="Cvcomp">'DESIGN INPUTS AND CALCULATIONS'!$C$261</definedName>
    <definedName name="Cvcomp_p">'DESIGN INPUTS AND CALCULATIONS'!$C$267</definedName>
    <definedName name="Cvcomp_p_initial">'data'!$F$270</definedName>
    <definedName name="Cvcomp_p_rcmd">'DESIGN INPUTS AND CALCULATIONS'!$C$266</definedName>
    <definedName name="Cvcomp_rcmd">'DESIGN INPUTS AND CALCULATIONS'!$C$260</definedName>
    <definedName name="CVCOMPinitial">'data'!$F$261</definedName>
    <definedName name="Cvins">'DESIGN INPUTS AND CALCULATIONS'!$C$312</definedName>
    <definedName name="Cvins_actual">'DESIGN INPUTS AND CALCULATIONS'!$C$313</definedName>
    <definedName name="Cvsense">'DESIGN INPUTS AND CALCULATIONS'!$C$152</definedName>
    <definedName name="Cvsense_initial">'data'!$F$244</definedName>
    <definedName name="d_1">'data'!$H$42</definedName>
    <definedName name="d_2">'data'!$H$52</definedName>
    <definedName name="delta_Rfb1">'DESIGN INPUTS AND CALCULATIONS'!#REF!</definedName>
    <definedName name="delta_Rfb2">'DESIGN INPUTS AND CALCULATIONS'!#REF!</definedName>
    <definedName name="Dmax">'DESIGN INPUTS AND CALCULATIONS'!$C$74</definedName>
    <definedName name="E_48f">'data'!$B$228</definedName>
    <definedName name="E_48s">'data'!$A$181</definedName>
    <definedName name="eff">'DESIGN INPUTS AND CALCULATIONS'!$C$35</definedName>
    <definedName name="f_Iavg">'DESIGN INPUTS AND CALCULATIONS'!$C$188</definedName>
    <definedName name="fiavg">'DESIGN INPUTS AND CALCULATIONS'!$C$191</definedName>
    <definedName name="fline_max">'DESIGN INPUTS AND CALCULATIONS'!$C$26</definedName>
    <definedName name="fline_min">'DESIGN INPUTS AND CALCULATIONS'!$C$25</definedName>
    <definedName name="fline_nom">'DESIGN INPUTS AND CALCULATIONS'!#REF!</definedName>
    <definedName name="fpole">'DESIGN INPUTS AND CALCULATIONS'!$C$265</definedName>
    <definedName name="fPWM_PSpole">'DESIGN INPUTS AND CALCULATIONS'!$C$257</definedName>
    <definedName name="fsw">'DESIGN INPUTS AND CALCULATIONS'!$C$41</definedName>
    <definedName name="fSW_target">'DESIGN INPUTS AND CALCULATIONS'!$C$38</definedName>
    <definedName name="ftyp">'data'!$H$33</definedName>
    <definedName name="fv">'DESIGN INPUTS AND CALCULATIONS'!$C$258</definedName>
    <definedName name="fzero">'DESIGN INPUTS AND CALCULATIONS'!$C$264</definedName>
    <definedName name="G">'[1]Ideal ICOMP_MH'!$B$315</definedName>
    <definedName name="gmi">'data'!$F$249</definedName>
    <definedName name="gmv">'data'!$I$249</definedName>
    <definedName name="GVL_dB">'DESIGN INPUTS AND CALCULATIONS'!$C$259</definedName>
    <definedName name="I_Lpeak">'DESIGN INPUTS AND CALCULATIONS'!$C$75</definedName>
    <definedName name="Ibridge">'DESIGN INPUTS AND CALCULATIONS'!$C$57</definedName>
    <definedName name="Icout_2fline">'DESIGN INPUTS AND CALCULATIONS'!$C$137</definedName>
    <definedName name="Icout_HF">'DESIGN INPUTS AND CALCULATIONS'!$C$138</definedName>
    <definedName name="Icout_rms">'DESIGN INPUTS AND CALCULATIONS'!$C$139</definedName>
    <definedName name="Ids_rms">'DESIGN INPUTS AND CALCULATIONS'!$C$99</definedName>
    <definedName name="Ifuse">'DESIGN INPUTS AND CALCULATIONS'!$C$49</definedName>
    <definedName name="Iin_avg_max">'DESIGN INPUTS AND CALCULATIONS'!$C$48</definedName>
    <definedName name="Iin_peak_max">'DESIGN INPUTS AND CALCULATIONS'!$C$47</definedName>
    <definedName name="Iin_rms_max">'DESIGN INPUTS AND CALCULATIONS'!$C$46</definedName>
    <definedName name="Iinrush">'DESIGN INPUTS AND CALCULATIONS'!$C$124</definedName>
    <definedName name="Il_peak_actual">'DESIGN INPUTS AND CALCULATIONS'!$C$79</definedName>
    <definedName name="Iout">'DESIGN INPUTS AND CALCULATIONS'!$C$37</definedName>
    <definedName name="Iout_OC">'DESIGN INPUTS AND CALCULATIONS'!$C$121</definedName>
    <definedName name="Ipcl">'DESIGN INPUTS AND CALCULATIONS'!$C$122</definedName>
    <definedName name="Iripple">'DESIGN INPUTS AND CALCULATIONS'!$C$66</definedName>
    <definedName name="Iripple_actual">'DESIGN INPUTS AND CALCULATIONS'!$C$78</definedName>
    <definedName name="Isoc">'DESIGN INPUTS AND CALCULATIONS'!$C$119</definedName>
    <definedName name="K_1">'data'!$H$31</definedName>
    <definedName name="K_1V2">'data'!$H$43</definedName>
    <definedName name="K_1V3">'data'!$H$53</definedName>
    <definedName name="K_2V2">'data'!$H$44</definedName>
    <definedName name="K_2V3">'data'!$H$54</definedName>
    <definedName name="K_3V2">'data'!$H$45</definedName>
    <definedName name="K_3V3">'data'!$H$55</definedName>
    <definedName name="K_4V2">'data'!$H$46</definedName>
    <definedName name="K_4V3">'data'!$H$56</definedName>
    <definedName name="K_5V3">'data'!$H$57</definedName>
    <definedName name="K_FQ">'data'!$H$32</definedName>
    <definedName name="kHz">'data'!$H$7</definedName>
    <definedName name="kOhms">'data'!$H$18</definedName>
    <definedName name="L_I_ripple_factor">'DESIGN INPUTS AND CALCULATIONS'!$C$64</definedName>
    <definedName name="Lbst">'DESIGN INPUTS AND CALCULATIONS'!$C$77</definedName>
    <definedName name="Lbst_rcmd">'DESIGN INPUTS AND CALCULATIONS'!$C$76</definedName>
    <definedName name="Lripplefactor_actual">'DESIGN INPUTS AND CALCULATIONS'!$C$80</definedName>
    <definedName name="M_1">'DESIGN INPUTS AND CALCULATIONS'!$C$185</definedName>
    <definedName name="M_2">'DESIGN INPUTS AND CALCULATIONS'!$C$186</definedName>
    <definedName name="M_3">'DESIGN INPUTS AND CALCULATIONS'!$C$187</definedName>
    <definedName name="M1M2">'data'!$H$35</definedName>
    <definedName name="M1M2_calc">'DESIGN INPUTS AND CALCULATIONS'!$C$183</definedName>
    <definedName name="mA">'data'!$H$10</definedName>
    <definedName name="MegOhm">'data'!$H$22</definedName>
    <definedName name="mH">'data'!$H$23</definedName>
    <definedName name="MHz">'data'!$H$16</definedName>
    <definedName name="mOhms">'data'!$H$8</definedName>
    <definedName name="ms">'data'!$H$9</definedName>
    <definedName name="mV">'data'!$H$5</definedName>
    <definedName name="mW">'data'!$H$14</definedName>
    <definedName name="nC">'data'!$H$19</definedName>
    <definedName name="nF">'data'!$H$20</definedName>
    <definedName name="Nholdup">'DESIGN INPUTS AND CALCULATIONS'!$C$131</definedName>
    <definedName name="Nibop">'DESIGN INPUTS AND CALCULATIONS'!$C$311</definedName>
    <definedName name="Nibop_actual">'DESIGN INPUTS AND CALCULATIONS'!$C$314</definedName>
    <definedName name="ns">'data'!$H$13</definedName>
    <definedName name="P_FET">'DESIGN INPUTS AND CALCULATIONS'!$C$111</definedName>
    <definedName name="P_FETcond">'DESIGN INPUTS AND CALCULATIONS'!$C$109</definedName>
    <definedName name="P_FETgate">'DESIGN INPUTS AND CALCULATIONS'!$C$108</definedName>
    <definedName name="P_FETsw">'DESIGN INPUTS AND CALCULATIONS'!$C$110</definedName>
    <definedName name="P_Rsense">'DESIGN INPUTS AND CALCULATIONS'!$C$120</definedName>
    <definedName name="P_rvins">'DESIGN INPUTS AND CALCULATIONS'!$C$310</definedName>
    <definedName name="P_rvins1">'DESIGN INPUTS AND CALCULATIONS'!$C$310</definedName>
    <definedName name="Pbridge">'DESIGN INPUTS AND CALCULATIONS'!$C$59</definedName>
    <definedName name="Pdiode">'DESIGN INPUTS AND CALCULATIONS'!$C$91</definedName>
    <definedName name="Pdiode_cond">'DESIGN INPUTS AND CALCULATIONS'!$C$89</definedName>
    <definedName name="Pdiode_reverse">'DESIGN INPUTS AND CALCULATIONS'!$C$90</definedName>
    <definedName name="Pdivider">'DESIGN INPUTS AND CALCULATIONS'!$C$153</definedName>
    <definedName name="percent_load">'DESIGN INPUTS AND CALCULATIONS'!$J$186</definedName>
    <definedName name="PF">'DESIGN INPUTS AND CALCULATIONS'!$C$34</definedName>
    <definedName name="picoF">'data'!$H$15</definedName>
    <definedName name="Pin_max">'DESIGN INPUTS AND CALCULATIONS'!$C$45</definedName>
    <definedName name="Pout">'DESIGN INPUTS AND CALCULATIONS'!$C$32</definedName>
    <definedName name="_xlnm.Print_Area" localSheetId="0">'DESIGN INPUTS AND CALCULATIONS'!$A$1:$E$49</definedName>
    <definedName name="Prsense">'DESIGN INPUTS AND CALCULATIONS'!$C$120</definedName>
    <definedName name="Pvins">'DESIGN INPUTS AND CALCULATIONS'!$C$310</definedName>
    <definedName name="Qg">'DESIGN INPUTS AND CALCULATIONS'!$C$101</definedName>
    <definedName name="Qrr">'DESIGN INPUTS AND CALCULATIONS'!$C$85</definedName>
    <definedName name="R_fb1">'DESIGN INPUTS AND CALCULATIONS'!$C$144</definedName>
    <definedName name="R_fb2">'DESIGN INPUTS AND CALCULATIONS'!$C$146</definedName>
    <definedName name="R_fb2_rcmd">'DESIGN INPUTS AND CALCULATIONS'!$C$145</definedName>
    <definedName name="Rchs_bridge">'DESIGN INPUTS AND CALCULATIONS'!$C$55</definedName>
    <definedName name="Rds_on">'DESIGN INPUTS AND CALCULATIONS'!$C$100</definedName>
    <definedName name="Rfb1_rcmd">'DESIGN INPUTS AND CALCULATIONS'!$C$143</definedName>
    <definedName name="Rfb1_tempco">'DESIGN INPUTS AND CALCULATIONS'!#REF!</definedName>
    <definedName name="Rfb2_tempco">'DESIGN INPUTS AND CALCULATIONS'!#REF!</definedName>
    <definedName name="Rfb2initial">'data'!$F$241</definedName>
    <definedName name="Rfreq">'DESIGN INPUTS AND CALCULATIONS'!$C$40</definedName>
    <definedName name="Rfreq_initial">'data'!$F$232</definedName>
    <definedName name="Rfreq_rcmd">'DESIGN INPUTS AND CALCULATIONS'!$C$39</definedName>
    <definedName name="Risense">'DESIGN INPUTS AND CALCULATIONS'!$C$125</definedName>
    <definedName name="Rjc_bridge">'DESIGN INPUTS AND CALCULATIONS'!$C$54</definedName>
    <definedName name="Rsense">'DESIGN INPUTS AND CALCULATIONS'!$C$117</definedName>
    <definedName name="Rsense_ideal">'DESIGN INPUTS AND CALCULATIONS'!$C$116</definedName>
    <definedName name="Rth_case_hs">'DESIGN INPUTS AND CALCULATIONS'!$C$88</definedName>
    <definedName name="Rth_CHS_FET">'DESIGN INPUTS AND CALCULATIONS'!$C$107</definedName>
    <definedName name="Rth_diode">'DESIGN INPUTS AND CALCULATIONS'!$C$87</definedName>
    <definedName name="Rth_hs_bridge">'DESIGN INPUTS AND CALCULATIONS'!$C$60</definedName>
    <definedName name="Rth_hs_diode">'DESIGN INPUTS AND CALCULATIONS'!$C$92</definedName>
    <definedName name="Rth_hs_FET">'DESIGN INPUTS AND CALCULATIONS'!$C$112</definedName>
    <definedName name="Rth_jc_FET">'DESIGN INPUTS AND CALCULATIONS'!$C$106</definedName>
    <definedName name="Rvcomp">'DESIGN INPUTS AND CALCULATIONS'!$C$263</definedName>
    <definedName name="Rvcomp_initial">'data'!$F$266</definedName>
    <definedName name="Rvcomp_rcmd">'DESIGN INPUTS AND CALCULATIONS'!$C$262</definedName>
    <definedName name="Rvins1">'DESIGN INPUTS AND CALCULATIONS'!$C$306</definedName>
    <definedName name="Rvins2">'DESIGN INPUTS AND CALCULATIONS'!$C$309</definedName>
    <definedName name="t_holdup">'DESIGN INPUTS AND CALCULATIONS'!$C$132</definedName>
    <definedName name="Tamb">'DESIGN INPUTS AND CALCULATIONS'!$C$36</definedName>
    <definedName name="tf_FET">'DESIGN INPUTS AND CALCULATIONS'!$C$103</definedName>
    <definedName name="Tj_bridge">'DESIGN INPUTS AND CALCULATIONS'!$C$56</definedName>
    <definedName name="Tj_diode">'DESIGN INPUTS AND CALCULATIONS'!$C$86</definedName>
    <definedName name="Tj_FET">'DESIGN INPUTS AND CALCULATIONS'!$C$105</definedName>
    <definedName name="tr_FET">'DESIGN INPUTS AND CALCULATIONS'!$C$102</definedName>
    <definedName name="uA">'data'!$H$17</definedName>
    <definedName name="uC">'data'!$H$21</definedName>
    <definedName name="uF">'data'!$H$6</definedName>
    <definedName name="uH">'data'!$H$12</definedName>
    <definedName name="us">'data'!$H$11</definedName>
    <definedName name="V_ripplefactor">'DESIGN INPUTS AND CALCULATIONS'!$C$65</definedName>
    <definedName name="Vac_off">'DESIGN INPUTS AND CALCULATIONS'!$C$304</definedName>
    <definedName name="Vac_on">'DESIGN INPUTS AND CALCULATIONS'!$C$303</definedName>
    <definedName name="Vacin_max">'DESIGN INPUTS AND CALCULATIONS'!$C$24</definedName>
    <definedName name="Vacin_min">'DESIGN INPUTS AND CALCULATIONS'!$C$23</definedName>
    <definedName name="Vacin_nom">'data'!$K$33</definedName>
    <definedName name="VCC">'DESIGN INPUTS AND CALCULATIONS'!$C$97</definedName>
    <definedName name="Vcomp">'DESIGN INPUTS AND CALCULATIONS'!$C$184</definedName>
    <definedName name="VCOMP1">'data'!$H$37</definedName>
    <definedName name="VCOMP2">'data'!$H$47</definedName>
    <definedName name="VCOMP3">'data'!$H$58</definedName>
    <definedName name="VCOMP4">'data'!$H$63</definedName>
    <definedName name="VCOMP5">'data'!$H$67</definedName>
    <definedName name="Vdiode_blocking">'DESIGN INPUTS AND CALCULATIONS'!$C$93</definedName>
    <definedName name="Vf">'DESIGN INPUTS AND CALCULATIONS'!$C$84</definedName>
    <definedName name="Vf_bridge">'DESIGN INPUTS AND CALCULATIONS'!$C$53</definedName>
    <definedName name="Vgs">'DESIGN INPUTS AND CALCULATIONS'!$C$98</definedName>
    <definedName name="Vin_peak_max">'DESIGN INPUTS AND CALCULATIONS'!$C$28</definedName>
    <definedName name="Vin_peak_min">'DESIGN INPUTS AND CALCULATIONS'!$C$27</definedName>
    <definedName name="Vin_ripple">'DESIGN INPUTS AND CALCULATIONS'!$C$67</definedName>
    <definedName name="VINnom">'DESIGN INPUTS AND CALCULATIONS'!$C$181</definedName>
    <definedName name="Vline">'DESIGN INPUTS AND CALCULATIONS'!$J$181</definedName>
    <definedName name="Voff_trim">'[1]Ideal ICOMP_MH'!$B$316</definedName>
    <definedName name="Vout">'DESIGN INPUTS AND CALCULATIONS'!$C$33</definedName>
    <definedName name="Vout_holdup">'DESIGN INPUTS AND CALCULATIONS'!$C$130</definedName>
    <definedName name="Vout_max">'DESIGN INPUTS AND CALCULATIONS'!$C$149</definedName>
    <definedName name="Vout_min">'DESIGN INPUTS AND CALCULATIONS'!$C$148</definedName>
    <definedName name="Vout_nom">'DESIGN INPUTS AND CALCULATIONS'!$C$147</definedName>
    <definedName name="Vout_ripplepp">'DESIGN INPUTS AND CALCULATIONS'!$C$135</definedName>
    <definedName name="Vovp">'DESIGN INPUTS AND CALCULATIONS'!$C$150</definedName>
    <definedName name="Vrated">'DESIGN INPUTS AND CALCULATIONS'!$C$58</definedName>
    <definedName name="VREF">'data'!$F$216</definedName>
    <definedName name="VREFmax">'data'!$F$218</definedName>
    <definedName name="VREFmin">'data'!$F$217</definedName>
    <definedName name="Vuvd">'DESIGN INPUTS AND CALCULATIONS'!$C$151</definedName>
  </definedNames>
  <calcPr fullCalcOnLoad="1"/>
</workbook>
</file>

<file path=xl/sharedStrings.xml><?xml version="1.0" encoding="utf-8"?>
<sst xmlns="http://schemas.openxmlformats.org/spreadsheetml/2006/main" count="786" uniqueCount="492">
  <si>
    <t>Minimum Input Voltage from AC Line:</t>
  </si>
  <si>
    <t>Maximum Input Voltage from AC Line:</t>
  </si>
  <si>
    <t>Maximum Rectified AC Line Voltage:</t>
  </si>
  <si>
    <t>Minimum Rectified AC Line Voltage:</t>
  </si>
  <si>
    <t>Minimum Line Frequency:</t>
  </si>
  <si>
    <t>Hz</t>
  </si>
  <si>
    <t>Maximum Line Frequency:</t>
  </si>
  <si>
    <r>
      <t>f</t>
    </r>
    <r>
      <rPr>
        <vertAlign val="subscript"/>
        <sz val="10"/>
        <rFont val="Arial"/>
        <family val="2"/>
      </rPr>
      <t>LINE(min):</t>
    </r>
  </si>
  <si>
    <r>
      <t>f</t>
    </r>
    <r>
      <rPr>
        <vertAlign val="subscript"/>
        <sz val="10"/>
        <rFont val="Arial"/>
        <family val="2"/>
      </rPr>
      <t>LINE(max):</t>
    </r>
  </si>
  <si>
    <t>h</t>
  </si>
  <si>
    <t>Predicted Efficiency:</t>
  </si>
  <si>
    <t>V</t>
  </si>
  <si>
    <t>W</t>
  </si>
  <si>
    <r>
      <t>P</t>
    </r>
    <r>
      <rPr>
        <vertAlign val="subscript"/>
        <sz val="10"/>
        <rFont val="Arial"/>
        <family val="2"/>
      </rPr>
      <t>OUT(max)</t>
    </r>
  </si>
  <si>
    <t>PF</t>
  </si>
  <si>
    <t>Maximum Input Power Drawn from the Line:</t>
  </si>
  <si>
    <r>
      <t>P</t>
    </r>
    <r>
      <rPr>
        <vertAlign val="subscript"/>
        <sz val="10"/>
        <rFont val="Arial"/>
        <family val="2"/>
      </rPr>
      <t>IN(max)</t>
    </r>
  </si>
  <si>
    <t>Maximum RMS AC Line Current:</t>
  </si>
  <si>
    <t>A</t>
  </si>
  <si>
    <t>Maximum Peak AC Line Current, assuming sinusoidal:</t>
  </si>
  <si>
    <t>Maximum Average AC Line Current, assuming sinusoidal:</t>
  </si>
  <si>
    <t>OUTPUT:</t>
  </si>
  <si>
    <t>INPUT:</t>
  </si>
  <si>
    <t>shaded</t>
  </si>
  <si>
    <t xml:space="preserve">cells; </t>
  </si>
  <si>
    <t>Please enter design parameters into the</t>
  </si>
  <si>
    <r>
      <t xml:space="preserve">Calculated results will be in </t>
    </r>
    <r>
      <rPr>
        <b/>
        <sz val="12"/>
        <color indexed="10"/>
        <rFont val="Arial"/>
        <family val="2"/>
      </rPr>
      <t>RED</t>
    </r>
  </si>
  <si>
    <t>INPUT CAPACITOR:</t>
  </si>
  <si>
    <t>Maximum Inductor Voltage Ripple:</t>
  </si>
  <si>
    <t>BOOST INDUCTOR DESIGN:</t>
  </si>
  <si>
    <t>Maximum Duty Cycle:</t>
  </si>
  <si>
    <t>Maximum Inductor Peak Current:</t>
  </si>
  <si>
    <t>Bridge Rectifier Power Dissipation:</t>
  </si>
  <si>
    <r>
      <t>P</t>
    </r>
    <r>
      <rPr>
        <vertAlign val="subscript"/>
        <sz val="10"/>
        <rFont val="Arial"/>
        <family val="2"/>
      </rPr>
      <t>BRIDGE</t>
    </r>
  </si>
  <si>
    <t>Maximum Output Power of PFC Stage:</t>
  </si>
  <si>
    <t>mH</t>
  </si>
  <si>
    <t>Actual Boost Inductor Value Used:</t>
  </si>
  <si>
    <r>
      <t>V</t>
    </r>
    <r>
      <rPr>
        <vertAlign val="subscript"/>
        <sz val="10"/>
        <rFont val="Arial"/>
        <family val="2"/>
      </rPr>
      <t>IN_RIPPLE</t>
    </r>
  </si>
  <si>
    <r>
      <t>°</t>
    </r>
    <r>
      <rPr>
        <sz val="10"/>
        <rFont val="Arial"/>
        <family val="2"/>
      </rPr>
      <t>C/W</t>
    </r>
  </si>
  <si>
    <r>
      <t>T</t>
    </r>
    <r>
      <rPr>
        <vertAlign val="subscript"/>
        <sz val="10"/>
        <rFont val="Arial"/>
        <family val="2"/>
      </rPr>
      <t>J(max)</t>
    </r>
  </si>
  <si>
    <r>
      <t>°</t>
    </r>
    <r>
      <rPr>
        <sz val="10"/>
        <rFont val="Arial"/>
        <family val="2"/>
      </rPr>
      <t>C</t>
    </r>
  </si>
  <si>
    <t>Maximum Ambient Temperature:</t>
  </si>
  <si>
    <t>Bridge Rectifier Thermal Resistance, Junction to Case:</t>
  </si>
  <si>
    <t>Bridge Rectifier Maximum Junction Temperature:</t>
  </si>
  <si>
    <r>
      <t>T</t>
    </r>
    <r>
      <rPr>
        <vertAlign val="subscript"/>
        <sz val="10"/>
        <rFont val="Arial"/>
        <family val="2"/>
      </rPr>
      <t>AMB(max)</t>
    </r>
  </si>
  <si>
    <r>
      <t>I</t>
    </r>
    <r>
      <rPr>
        <vertAlign val="subscript"/>
        <sz val="10"/>
        <rFont val="Arial"/>
        <family val="2"/>
      </rPr>
      <t>IN_RMS(max)</t>
    </r>
  </si>
  <si>
    <r>
      <t>I</t>
    </r>
    <r>
      <rPr>
        <vertAlign val="subscript"/>
        <sz val="10"/>
        <rFont val="Arial"/>
        <family val="2"/>
      </rPr>
      <t>IN_PEAK(max)</t>
    </r>
  </si>
  <si>
    <r>
      <t>I</t>
    </r>
    <r>
      <rPr>
        <vertAlign val="subscript"/>
        <sz val="10"/>
        <rFont val="Arial"/>
        <family val="2"/>
      </rPr>
      <t>IN_AVG(max)</t>
    </r>
  </si>
  <si>
    <r>
      <t>I</t>
    </r>
    <r>
      <rPr>
        <vertAlign val="subscript"/>
        <sz val="10"/>
        <rFont val="Arial"/>
        <family val="2"/>
      </rPr>
      <t>FUSE</t>
    </r>
  </si>
  <si>
    <t>Required Heat Sink Thermal Impedance:</t>
  </si>
  <si>
    <r>
      <t>R</t>
    </r>
    <r>
      <rPr>
        <vertAlign val="subscript"/>
        <sz val="10"/>
        <rFont val="Symbol"/>
        <family val="1"/>
      </rPr>
      <t>q</t>
    </r>
    <r>
      <rPr>
        <vertAlign val="subscript"/>
        <sz val="10"/>
        <rFont val="Arial"/>
        <family val="2"/>
      </rPr>
      <t>HS_AMB(Bridge)</t>
    </r>
  </si>
  <si>
    <r>
      <t>I</t>
    </r>
    <r>
      <rPr>
        <vertAlign val="subscript"/>
        <sz val="10"/>
        <rFont val="Arial"/>
        <family val="2"/>
      </rPr>
      <t>L_PEAK(max)</t>
    </r>
  </si>
  <si>
    <r>
      <t>DUTY</t>
    </r>
    <r>
      <rPr>
        <vertAlign val="subscript"/>
        <sz val="10"/>
        <rFont val="Arial"/>
        <family val="2"/>
      </rPr>
      <t>(max)</t>
    </r>
  </si>
  <si>
    <t>VCC</t>
  </si>
  <si>
    <r>
      <t>V</t>
    </r>
    <r>
      <rPr>
        <vertAlign val="subscript"/>
        <sz val="10"/>
        <rFont val="Arial"/>
        <family val="2"/>
      </rPr>
      <t>GS</t>
    </r>
  </si>
  <si>
    <r>
      <t>Q</t>
    </r>
    <r>
      <rPr>
        <vertAlign val="subscript"/>
        <sz val="10"/>
        <rFont val="Arial"/>
        <family val="2"/>
      </rPr>
      <t>g</t>
    </r>
  </si>
  <si>
    <t>nC</t>
  </si>
  <si>
    <r>
      <t>P</t>
    </r>
    <r>
      <rPr>
        <vertAlign val="subscript"/>
        <sz val="10"/>
        <rFont val="Arial"/>
        <family val="2"/>
      </rPr>
      <t>GATE</t>
    </r>
  </si>
  <si>
    <t>Gate-Source Voltage:</t>
  </si>
  <si>
    <r>
      <t>FET Gate Charge at V</t>
    </r>
    <r>
      <rPr>
        <vertAlign val="subscript"/>
        <sz val="10"/>
        <rFont val="Arial"/>
        <family val="2"/>
      </rPr>
      <t>GS:</t>
    </r>
  </si>
  <si>
    <r>
      <t>R</t>
    </r>
    <r>
      <rPr>
        <vertAlign val="subscript"/>
        <sz val="10"/>
        <rFont val="Arial"/>
        <family val="2"/>
      </rPr>
      <t>DSon</t>
    </r>
  </si>
  <si>
    <t>Drain-Source RMS Current:</t>
  </si>
  <si>
    <r>
      <t>I</t>
    </r>
    <r>
      <rPr>
        <vertAlign val="subscript"/>
        <sz val="10"/>
        <rFont val="Arial"/>
        <family val="2"/>
      </rPr>
      <t>DS_RMS</t>
    </r>
  </si>
  <si>
    <t>FET Conduction Losses:</t>
  </si>
  <si>
    <r>
      <t>P</t>
    </r>
    <r>
      <rPr>
        <vertAlign val="subscript"/>
        <sz val="10"/>
        <rFont val="Arial"/>
        <family val="2"/>
      </rPr>
      <t>COND</t>
    </r>
  </si>
  <si>
    <t>FET Output Capacitance:</t>
  </si>
  <si>
    <r>
      <t>C</t>
    </r>
    <r>
      <rPr>
        <vertAlign val="subscript"/>
        <sz val="10"/>
        <rFont val="Arial"/>
        <family val="2"/>
      </rPr>
      <t>OSS</t>
    </r>
  </si>
  <si>
    <t>BOOST DIODE:</t>
  </si>
  <si>
    <t>SWITCHING ELEMENT:</t>
  </si>
  <si>
    <r>
      <t>V</t>
    </r>
    <r>
      <rPr>
        <vertAlign val="subscript"/>
        <sz val="10"/>
        <rFont val="Arial"/>
        <family val="2"/>
      </rPr>
      <t>F</t>
    </r>
  </si>
  <si>
    <t>Reverse Recovery Charge:</t>
  </si>
  <si>
    <r>
      <t>Q</t>
    </r>
    <r>
      <rPr>
        <vertAlign val="subscript"/>
        <sz val="10"/>
        <rFont val="Arial"/>
        <family val="2"/>
      </rPr>
      <t>RR</t>
    </r>
  </si>
  <si>
    <r>
      <t>P</t>
    </r>
    <r>
      <rPr>
        <vertAlign val="subscript"/>
        <sz val="10"/>
        <rFont val="Arial"/>
        <family val="2"/>
      </rPr>
      <t>DIODE(cond)</t>
    </r>
  </si>
  <si>
    <r>
      <t>P</t>
    </r>
    <r>
      <rPr>
        <vertAlign val="subscript"/>
        <sz val="10"/>
        <rFont val="Arial"/>
        <family val="2"/>
      </rPr>
      <t>REVERSE</t>
    </r>
  </si>
  <si>
    <t>Boost Diode Conduction Losses:</t>
  </si>
  <si>
    <t>Total Boost Diode Losses:</t>
  </si>
  <si>
    <r>
      <t>P</t>
    </r>
    <r>
      <rPr>
        <vertAlign val="subscript"/>
        <sz val="10"/>
        <rFont val="Arial"/>
        <family val="2"/>
      </rPr>
      <t>DIODE(total)</t>
    </r>
  </si>
  <si>
    <t>Boost Diode Maximum Junction Temperature:</t>
  </si>
  <si>
    <t>Boost Diode Thermal Resistance, Junction to Case:</t>
  </si>
  <si>
    <r>
      <t>R</t>
    </r>
    <r>
      <rPr>
        <vertAlign val="subscript"/>
        <sz val="10"/>
        <rFont val="Symbol"/>
        <family val="1"/>
      </rPr>
      <t>q</t>
    </r>
    <r>
      <rPr>
        <vertAlign val="subscript"/>
        <sz val="10"/>
        <rFont val="Arial"/>
        <family val="2"/>
      </rPr>
      <t>JC(Diode)</t>
    </r>
  </si>
  <si>
    <r>
      <t>R</t>
    </r>
    <r>
      <rPr>
        <vertAlign val="subscript"/>
        <sz val="10"/>
        <rFont val="Symbol"/>
        <family val="1"/>
      </rPr>
      <t>q</t>
    </r>
    <r>
      <rPr>
        <vertAlign val="subscript"/>
        <sz val="10"/>
        <rFont val="Arial"/>
        <family val="2"/>
      </rPr>
      <t>HS_AMB(Diode)</t>
    </r>
  </si>
  <si>
    <t>Boost Diode Thermal Resistance, Case to Heatsink:</t>
  </si>
  <si>
    <t>pF</t>
  </si>
  <si>
    <t>FET Switching Losses:</t>
  </si>
  <si>
    <r>
      <t>P</t>
    </r>
    <r>
      <rPr>
        <vertAlign val="subscript"/>
        <sz val="10"/>
        <rFont val="Arial"/>
        <family val="2"/>
      </rPr>
      <t>SW</t>
    </r>
  </si>
  <si>
    <t>FET Losses, Total:</t>
  </si>
  <si>
    <r>
      <t>P</t>
    </r>
    <r>
      <rPr>
        <vertAlign val="subscript"/>
        <sz val="10"/>
        <rFont val="Arial"/>
        <family val="2"/>
      </rPr>
      <t>FET</t>
    </r>
  </si>
  <si>
    <t>BRIDGE RECTIFIER:</t>
  </si>
  <si>
    <r>
      <t>R</t>
    </r>
    <r>
      <rPr>
        <vertAlign val="subscript"/>
        <sz val="10"/>
        <rFont val="Symbol"/>
        <family val="1"/>
      </rPr>
      <t>q</t>
    </r>
    <r>
      <rPr>
        <vertAlign val="subscript"/>
        <sz val="10"/>
        <rFont val="Arial"/>
        <family val="2"/>
      </rPr>
      <t>HS_AMB(FET)</t>
    </r>
  </si>
  <si>
    <t>FET Maximum Junction Temperature:</t>
  </si>
  <si>
    <t>FET Thermal Resistance, Junction to Case:</t>
  </si>
  <si>
    <r>
      <t>R</t>
    </r>
    <r>
      <rPr>
        <vertAlign val="subscript"/>
        <sz val="10"/>
        <rFont val="Symbol"/>
        <family val="1"/>
      </rPr>
      <t>q</t>
    </r>
    <r>
      <rPr>
        <vertAlign val="subscript"/>
        <sz val="10"/>
        <rFont val="Arial"/>
        <family val="2"/>
      </rPr>
      <t>JC(FET)</t>
    </r>
  </si>
  <si>
    <t>CURRENT SENSE RESISTOR:</t>
  </si>
  <si>
    <t>Bridge Rectifier Minimum DC Blocking Voltage Rating:</t>
  </si>
  <si>
    <t>Bridge Rectifier Minimum Average Current Rating:</t>
  </si>
  <si>
    <r>
      <t>I</t>
    </r>
    <r>
      <rPr>
        <vertAlign val="subscript"/>
        <sz val="10"/>
        <rFont val="Arial"/>
        <family val="2"/>
      </rPr>
      <t>OVERCURRENT</t>
    </r>
    <r>
      <rPr>
        <sz val="10"/>
        <rFont val="Arial"/>
        <family val="2"/>
      </rPr>
      <t>_</t>
    </r>
    <r>
      <rPr>
        <vertAlign val="subscript"/>
        <sz val="10"/>
        <rFont val="Arial"/>
        <family val="2"/>
      </rPr>
      <t>SOC</t>
    </r>
  </si>
  <si>
    <r>
      <t>Power Dissipated in R</t>
    </r>
    <r>
      <rPr>
        <vertAlign val="subscript"/>
        <sz val="10"/>
        <rFont val="Arial"/>
        <family val="2"/>
      </rPr>
      <t>SENSE</t>
    </r>
    <r>
      <rPr>
        <sz val="10"/>
        <rFont val="Arial"/>
        <family val="2"/>
      </rPr>
      <t>:</t>
    </r>
  </si>
  <si>
    <r>
      <t>P</t>
    </r>
    <r>
      <rPr>
        <vertAlign val="subscript"/>
        <sz val="10"/>
        <rFont val="Arial"/>
        <family val="2"/>
      </rPr>
      <t>Rsense</t>
    </r>
  </si>
  <si>
    <r>
      <t>I</t>
    </r>
    <r>
      <rPr>
        <vertAlign val="subscript"/>
        <sz val="10"/>
        <rFont val="Arial"/>
        <family val="2"/>
      </rPr>
      <t>PCL</t>
    </r>
  </si>
  <si>
    <r>
      <t>I</t>
    </r>
    <r>
      <rPr>
        <vertAlign val="subscript"/>
        <sz val="10"/>
        <rFont val="Arial"/>
        <family val="2"/>
      </rPr>
      <t>OUT_OVERCURRENT</t>
    </r>
  </si>
  <si>
    <t>Maximum Inrush Current:</t>
  </si>
  <si>
    <r>
      <t>I</t>
    </r>
    <r>
      <rPr>
        <vertAlign val="subscript"/>
        <sz val="10"/>
        <rFont val="Arial"/>
        <family val="2"/>
      </rPr>
      <t>INRUSH</t>
    </r>
  </si>
  <si>
    <r>
      <t>R</t>
    </r>
    <r>
      <rPr>
        <vertAlign val="subscript"/>
        <sz val="10"/>
        <rFont val="Arial"/>
        <family val="2"/>
      </rPr>
      <t>THERM</t>
    </r>
  </si>
  <si>
    <t>OUTPUT CAPACITOR:</t>
  </si>
  <si>
    <t>ms</t>
  </si>
  <si>
    <t>Required Minimum Output Voltage:</t>
  </si>
  <si>
    <r>
      <t>V</t>
    </r>
    <r>
      <rPr>
        <vertAlign val="subscript"/>
        <sz val="10"/>
        <rFont val="Arial"/>
        <family val="2"/>
      </rPr>
      <t>OUT_HOLDUP(min)</t>
    </r>
  </si>
  <si>
    <t>Output Voltage Peak to Peak Ripple:</t>
  </si>
  <si>
    <r>
      <t>V</t>
    </r>
    <r>
      <rPr>
        <vertAlign val="subscript"/>
        <sz val="10"/>
        <rFont val="Arial"/>
        <family val="2"/>
      </rPr>
      <t>OUT_RIPPLEpp</t>
    </r>
  </si>
  <si>
    <r>
      <t>I</t>
    </r>
    <r>
      <rPr>
        <vertAlign val="subscript"/>
        <sz val="10"/>
        <rFont val="Arial"/>
        <family val="2"/>
      </rPr>
      <t>Cout_2fline</t>
    </r>
  </si>
  <si>
    <r>
      <t>I</t>
    </r>
    <r>
      <rPr>
        <vertAlign val="subscript"/>
        <sz val="10"/>
        <rFont val="Arial"/>
        <family val="2"/>
      </rPr>
      <t>Cout_HF</t>
    </r>
  </si>
  <si>
    <r>
      <t>A</t>
    </r>
    <r>
      <rPr>
        <vertAlign val="subscript"/>
        <sz val="10"/>
        <rFont val="Arial"/>
        <family val="2"/>
      </rPr>
      <t>RMS</t>
    </r>
  </si>
  <si>
    <t>Output Capacitor High Frequency Ripple Current:</t>
  </si>
  <si>
    <t>Output Capacitor Ripple Current at Twice Line Frequency:</t>
  </si>
  <si>
    <r>
      <t>I</t>
    </r>
    <r>
      <rPr>
        <vertAlign val="subscript"/>
        <sz val="10"/>
        <rFont val="Arial"/>
        <family val="2"/>
      </rPr>
      <t>Cout_RMS(total)</t>
    </r>
  </si>
  <si>
    <t>Actual Output Capacitor Value:</t>
  </si>
  <si>
    <t>Recommended Value for the Top Divider Resistor:</t>
  </si>
  <si>
    <r>
      <t>M</t>
    </r>
    <r>
      <rPr>
        <sz val="10"/>
        <rFont val="Symbol"/>
        <family val="1"/>
      </rPr>
      <t>W</t>
    </r>
  </si>
  <si>
    <t>Actual Value of the Top Divider Resistor:</t>
  </si>
  <si>
    <r>
      <t>k</t>
    </r>
    <r>
      <rPr>
        <sz val="10"/>
        <rFont val="Symbol"/>
        <family val="1"/>
      </rPr>
      <t>W</t>
    </r>
  </si>
  <si>
    <t>Actual Nominal Output Voltage:</t>
  </si>
  <si>
    <r>
      <t>V</t>
    </r>
    <r>
      <rPr>
        <vertAlign val="subscript"/>
        <sz val="10"/>
        <rFont val="Arial"/>
        <family val="2"/>
      </rPr>
      <t>OUT</t>
    </r>
  </si>
  <si>
    <t>OUTPUT VOLTAGE SET POINT:</t>
  </si>
  <si>
    <r>
      <t>V</t>
    </r>
    <r>
      <rPr>
        <vertAlign val="subscript"/>
        <sz val="10"/>
        <rFont val="Arial"/>
        <family val="2"/>
      </rPr>
      <t>OVP</t>
    </r>
  </si>
  <si>
    <r>
      <t>V</t>
    </r>
    <r>
      <rPr>
        <vertAlign val="subscript"/>
        <sz val="10"/>
        <rFont val="Arial"/>
        <family val="2"/>
      </rPr>
      <t>RMS</t>
    </r>
  </si>
  <si>
    <r>
      <t>FET On-Resistance at  T</t>
    </r>
    <r>
      <rPr>
        <vertAlign val="subscript"/>
        <sz val="10"/>
        <rFont val="Arial"/>
        <family val="2"/>
      </rPr>
      <t>J</t>
    </r>
    <r>
      <rPr>
        <sz val="10"/>
        <rFont val="Arial"/>
        <family val="2"/>
      </rPr>
      <t xml:space="preserve"> = 125°C: </t>
    </r>
  </si>
  <si>
    <t>FET Rise Time:</t>
  </si>
  <si>
    <r>
      <t>t</t>
    </r>
    <r>
      <rPr>
        <vertAlign val="subscript"/>
        <sz val="10"/>
        <rFont val="Arial"/>
        <family val="2"/>
      </rPr>
      <t>r</t>
    </r>
  </si>
  <si>
    <t>ns</t>
  </si>
  <si>
    <t>COMPENSATION:</t>
  </si>
  <si>
    <t>Product of the Voltage Loop Variables:</t>
  </si>
  <si>
    <t>M1M2</t>
  </si>
  <si>
    <t>VCOMP</t>
  </si>
  <si>
    <r>
      <t>M</t>
    </r>
    <r>
      <rPr>
        <vertAlign val="subscript"/>
        <sz val="10"/>
        <rFont val="Arial"/>
        <family val="2"/>
      </rPr>
      <t>1</t>
    </r>
  </si>
  <si>
    <r>
      <t>M</t>
    </r>
    <r>
      <rPr>
        <vertAlign val="subscript"/>
        <sz val="10"/>
        <rFont val="Arial"/>
        <family val="2"/>
      </rPr>
      <t>2</t>
    </r>
  </si>
  <si>
    <r>
      <t>V/</t>
    </r>
    <r>
      <rPr>
        <sz val="10"/>
        <rFont val="Symbol"/>
        <family val="1"/>
      </rPr>
      <t>m</t>
    </r>
    <r>
      <rPr>
        <sz val="10"/>
        <rFont val="Arial"/>
        <family val="2"/>
      </rPr>
      <t>s</t>
    </r>
  </si>
  <si>
    <t>M1</t>
  </si>
  <si>
    <t>M2</t>
  </si>
  <si>
    <r>
      <t>M</t>
    </r>
    <r>
      <rPr>
        <vertAlign val="subscript"/>
        <sz val="10"/>
        <rFont val="Arial"/>
        <family val="2"/>
      </rPr>
      <t>3</t>
    </r>
  </si>
  <si>
    <t>kHz</t>
  </si>
  <si>
    <t>Actual Value Used for ICOMP Capacitor:</t>
  </si>
  <si>
    <t>Data for M1M2 vs VCOMP table</t>
  </si>
  <si>
    <t>Data For Current Averaging Bode Plot</t>
  </si>
  <si>
    <t>Gain</t>
  </si>
  <si>
    <t>Log scale converter</t>
  </si>
  <si>
    <t>frequency</t>
  </si>
  <si>
    <t>w</t>
  </si>
  <si>
    <t>Phase</t>
  </si>
  <si>
    <t xml:space="preserve">Open Loop Transfer Function for Voltage Loop:  </t>
  </si>
  <si>
    <t xml:space="preserve">Open Loop Transfer Function for Current Loop:  </t>
  </si>
  <si>
    <t>PWM to Power Stage Pole:</t>
  </si>
  <si>
    <r>
      <t>f</t>
    </r>
    <r>
      <rPr>
        <vertAlign val="subscript"/>
        <sz val="10"/>
        <rFont val="Arial"/>
        <family val="2"/>
      </rPr>
      <t>PWM_PS(pole)</t>
    </r>
  </si>
  <si>
    <t>Total Output Capacitor Ripple Current:</t>
  </si>
  <si>
    <t>Data For Open Loop Voltage Bode Plot</t>
  </si>
  <si>
    <t>Maximum High Frequency Voltage Ripple Factor (i.e. 0.03 for 3%, 0.09 for 9%):</t>
  </si>
  <si>
    <t>Voltage Feedback Gain</t>
  </si>
  <si>
    <t>PWM to Power Stage Gain</t>
  </si>
  <si>
    <t>dB</t>
  </si>
  <si>
    <t>Total Open Loop Gain</t>
  </si>
  <si>
    <t>Total Open Loop Phase</t>
  </si>
  <si>
    <r>
      <t>Open Loop Voltage Gain at Desired f</t>
    </r>
    <r>
      <rPr>
        <vertAlign val="subscript"/>
        <sz val="10"/>
        <rFont val="Arial"/>
        <family val="2"/>
      </rPr>
      <t>V</t>
    </r>
    <r>
      <rPr>
        <sz val="10"/>
        <rFont val="Arial"/>
        <family val="2"/>
      </rPr>
      <t>:</t>
    </r>
  </si>
  <si>
    <r>
      <t>G</t>
    </r>
    <r>
      <rPr>
        <vertAlign val="subscript"/>
        <sz val="10"/>
        <rFont val="Arial"/>
        <family val="2"/>
      </rPr>
      <t>VLdB</t>
    </r>
    <r>
      <rPr>
        <sz val="10"/>
        <rFont val="Arial"/>
        <family val="2"/>
      </rPr>
      <t>(f</t>
    </r>
    <r>
      <rPr>
        <vertAlign val="subscript"/>
        <sz val="10"/>
        <rFont val="Arial"/>
        <family val="2"/>
      </rPr>
      <t>V</t>
    </r>
    <r>
      <rPr>
        <sz val="10"/>
        <rFont val="Arial"/>
        <family val="2"/>
      </rPr>
      <t>)</t>
    </r>
  </si>
  <si>
    <t>Resultant Actual Current Averaging Pole Frequency:</t>
  </si>
  <si>
    <r>
      <t>f</t>
    </r>
    <r>
      <rPr>
        <vertAlign val="subscript"/>
        <sz val="10"/>
        <rFont val="Arial"/>
        <family val="2"/>
      </rPr>
      <t>IAVG(actual)</t>
    </r>
  </si>
  <si>
    <t>Minimum Input Fuse Rating:</t>
  </si>
  <si>
    <r>
      <t>R</t>
    </r>
    <r>
      <rPr>
        <b/>
        <vertAlign val="subscript"/>
        <sz val="10"/>
        <rFont val="Arial"/>
        <family val="2"/>
      </rPr>
      <t>ISENSE</t>
    </r>
  </si>
  <si>
    <r>
      <t>C</t>
    </r>
    <r>
      <rPr>
        <b/>
        <vertAlign val="subscript"/>
        <sz val="10"/>
        <rFont val="Arial"/>
        <family val="2"/>
      </rPr>
      <t>ISENSE</t>
    </r>
  </si>
  <si>
    <t>Recommended Value for Filter Capacitor on VSENSE:</t>
  </si>
  <si>
    <r>
      <t>C</t>
    </r>
    <r>
      <rPr>
        <b/>
        <vertAlign val="subscript"/>
        <sz val="10"/>
        <rFont val="Arial"/>
        <family val="2"/>
      </rPr>
      <t>VSENSE</t>
    </r>
  </si>
  <si>
    <t>Recommended Value for the Voltage Compensation Capacitor:</t>
  </si>
  <si>
    <t>rad</t>
  </si>
  <si>
    <t>degrees</t>
  </si>
  <si>
    <t>V/V</t>
  </si>
  <si>
    <r>
      <t>k</t>
    </r>
    <r>
      <rPr>
        <b/>
        <sz val="10"/>
        <rFont val="Symbol"/>
        <family val="1"/>
      </rPr>
      <t>W</t>
    </r>
  </si>
  <si>
    <r>
      <t>M</t>
    </r>
    <r>
      <rPr>
        <b/>
        <sz val="10"/>
        <rFont val="Symbol"/>
        <family val="1"/>
      </rPr>
      <t>W</t>
    </r>
  </si>
  <si>
    <t>Recommended Value for the Voltage Compensation Resistor:</t>
  </si>
  <si>
    <t>Resultant Value of Voltage Compensation Zero:</t>
  </si>
  <si>
    <r>
      <t>f</t>
    </r>
    <r>
      <rPr>
        <vertAlign val="subscript"/>
        <sz val="10"/>
        <rFont val="Arial"/>
        <family val="2"/>
      </rPr>
      <t>ZERO</t>
    </r>
  </si>
  <si>
    <t>Recommended Value for the Parallel Voltage Compensation Capacitor:</t>
  </si>
  <si>
    <t>Data for Closed Loop Voltage Bode Plot</t>
  </si>
  <si>
    <t>EA Gain</t>
  </si>
  <si>
    <t>Actual Value for the Parallel Voltage Compensation Capacitor:</t>
  </si>
  <si>
    <t>1+sRVCOMPCVCOMP</t>
  </si>
  <si>
    <t>s(CVCOMP+CVCOMP_P)</t>
  </si>
  <si>
    <t>1+S(rvcompcvcompcvcomp_p/CVCOMP+CVCOMPP)</t>
  </si>
  <si>
    <t>Total Closed Voltage Loop Bode Plot</t>
  </si>
  <si>
    <t>Phase Margin</t>
  </si>
  <si>
    <t>Power Dissipated in Voltage Divider:</t>
  </si>
  <si>
    <r>
      <t>P</t>
    </r>
    <r>
      <rPr>
        <vertAlign val="subscript"/>
        <sz val="10"/>
        <rFont val="Arial"/>
        <family val="2"/>
      </rPr>
      <t>RfB1+RFB2</t>
    </r>
  </si>
  <si>
    <t>Desired Number of Line Cycles For Output Holdup Time  (typ one line cycle):</t>
  </si>
  <si>
    <r>
      <t>N</t>
    </r>
    <r>
      <rPr>
        <vertAlign val="subscript"/>
        <sz val="10"/>
        <rFont val="Arial"/>
        <family val="2"/>
      </rPr>
      <t>HOLD_UP</t>
    </r>
  </si>
  <si>
    <r>
      <t>t</t>
    </r>
    <r>
      <rPr>
        <vertAlign val="subscript"/>
        <sz val="10"/>
        <rFont val="Arial"/>
        <family val="2"/>
      </rPr>
      <t>Hold_UP(min)</t>
    </r>
  </si>
  <si>
    <r>
      <t>Target Power Factor, V</t>
    </r>
    <r>
      <rPr>
        <vertAlign val="subscript"/>
        <sz val="10"/>
        <rFont val="Arial"/>
        <family val="2"/>
      </rPr>
      <t>IN(nom)</t>
    </r>
    <r>
      <rPr>
        <sz val="10"/>
        <rFont val="Arial"/>
        <family val="2"/>
      </rPr>
      <t>, Full Load:</t>
    </r>
  </si>
  <si>
    <t>Actual Maximum Inductor Ripple Current:</t>
  </si>
  <si>
    <r>
      <t>I</t>
    </r>
    <r>
      <rPr>
        <vertAlign val="subscript"/>
        <sz val="10"/>
        <rFont val="Arial"/>
        <family val="2"/>
      </rPr>
      <t>RIPPLE(actual)</t>
    </r>
  </si>
  <si>
    <t>Actual Maximum Inductor Peak Current:</t>
  </si>
  <si>
    <r>
      <t>I</t>
    </r>
    <r>
      <rPr>
        <vertAlign val="subscript"/>
        <sz val="10"/>
        <rFont val="Arial"/>
        <family val="2"/>
      </rPr>
      <t>L_PEAK(actual)</t>
    </r>
  </si>
  <si>
    <t>Gate Drive Losses (actually dissipated in the gate drive circuitry):</t>
  </si>
  <si>
    <r>
      <t>V</t>
    </r>
    <r>
      <rPr>
        <vertAlign val="subscript"/>
        <sz val="10"/>
        <rFont val="Arial"/>
        <family val="2"/>
      </rPr>
      <t>UVD</t>
    </r>
  </si>
  <si>
    <t>Reference Designator</t>
  </si>
  <si>
    <t>Description/Comments</t>
  </si>
  <si>
    <t>Value:</t>
  </si>
  <si>
    <t>DC Blocking Voltage:</t>
  </si>
  <si>
    <t>Inductor Value:</t>
  </si>
  <si>
    <t>Volatge Rating:</t>
  </si>
  <si>
    <t>Power Dissipation:</t>
  </si>
  <si>
    <t>Voltage Rating:</t>
  </si>
  <si>
    <t>Peak Current Rating:</t>
  </si>
  <si>
    <t>Ripple Current:</t>
  </si>
  <si>
    <t>Film Capacitor, X2</t>
  </si>
  <si>
    <t>RMS Drain Current Rating:</t>
  </si>
  <si>
    <t>Resistor, Chip, 1/16W</t>
  </si>
  <si>
    <t>Capacitor, Ceramic, 100V, X7R, ±10%</t>
  </si>
  <si>
    <t xml:space="preserve">Capacitor, Aluminum, ±20% </t>
  </si>
  <si>
    <t>Resistor, Chip, 1/10W, ±1%</t>
  </si>
  <si>
    <t>Type:</t>
  </si>
  <si>
    <t>Fast Acting</t>
  </si>
  <si>
    <t>Capacitor, Ceramic, 50V, X7R, ±10%</t>
  </si>
  <si>
    <t>Capacitor, Ceramic, 10V, X5R, ±10%</t>
  </si>
  <si>
    <t>Resistor, Chip, Total Voltage Rating 400V, ±1%</t>
  </si>
  <si>
    <t>Ceramic, Low ESR/ESL, placed close to the VCC and GND pins with short traces</t>
  </si>
  <si>
    <t>Values:</t>
  </si>
  <si>
    <t>Current Rating:</t>
  </si>
  <si>
    <t>Average Current Rating:</t>
  </si>
  <si>
    <t>HF Ripple Current Rating:</t>
  </si>
  <si>
    <t>Resistor, Low Inductance</t>
  </si>
  <si>
    <t>MOSFET, Nchannel</t>
  </si>
  <si>
    <t>Diode, Low Reverse Recovery Charge, Schottky</t>
  </si>
  <si>
    <t>FET Fall Time:</t>
  </si>
  <si>
    <r>
      <t>t</t>
    </r>
    <r>
      <rPr>
        <vertAlign val="subscript"/>
        <sz val="10"/>
        <rFont val="Arial"/>
        <family val="2"/>
      </rPr>
      <t>f</t>
    </r>
  </si>
  <si>
    <t>Recommended Minimum Output Capacitor Value:</t>
  </si>
  <si>
    <r>
      <t>m</t>
    </r>
    <r>
      <rPr>
        <sz val="16"/>
        <rFont val="Arial"/>
        <family val="2"/>
      </rPr>
      <t>F</t>
    </r>
  </si>
  <si>
    <r>
      <t>V</t>
    </r>
    <r>
      <rPr>
        <vertAlign val="subscript"/>
        <sz val="16"/>
        <rFont val="Arial"/>
        <family val="2"/>
      </rPr>
      <t>RMS</t>
    </r>
  </si>
  <si>
    <r>
      <t>A</t>
    </r>
    <r>
      <rPr>
        <vertAlign val="subscript"/>
        <sz val="16"/>
        <rFont val="Arial"/>
        <family val="2"/>
      </rPr>
      <t>RMS</t>
    </r>
  </si>
  <si>
    <r>
      <t>M</t>
    </r>
    <r>
      <rPr>
        <sz val="16"/>
        <rFont val="Symbol"/>
        <family val="1"/>
      </rPr>
      <t>W</t>
    </r>
  </si>
  <si>
    <r>
      <t>k</t>
    </r>
    <r>
      <rPr>
        <sz val="16"/>
        <rFont val="Symbol"/>
        <family val="1"/>
      </rPr>
      <t>W</t>
    </r>
  </si>
  <si>
    <r>
      <t>m</t>
    </r>
    <r>
      <rPr>
        <sz val="16"/>
        <rFont val="Arial"/>
        <family val="2"/>
      </rPr>
      <t>F</t>
    </r>
  </si>
  <si>
    <r>
      <t>Output Voltage (Note: Must be &gt; V</t>
    </r>
    <r>
      <rPr>
        <vertAlign val="subscript"/>
        <sz val="10"/>
        <rFont val="Arial"/>
        <family val="2"/>
      </rPr>
      <t>IN_RECTIFIED(max)</t>
    </r>
    <r>
      <rPr>
        <sz val="10"/>
        <rFont val="Arial"/>
        <family val="2"/>
      </rPr>
      <t>):</t>
    </r>
  </si>
  <si>
    <r>
      <t>2 x f</t>
    </r>
    <r>
      <rPr>
        <vertAlign val="subscript"/>
        <sz val="16"/>
        <rFont val="Arial"/>
        <family val="2"/>
      </rPr>
      <t>LINE</t>
    </r>
    <r>
      <rPr>
        <sz val="16"/>
        <rFont val="Arial"/>
        <family val="2"/>
      </rPr>
      <t xml:space="preserve"> Ripple Current Rating:</t>
    </r>
  </si>
  <si>
    <t>Actual Value of the Bottom Divider Resistor:</t>
  </si>
  <si>
    <t>TI Literature Number:</t>
  </si>
  <si>
    <t>Disclaimer</t>
  </si>
  <si>
    <t>This product is designed as an aid for customers of Texas Instruments. No warranties, either expressed or implied, with respect to this software or its fitness for any particular purpose, are claimed by Texas Instruments or the author. The software is licensed solely on an "as is" basis. The entire risk as to its quality and performance is with the customer.</t>
  </si>
  <si>
    <t>WHERE APPLICABLE, A RECOMMENDED VALUE IS GIVEN THAT WILL BE THE BEST CHOICE TO MEET THE GIVEN SPECIFICATION.  IT IS IN THE BEST INTEREST OF THE USER TO USE A VALUE AS CLOSE AS POSSIBLE TO THE SUGGESTED RECOMMENDED VALUE.  FOR ACCURATE RESULTS, THE USER MUST ENTER THE ACTUAL VALUE USED IN THE APPROPRIATE CELL.</t>
  </si>
  <si>
    <t>UCC28180 DESIGN CALCULATOR TOOL</t>
  </si>
  <si>
    <t>UCC28180 CONTINUOUS CURRENT CONDUCTION MODE PFC CONTROLLER WITH PROGRAMMABLE SWITCHING FREQUENCY</t>
  </si>
  <si>
    <t>Desired Switching Frequency:</t>
  </si>
  <si>
    <r>
      <t>Recommended Resistor value on FREQ to Set the Switching Frequency, f</t>
    </r>
    <r>
      <rPr>
        <vertAlign val="subscript"/>
        <sz val="10"/>
        <rFont val="Arial"/>
        <family val="2"/>
      </rPr>
      <t>SW</t>
    </r>
    <r>
      <rPr>
        <sz val="10"/>
        <rFont val="Arial"/>
        <family val="2"/>
      </rPr>
      <t>:</t>
    </r>
  </si>
  <si>
    <r>
      <t>M</t>
    </r>
    <r>
      <rPr>
        <vertAlign val="subscript"/>
        <sz val="10"/>
        <rFont val="Arial"/>
        <family val="2"/>
      </rPr>
      <t>1</t>
    </r>
    <r>
      <rPr>
        <sz val="10"/>
        <rFont val="Arial"/>
        <family val="2"/>
      </rPr>
      <t>M</t>
    </r>
    <r>
      <rPr>
        <vertAlign val="subscript"/>
        <sz val="10"/>
        <rFont val="Arial"/>
        <family val="2"/>
      </rPr>
      <t>2</t>
    </r>
  </si>
  <si>
    <r>
      <t xml:space="preserve">Be sure to </t>
    </r>
    <r>
      <rPr>
        <b/>
        <i/>
        <sz val="14"/>
        <rFont val="Arial"/>
        <family val="2"/>
      </rPr>
      <t>ENABLE EDITING</t>
    </r>
    <r>
      <rPr>
        <b/>
        <sz val="14"/>
        <rFont val="Arial"/>
        <family val="2"/>
      </rPr>
      <t xml:space="preserve"> before attempting to use this design calculator</t>
    </r>
  </si>
  <si>
    <t>SLUC506</t>
  </si>
  <si>
    <r>
      <t xml:space="preserve">This spreadsheet guides the user through the design process of a CONTINUOUS CONDUCTION MODE PFC BOOST CONVERTER using the </t>
    </r>
    <r>
      <rPr>
        <b/>
        <sz val="11"/>
        <color indexed="10"/>
        <rFont val="Arial"/>
        <family val="2"/>
      </rPr>
      <t>UCC28180</t>
    </r>
    <r>
      <rPr>
        <b/>
        <sz val="11"/>
        <rFont val="Arial"/>
        <family val="2"/>
      </rPr>
      <t>.  User interaction is required in order to get the best possible results.  Enter the desired specification where prompted, the highlighted cells are for user inputs; calculations for the design are based upon the inputs.</t>
    </r>
  </si>
  <si>
    <r>
      <t>V</t>
    </r>
    <r>
      <rPr>
        <vertAlign val="subscript"/>
        <sz val="10"/>
        <rFont val="Arial"/>
        <family val="2"/>
      </rPr>
      <t>IN_PEAK(min)</t>
    </r>
  </si>
  <si>
    <r>
      <t>V</t>
    </r>
    <r>
      <rPr>
        <vertAlign val="subscript"/>
        <sz val="10"/>
        <rFont val="Arial"/>
        <family val="2"/>
      </rPr>
      <t>ACIN(min)</t>
    </r>
  </si>
  <si>
    <r>
      <t>V</t>
    </r>
    <r>
      <rPr>
        <vertAlign val="subscript"/>
        <sz val="10"/>
        <rFont val="Arial"/>
        <family val="2"/>
      </rPr>
      <t>ACIN(max)</t>
    </r>
  </si>
  <si>
    <r>
      <t>V</t>
    </r>
    <r>
      <rPr>
        <vertAlign val="subscript"/>
        <sz val="10"/>
        <rFont val="Arial"/>
        <family val="2"/>
      </rPr>
      <t>IN_PEAK(max)</t>
    </r>
  </si>
  <si>
    <t>mV factor</t>
  </si>
  <si>
    <t>uF factor</t>
  </si>
  <si>
    <t>kHz factor</t>
  </si>
  <si>
    <t>mΩ factor</t>
  </si>
  <si>
    <t>ms factor</t>
  </si>
  <si>
    <t>mA factor</t>
  </si>
  <si>
    <t>us factor</t>
  </si>
  <si>
    <t>uH factor</t>
  </si>
  <si>
    <t>ns factor</t>
  </si>
  <si>
    <t>mW factor</t>
  </si>
  <si>
    <t>pF factor</t>
  </si>
  <si>
    <t>MHz factor</t>
  </si>
  <si>
    <t>uA factor</t>
  </si>
  <si>
    <r>
      <t>k</t>
    </r>
    <r>
      <rPr>
        <sz val="11"/>
        <color indexed="8"/>
        <rFont val="Calibri"/>
        <family val="2"/>
      </rPr>
      <t>Ω</t>
    </r>
    <r>
      <rPr>
        <sz val="11"/>
        <color indexed="8"/>
        <rFont val="Arial"/>
        <family val="2"/>
      </rPr>
      <t xml:space="preserve"> factor</t>
    </r>
  </si>
  <si>
    <t>nC factor</t>
  </si>
  <si>
    <t>nF factor</t>
  </si>
  <si>
    <t>uC factor</t>
  </si>
  <si>
    <t>MΩ factor</t>
  </si>
  <si>
    <r>
      <t>V</t>
    </r>
    <r>
      <rPr>
        <vertAlign val="subscript"/>
        <sz val="11"/>
        <rFont val="Arial"/>
        <family val="2"/>
      </rPr>
      <t>INnom</t>
    </r>
  </si>
  <si>
    <t>Standard E48 Resistor Values</t>
  </si>
  <si>
    <t>Standard Capacitor Values</t>
  </si>
  <si>
    <t>C values up to 10nF</t>
  </si>
  <si>
    <t>C values greater than 10nF</t>
  </si>
  <si>
    <r>
      <t>R</t>
    </r>
    <r>
      <rPr>
        <vertAlign val="subscript"/>
        <sz val="11"/>
        <rFont val="Arial"/>
        <family val="2"/>
      </rPr>
      <t>FREQ</t>
    </r>
    <r>
      <rPr>
        <sz val="11"/>
        <rFont val="Arial"/>
        <family val="2"/>
      </rPr>
      <t xml:space="preserve"> =</t>
    </r>
  </si>
  <si>
    <r>
      <t>k</t>
    </r>
    <r>
      <rPr>
        <sz val="11"/>
        <rFont val="Calibri"/>
        <family val="2"/>
      </rPr>
      <t>Ω</t>
    </r>
  </si>
  <si>
    <r>
      <t>k</t>
    </r>
    <r>
      <rPr>
        <sz val="10"/>
        <rFont val="Arial"/>
        <family val="2"/>
      </rPr>
      <t>Ω</t>
    </r>
  </si>
  <si>
    <t>Maximum Average Output Current of PFC Stage:</t>
  </si>
  <si>
    <t>Recommended Input Capacitor Value:</t>
  </si>
  <si>
    <t>Target Maximum Allowable Inductor Current Ripple:</t>
  </si>
  <si>
    <r>
      <t>I</t>
    </r>
    <r>
      <rPr>
        <vertAlign val="subscript"/>
        <sz val="10"/>
        <rFont val="Arial"/>
        <family val="2"/>
      </rPr>
      <t>RIPPLE(target)</t>
    </r>
  </si>
  <si>
    <t>Actual Value of Input Capacitor Used:</t>
  </si>
  <si>
    <r>
      <t>Actual Value For R</t>
    </r>
    <r>
      <rPr>
        <b/>
        <vertAlign val="subscript"/>
        <sz val="10"/>
        <rFont val="Arial"/>
        <family val="2"/>
      </rPr>
      <t>FREQ</t>
    </r>
    <r>
      <rPr>
        <b/>
        <sz val="10"/>
        <rFont val="Arial"/>
        <family val="2"/>
      </rPr>
      <t xml:space="preserve"> Used: </t>
    </r>
  </si>
  <si>
    <r>
      <t>m</t>
    </r>
    <r>
      <rPr>
        <sz val="10"/>
        <rFont val="Arial"/>
        <family val="2"/>
      </rPr>
      <t>F</t>
    </r>
  </si>
  <si>
    <r>
      <t>V</t>
    </r>
    <r>
      <rPr>
        <vertAlign val="subscript"/>
        <sz val="10"/>
        <rFont val="Arial"/>
        <family val="2"/>
      </rPr>
      <t>CIN(rating)</t>
    </r>
  </si>
  <si>
    <t>Line Current:</t>
  </si>
  <si>
    <r>
      <t>Required Minimum Voltage Rating for C</t>
    </r>
    <r>
      <rPr>
        <vertAlign val="subscript"/>
        <sz val="10"/>
        <rFont val="Arial"/>
        <family val="2"/>
      </rPr>
      <t>IN</t>
    </r>
    <r>
      <rPr>
        <sz val="10"/>
        <rFont val="Arial"/>
        <family val="2"/>
      </rPr>
      <t>:</t>
    </r>
  </si>
  <si>
    <t>Minimum Recommended Boost Inductor Value:</t>
  </si>
  <si>
    <r>
      <t>I</t>
    </r>
    <r>
      <rPr>
        <vertAlign val="subscript"/>
        <sz val="10"/>
        <rFont val="Arial"/>
        <family val="2"/>
      </rPr>
      <t>BRIDGE(rated)</t>
    </r>
  </si>
  <si>
    <r>
      <t>V</t>
    </r>
    <r>
      <rPr>
        <vertAlign val="subscript"/>
        <sz val="10"/>
        <rFont val="Arial"/>
        <family val="2"/>
      </rPr>
      <t>DC_BLOCKING(rated</t>
    </r>
    <r>
      <rPr>
        <sz val="10"/>
        <rFont val="Arial"/>
        <family val="2"/>
      </rPr>
      <t>)</t>
    </r>
  </si>
  <si>
    <r>
      <t>R</t>
    </r>
    <r>
      <rPr>
        <vertAlign val="subscript"/>
        <sz val="10"/>
        <rFont val="Arial"/>
        <family val="2"/>
      </rPr>
      <t>FREQ(recommended)</t>
    </r>
  </si>
  <si>
    <r>
      <t>C</t>
    </r>
    <r>
      <rPr>
        <vertAlign val="subscript"/>
        <sz val="10"/>
        <rFont val="Arial"/>
        <family val="2"/>
      </rPr>
      <t>IN(recommended)</t>
    </r>
  </si>
  <si>
    <r>
      <t>L</t>
    </r>
    <r>
      <rPr>
        <vertAlign val="subscript"/>
        <sz val="10"/>
        <rFont val="Arial"/>
        <family val="2"/>
      </rPr>
      <t>BST(recommended)</t>
    </r>
  </si>
  <si>
    <t>mH factor</t>
  </si>
  <si>
    <t>Resultant Inductor Current Ripple Factor:</t>
  </si>
  <si>
    <r>
      <t>L</t>
    </r>
    <r>
      <rPr>
        <vertAlign val="subscript"/>
        <sz val="10"/>
        <rFont val="Arial"/>
        <family val="2"/>
      </rPr>
      <t>I_ripple_factor(actual)</t>
    </r>
  </si>
  <si>
    <t>VCC Bias Voltage to the UCC28180:</t>
  </si>
  <si>
    <t>Required Diode Blocking Voltage:</t>
  </si>
  <si>
    <r>
      <t>V</t>
    </r>
    <r>
      <rPr>
        <vertAlign val="subscript"/>
        <sz val="10"/>
        <rFont val="Arial"/>
        <family val="2"/>
      </rPr>
      <t>BLOCKING</t>
    </r>
  </si>
  <si>
    <t>Case to Heatsink Thermal Resistance:</t>
  </si>
  <si>
    <r>
      <t>R</t>
    </r>
    <r>
      <rPr>
        <vertAlign val="subscript"/>
        <sz val="10"/>
        <rFont val="Symbol"/>
        <family val="1"/>
      </rPr>
      <t>q</t>
    </r>
    <r>
      <rPr>
        <vertAlign val="subscript"/>
        <sz val="10"/>
        <rFont val="Arial"/>
        <family val="2"/>
      </rPr>
      <t>CHS(Diode)</t>
    </r>
  </si>
  <si>
    <t>FET Thermal Resistance, Case to Heatsink:</t>
  </si>
  <si>
    <r>
      <t>R</t>
    </r>
    <r>
      <rPr>
        <vertAlign val="subscript"/>
        <sz val="10"/>
        <rFont val="Symbol"/>
        <family val="1"/>
      </rPr>
      <t>q</t>
    </r>
    <r>
      <rPr>
        <vertAlign val="subscript"/>
        <sz val="10"/>
        <rFont val="Arial"/>
        <family val="2"/>
      </rPr>
      <t>CHS(FET)</t>
    </r>
  </si>
  <si>
    <t>Inductor Current at Soft Over-Current Threshold:</t>
  </si>
  <si>
    <t>Theoretical Output Over-Current Inception Point:</t>
  </si>
  <si>
    <t>Maximum ISENSE Peak Current Limit Threshold:</t>
  </si>
  <si>
    <t>Standard Component Value Calculations</t>
  </si>
  <si>
    <r>
      <t>C</t>
    </r>
    <r>
      <rPr>
        <vertAlign val="subscript"/>
        <sz val="11"/>
        <rFont val="Arial"/>
        <family val="2"/>
      </rPr>
      <t>OUT</t>
    </r>
  </si>
  <si>
    <r>
      <t>K</t>
    </r>
    <r>
      <rPr>
        <vertAlign val="subscript"/>
        <sz val="11"/>
        <rFont val="Arial"/>
        <family val="2"/>
      </rPr>
      <t>1</t>
    </r>
  </si>
  <si>
    <r>
      <t>K</t>
    </r>
    <r>
      <rPr>
        <vertAlign val="subscript"/>
        <sz val="11"/>
        <rFont val="Arial"/>
        <family val="2"/>
      </rPr>
      <t>FQ</t>
    </r>
  </si>
  <si>
    <r>
      <t>R</t>
    </r>
    <r>
      <rPr>
        <vertAlign val="subscript"/>
        <sz val="11"/>
        <rFont val="Arial"/>
        <family val="2"/>
      </rPr>
      <t>FB2</t>
    </r>
    <r>
      <rPr>
        <sz val="11"/>
        <rFont val="Arial"/>
        <family val="2"/>
      </rPr>
      <t xml:space="preserve"> =</t>
    </r>
  </si>
  <si>
    <r>
      <t>VREF</t>
    </r>
    <r>
      <rPr>
        <vertAlign val="subscript"/>
        <sz val="11"/>
        <rFont val="Arial"/>
        <family val="2"/>
      </rPr>
      <t>nom</t>
    </r>
  </si>
  <si>
    <r>
      <t>VREF</t>
    </r>
    <r>
      <rPr>
        <vertAlign val="subscript"/>
        <sz val="11"/>
        <rFont val="Arial"/>
        <family val="2"/>
      </rPr>
      <t>min</t>
    </r>
  </si>
  <si>
    <r>
      <t>VREF</t>
    </r>
    <r>
      <rPr>
        <vertAlign val="subscript"/>
        <sz val="11"/>
        <rFont val="Arial"/>
        <family val="2"/>
      </rPr>
      <t>max</t>
    </r>
  </si>
  <si>
    <t>Recommended Value for the Bottom Divider Resistor (E48 Series):</t>
  </si>
  <si>
    <r>
      <rPr>
        <sz val="11"/>
        <rFont val="Calibri"/>
        <family val="2"/>
      </rPr>
      <t>µ</t>
    </r>
    <r>
      <rPr>
        <sz val="11"/>
        <rFont val="Arial"/>
        <family val="2"/>
      </rPr>
      <t>F</t>
    </r>
  </si>
  <si>
    <t>VCOMP1</t>
  </si>
  <si>
    <t>VCOMP2</t>
  </si>
  <si>
    <r>
      <t>f</t>
    </r>
    <r>
      <rPr>
        <vertAlign val="subscript"/>
        <sz val="11"/>
        <rFont val="Arial"/>
        <family val="2"/>
      </rPr>
      <t>TYP</t>
    </r>
  </si>
  <si>
    <r>
      <t>a</t>
    </r>
    <r>
      <rPr>
        <vertAlign val="subscript"/>
        <sz val="11"/>
        <rFont val="Arial"/>
        <family val="2"/>
      </rPr>
      <t>2</t>
    </r>
  </si>
  <si>
    <r>
      <t>b</t>
    </r>
    <r>
      <rPr>
        <vertAlign val="subscript"/>
        <sz val="11"/>
        <rFont val="Arial"/>
        <family val="2"/>
      </rPr>
      <t>2</t>
    </r>
  </si>
  <si>
    <r>
      <t>c</t>
    </r>
    <r>
      <rPr>
        <vertAlign val="subscript"/>
        <sz val="11"/>
        <rFont val="Arial"/>
        <family val="2"/>
      </rPr>
      <t>2</t>
    </r>
  </si>
  <si>
    <r>
      <t>d</t>
    </r>
    <r>
      <rPr>
        <vertAlign val="subscript"/>
        <sz val="11"/>
        <rFont val="Arial"/>
        <family val="2"/>
      </rPr>
      <t>2</t>
    </r>
  </si>
  <si>
    <r>
      <t>a</t>
    </r>
    <r>
      <rPr>
        <vertAlign val="subscript"/>
        <sz val="11"/>
        <rFont val="Arial"/>
        <family val="2"/>
      </rPr>
      <t>1</t>
    </r>
  </si>
  <si>
    <r>
      <t>b</t>
    </r>
    <r>
      <rPr>
        <vertAlign val="subscript"/>
        <sz val="11"/>
        <rFont val="Arial"/>
        <family val="2"/>
      </rPr>
      <t>1</t>
    </r>
  </si>
  <si>
    <r>
      <t>c</t>
    </r>
    <r>
      <rPr>
        <vertAlign val="subscript"/>
        <sz val="11"/>
        <rFont val="Arial"/>
        <family val="2"/>
      </rPr>
      <t>1</t>
    </r>
  </si>
  <si>
    <r>
      <t>d</t>
    </r>
    <r>
      <rPr>
        <vertAlign val="subscript"/>
        <sz val="11"/>
        <rFont val="Arial"/>
        <family val="2"/>
      </rPr>
      <t>1</t>
    </r>
  </si>
  <si>
    <r>
      <t>K</t>
    </r>
    <r>
      <rPr>
        <vertAlign val="subscript"/>
        <sz val="11"/>
        <rFont val="Arial"/>
        <family val="2"/>
      </rPr>
      <t>1V2</t>
    </r>
  </si>
  <si>
    <r>
      <t>K</t>
    </r>
    <r>
      <rPr>
        <vertAlign val="subscript"/>
        <sz val="11"/>
        <rFont val="Arial"/>
        <family val="2"/>
      </rPr>
      <t>2V2</t>
    </r>
  </si>
  <si>
    <r>
      <t>K</t>
    </r>
    <r>
      <rPr>
        <vertAlign val="subscript"/>
        <sz val="11"/>
        <rFont val="Arial"/>
        <family val="2"/>
      </rPr>
      <t>3V2</t>
    </r>
  </si>
  <si>
    <r>
      <t>K</t>
    </r>
    <r>
      <rPr>
        <vertAlign val="subscript"/>
        <sz val="11"/>
        <rFont val="Arial"/>
        <family val="2"/>
      </rPr>
      <t>4V2</t>
    </r>
  </si>
  <si>
    <r>
      <t>K</t>
    </r>
    <r>
      <rPr>
        <vertAlign val="subscript"/>
        <sz val="11"/>
        <rFont val="Arial"/>
        <family val="2"/>
      </rPr>
      <t>1V3</t>
    </r>
  </si>
  <si>
    <r>
      <t>K</t>
    </r>
    <r>
      <rPr>
        <vertAlign val="subscript"/>
        <sz val="11"/>
        <rFont val="Arial"/>
        <family val="2"/>
      </rPr>
      <t>2V3</t>
    </r>
  </si>
  <si>
    <r>
      <t>K</t>
    </r>
    <r>
      <rPr>
        <vertAlign val="subscript"/>
        <sz val="11"/>
        <rFont val="Arial"/>
        <family val="2"/>
      </rPr>
      <t>3V3</t>
    </r>
  </si>
  <si>
    <r>
      <t>K</t>
    </r>
    <r>
      <rPr>
        <vertAlign val="subscript"/>
        <sz val="11"/>
        <rFont val="Arial"/>
        <family val="2"/>
      </rPr>
      <t>4V3</t>
    </r>
  </si>
  <si>
    <t>VCOMP3</t>
  </si>
  <si>
    <r>
      <t>K</t>
    </r>
    <r>
      <rPr>
        <vertAlign val="subscript"/>
        <sz val="11"/>
        <rFont val="Arial"/>
        <family val="2"/>
      </rPr>
      <t>5V3</t>
    </r>
  </si>
  <si>
    <r>
      <t>a</t>
    </r>
    <r>
      <rPr>
        <vertAlign val="subscript"/>
        <sz val="11"/>
        <rFont val="Arial"/>
        <family val="2"/>
      </rPr>
      <t>3</t>
    </r>
  </si>
  <si>
    <r>
      <t>b</t>
    </r>
    <r>
      <rPr>
        <vertAlign val="subscript"/>
        <sz val="11"/>
        <rFont val="Arial"/>
        <family val="2"/>
      </rPr>
      <t>3</t>
    </r>
  </si>
  <si>
    <r>
      <t>c</t>
    </r>
    <r>
      <rPr>
        <vertAlign val="subscript"/>
        <sz val="11"/>
        <rFont val="Arial"/>
        <family val="2"/>
      </rPr>
      <t>3</t>
    </r>
  </si>
  <si>
    <t>VCOMP4</t>
  </si>
  <si>
    <r>
      <t>a</t>
    </r>
    <r>
      <rPr>
        <vertAlign val="subscript"/>
        <sz val="11"/>
        <rFont val="Arial"/>
        <family val="2"/>
      </rPr>
      <t>4</t>
    </r>
  </si>
  <si>
    <r>
      <t>b</t>
    </r>
    <r>
      <rPr>
        <vertAlign val="subscript"/>
        <sz val="10"/>
        <rFont val="Arial"/>
        <family val="2"/>
      </rPr>
      <t>4</t>
    </r>
  </si>
  <si>
    <t>VCOMP5</t>
  </si>
  <si>
    <t>VCOMP =</t>
  </si>
  <si>
    <r>
      <t>L</t>
    </r>
    <r>
      <rPr>
        <b/>
        <vertAlign val="subscript"/>
        <sz val="10"/>
        <rFont val="Arial"/>
        <family val="2"/>
      </rPr>
      <t>BST(actual)</t>
    </r>
    <r>
      <rPr>
        <b/>
        <sz val="10"/>
        <rFont val="Arial"/>
        <family val="2"/>
      </rPr>
      <t xml:space="preserve"> =</t>
    </r>
  </si>
  <si>
    <r>
      <t>V</t>
    </r>
    <r>
      <rPr>
        <b/>
        <vertAlign val="subscript"/>
        <sz val="10"/>
        <rFont val="Arial"/>
        <family val="2"/>
      </rPr>
      <t>OUT</t>
    </r>
  </si>
  <si>
    <r>
      <t>V</t>
    </r>
    <r>
      <rPr>
        <vertAlign val="subscript"/>
        <sz val="10"/>
        <rFont val="Arial"/>
        <family val="2"/>
      </rPr>
      <t>OUT(min)</t>
    </r>
  </si>
  <si>
    <r>
      <t>V</t>
    </r>
    <r>
      <rPr>
        <vertAlign val="subscript"/>
        <sz val="10"/>
        <rFont val="Arial"/>
        <family val="2"/>
      </rPr>
      <t>OUT(max)</t>
    </r>
  </si>
  <si>
    <r>
      <t>C</t>
    </r>
    <r>
      <rPr>
        <vertAlign val="subscript"/>
        <sz val="10"/>
        <rFont val="Arial"/>
        <family val="2"/>
      </rPr>
      <t>ICOMPmax(recommended)</t>
    </r>
  </si>
  <si>
    <r>
      <t>g</t>
    </r>
    <r>
      <rPr>
        <vertAlign val="subscript"/>
        <sz val="11"/>
        <rFont val="Arial"/>
        <family val="2"/>
      </rPr>
      <t>mi</t>
    </r>
  </si>
  <si>
    <r>
      <rPr>
        <sz val="11"/>
        <rFont val="Arial"/>
        <family val="2"/>
      </rPr>
      <t>C</t>
    </r>
    <r>
      <rPr>
        <vertAlign val="subscript"/>
        <sz val="11"/>
        <rFont val="Arial"/>
        <family val="2"/>
      </rPr>
      <t>ICOMPmax</t>
    </r>
  </si>
  <si>
    <r>
      <rPr>
        <sz val="11"/>
        <rFont val="Arial"/>
        <family val="2"/>
      </rPr>
      <t>C</t>
    </r>
    <r>
      <rPr>
        <vertAlign val="subscript"/>
        <sz val="11"/>
        <rFont val="Arial"/>
        <family val="2"/>
      </rPr>
      <t>ICOMPmin</t>
    </r>
  </si>
  <si>
    <r>
      <t>C</t>
    </r>
    <r>
      <rPr>
        <vertAlign val="subscript"/>
        <sz val="10"/>
        <rFont val="Arial"/>
        <family val="2"/>
      </rPr>
      <t>ICOMPmin(recommended)</t>
    </r>
  </si>
  <si>
    <r>
      <t>C</t>
    </r>
    <r>
      <rPr>
        <vertAlign val="subscript"/>
        <sz val="11"/>
        <rFont val="Arial"/>
        <family val="2"/>
      </rPr>
      <t>VCOMP</t>
    </r>
  </si>
  <si>
    <r>
      <t>R</t>
    </r>
    <r>
      <rPr>
        <vertAlign val="subscript"/>
        <sz val="11"/>
        <rFont val="Arial"/>
        <family val="2"/>
      </rPr>
      <t>VCOMP</t>
    </r>
  </si>
  <si>
    <r>
      <t>C</t>
    </r>
    <r>
      <rPr>
        <vertAlign val="subscript"/>
        <sz val="11"/>
        <rFont val="Arial"/>
        <family val="2"/>
      </rPr>
      <t>VCOMP_P</t>
    </r>
  </si>
  <si>
    <r>
      <t>g</t>
    </r>
    <r>
      <rPr>
        <vertAlign val="subscript"/>
        <sz val="11"/>
        <rFont val="Arial"/>
        <family val="2"/>
      </rPr>
      <t>mv</t>
    </r>
  </si>
  <si>
    <t>Inductor Peak-to-Peak Current Ripple Factor (i.e. 0.2 for 20%, 0.3 for 30%). Percentage of minimum input, maximum load, inductor current at 50% duty cycle operating point, not recommended to be &gt; 0.4:</t>
  </si>
  <si>
    <r>
      <t>L</t>
    </r>
    <r>
      <rPr>
        <b/>
        <vertAlign val="subscript"/>
        <sz val="10"/>
        <rFont val="Arial"/>
        <family val="2"/>
      </rPr>
      <t>I_ripple_factor(target)</t>
    </r>
  </si>
  <si>
    <r>
      <t>V</t>
    </r>
    <r>
      <rPr>
        <b/>
        <vertAlign val="subscript"/>
        <sz val="10"/>
        <rFont val="Arial"/>
        <family val="2"/>
      </rPr>
      <t>Cin_ripple_factor</t>
    </r>
  </si>
  <si>
    <r>
      <t>C</t>
    </r>
    <r>
      <rPr>
        <b/>
        <vertAlign val="subscript"/>
        <sz val="10"/>
        <rFont val="Arial"/>
        <family val="2"/>
      </rPr>
      <t>IN</t>
    </r>
  </si>
  <si>
    <r>
      <t>C</t>
    </r>
    <r>
      <rPr>
        <b/>
        <vertAlign val="subscript"/>
        <sz val="10"/>
        <rFont val="Arial"/>
        <family val="2"/>
      </rPr>
      <t>ICOMP(actual)</t>
    </r>
  </si>
  <si>
    <r>
      <t>C</t>
    </r>
    <r>
      <rPr>
        <b/>
        <vertAlign val="subscript"/>
        <sz val="10"/>
        <rFont val="Arial"/>
        <family val="2"/>
      </rPr>
      <t>VCOMP_P(actual)</t>
    </r>
  </si>
  <si>
    <r>
      <t>m</t>
    </r>
    <r>
      <rPr>
        <b/>
        <sz val="10"/>
        <rFont val="Arial"/>
        <family val="2"/>
      </rPr>
      <t>F</t>
    </r>
  </si>
  <si>
    <r>
      <t>C</t>
    </r>
    <r>
      <rPr>
        <vertAlign val="subscript"/>
        <sz val="10"/>
        <rFont val="Arial"/>
        <family val="2"/>
      </rPr>
      <t>VCOMP_P(recommended)</t>
    </r>
  </si>
  <si>
    <r>
      <t>C</t>
    </r>
    <r>
      <rPr>
        <vertAlign val="subscript"/>
        <sz val="10"/>
        <rFont val="Arial"/>
        <family val="2"/>
      </rPr>
      <t>VCOMP(recommended)</t>
    </r>
  </si>
  <si>
    <r>
      <t>Actual Value Used for C</t>
    </r>
    <r>
      <rPr>
        <b/>
        <vertAlign val="subscript"/>
        <sz val="10"/>
        <rFont val="Arial"/>
        <family val="2"/>
      </rPr>
      <t>VCOMP</t>
    </r>
    <r>
      <rPr>
        <b/>
        <sz val="10"/>
        <rFont val="Arial"/>
        <family val="2"/>
      </rPr>
      <t xml:space="preserve"> Capacitor:</t>
    </r>
  </si>
  <si>
    <r>
      <t>C</t>
    </r>
    <r>
      <rPr>
        <b/>
        <vertAlign val="subscript"/>
        <sz val="10"/>
        <rFont val="Arial"/>
        <family val="2"/>
      </rPr>
      <t>VCOMP(actual)</t>
    </r>
  </si>
  <si>
    <r>
      <t>Desired Voltage Loop Crossover Frequency ( f</t>
    </r>
    <r>
      <rPr>
        <b/>
        <vertAlign val="subscript"/>
        <sz val="10"/>
        <rFont val="Arial"/>
        <family val="2"/>
      </rPr>
      <t>V</t>
    </r>
    <r>
      <rPr>
        <b/>
        <sz val="10"/>
        <rFont val="Arial"/>
        <family val="2"/>
      </rPr>
      <t xml:space="preserve"> &lt; 20Hz):</t>
    </r>
  </si>
  <si>
    <r>
      <t>f</t>
    </r>
    <r>
      <rPr>
        <b/>
        <vertAlign val="subscript"/>
        <sz val="10"/>
        <rFont val="Arial"/>
        <family val="2"/>
      </rPr>
      <t>V</t>
    </r>
  </si>
  <si>
    <r>
      <t>R</t>
    </r>
    <r>
      <rPr>
        <vertAlign val="subscript"/>
        <sz val="10"/>
        <rFont val="Arial"/>
        <family val="2"/>
      </rPr>
      <t>VCOMP(recommended)</t>
    </r>
  </si>
  <si>
    <r>
      <t>Actual Value Used for R</t>
    </r>
    <r>
      <rPr>
        <b/>
        <vertAlign val="subscript"/>
        <sz val="10"/>
        <rFont val="Arial"/>
        <family val="2"/>
      </rPr>
      <t>VCOMP</t>
    </r>
    <r>
      <rPr>
        <b/>
        <sz val="10"/>
        <rFont val="Arial"/>
        <family val="2"/>
      </rPr>
      <t xml:space="preserve"> Resistor:</t>
    </r>
  </si>
  <si>
    <r>
      <t>R</t>
    </r>
    <r>
      <rPr>
        <b/>
        <vertAlign val="subscript"/>
        <sz val="10"/>
        <rFont val="Arial"/>
        <family val="2"/>
      </rPr>
      <t>VCOMP(actual)</t>
    </r>
  </si>
  <si>
    <r>
      <t>f</t>
    </r>
    <r>
      <rPr>
        <b/>
        <vertAlign val="subscript"/>
        <sz val="10"/>
        <rFont val="Arial"/>
        <family val="2"/>
      </rPr>
      <t>POLE</t>
    </r>
  </si>
  <si>
    <r>
      <t>Resultant Switching Frequency, f</t>
    </r>
    <r>
      <rPr>
        <vertAlign val="subscript"/>
        <sz val="10"/>
        <rFont val="Arial"/>
        <family val="2"/>
      </rPr>
      <t>SW</t>
    </r>
    <r>
      <rPr>
        <sz val="10"/>
        <rFont val="Arial"/>
        <family val="2"/>
      </rPr>
      <t>:</t>
    </r>
  </si>
  <si>
    <r>
      <t>Forward Voltage Drop, at I</t>
    </r>
    <r>
      <rPr>
        <vertAlign val="subscript"/>
        <sz val="10"/>
        <rFont val="Arial"/>
        <family val="2"/>
      </rPr>
      <t>L_PEAK(max)</t>
    </r>
    <r>
      <rPr>
        <sz val="10"/>
        <rFont val="Arial"/>
        <family val="2"/>
      </rPr>
      <t>,125</t>
    </r>
    <r>
      <rPr>
        <sz val="10"/>
        <rFont val="Symbol"/>
        <family val="1"/>
      </rPr>
      <t>°</t>
    </r>
    <r>
      <rPr>
        <sz val="10"/>
        <rFont val="Arial"/>
        <family val="2"/>
      </rPr>
      <t>C:</t>
    </r>
  </si>
  <si>
    <t>Reverse Recovery Losses:</t>
  </si>
  <si>
    <r>
      <t>Bridge Rectifier Forward Voltage, at I</t>
    </r>
    <r>
      <rPr>
        <vertAlign val="subscript"/>
        <sz val="10"/>
        <rFont val="Arial"/>
        <family val="2"/>
      </rPr>
      <t>IN_PEAK(max)</t>
    </r>
    <r>
      <rPr>
        <sz val="10"/>
        <rFont val="Arial"/>
        <family val="2"/>
      </rPr>
      <t>:</t>
    </r>
  </si>
  <si>
    <r>
      <t>V</t>
    </r>
    <r>
      <rPr>
        <vertAlign val="subscript"/>
        <sz val="10"/>
        <rFont val="Arial"/>
        <family val="2"/>
      </rPr>
      <t>F_BRIDGE</t>
    </r>
  </si>
  <si>
    <r>
      <t>R</t>
    </r>
    <r>
      <rPr>
        <vertAlign val="subscript"/>
        <sz val="10"/>
        <rFont val="Symbol"/>
        <family val="1"/>
      </rPr>
      <t>q</t>
    </r>
    <r>
      <rPr>
        <vertAlign val="subscript"/>
        <sz val="10"/>
        <rFont val="Arial"/>
        <family val="2"/>
      </rPr>
      <t>JC(Bridge)</t>
    </r>
  </si>
  <si>
    <r>
      <t>°</t>
    </r>
    <r>
      <rPr>
        <sz val="10"/>
        <rFont val="Arial"/>
        <family val="2"/>
      </rPr>
      <t>C/W</t>
    </r>
  </si>
  <si>
    <r>
      <t>R</t>
    </r>
    <r>
      <rPr>
        <vertAlign val="subscript"/>
        <sz val="10"/>
        <rFont val="Arial"/>
        <family val="2"/>
      </rPr>
      <t>θCHS(Bridge)</t>
    </r>
  </si>
  <si>
    <r>
      <t>°</t>
    </r>
    <r>
      <rPr>
        <sz val="10"/>
        <rFont val="Arial"/>
        <family val="2"/>
      </rPr>
      <t>C</t>
    </r>
  </si>
  <si>
    <r>
      <t>f</t>
    </r>
    <r>
      <rPr>
        <b/>
        <vertAlign val="subscript"/>
        <sz val="10"/>
        <rFont val="Arial"/>
        <family val="2"/>
      </rPr>
      <t>SW(target)</t>
    </r>
  </si>
  <si>
    <t>kΩ</t>
  </si>
  <si>
    <r>
      <t>R</t>
    </r>
    <r>
      <rPr>
        <b/>
        <vertAlign val="subscript"/>
        <sz val="10"/>
        <rFont val="Arial"/>
        <family val="2"/>
      </rPr>
      <t>FREQ</t>
    </r>
    <r>
      <rPr>
        <b/>
        <sz val="10"/>
        <rFont val="Arial"/>
        <family val="2"/>
      </rPr>
      <t xml:space="preserve"> =</t>
    </r>
  </si>
  <si>
    <r>
      <t>f</t>
    </r>
    <r>
      <rPr>
        <vertAlign val="subscript"/>
        <sz val="10"/>
        <rFont val="Arial"/>
        <family val="2"/>
      </rPr>
      <t>SW</t>
    </r>
  </si>
  <si>
    <r>
      <t>I</t>
    </r>
    <r>
      <rPr>
        <vertAlign val="subscript"/>
        <sz val="10"/>
        <rFont val="Arial"/>
        <family val="2"/>
      </rPr>
      <t>OUT</t>
    </r>
  </si>
  <si>
    <r>
      <t>Ideal Value for R</t>
    </r>
    <r>
      <rPr>
        <vertAlign val="subscript"/>
        <sz val="10"/>
        <rFont val="Arial"/>
        <family val="2"/>
      </rPr>
      <t>SENSE</t>
    </r>
    <r>
      <rPr>
        <sz val="10"/>
        <rFont val="Arial"/>
        <family val="2"/>
      </rPr>
      <t>, for 110% Inductor SOC Threshold:</t>
    </r>
  </si>
  <si>
    <r>
      <t>R</t>
    </r>
    <r>
      <rPr>
        <vertAlign val="subscript"/>
        <sz val="10"/>
        <rFont val="Arial"/>
        <family val="2"/>
      </rPr>
      <t>SENSE(ideal)</t>
    </r>
  </si>
  <si>
    <r>
      <t>Actual Value for R</t>
    </r>
    <r>
      <rPr>
        <b/>
        <vertAlign val="subscript"/>
        <sz val="10"/>
        <rFont val="Arial"/>
        <family val="2"/>
      </rPr>
      <t>SENSE</t>
    </r>
    <r>
      <rPr>
        <b/>
        <sz val="10"/>
        <rFont val="Arial"/>
        <family val="2"/>
      </rPr>
      <t>: Current Sense Resistor:</t>
    </r>
  </si>
  <si>
    <r>
      <t>R</t>
    </r>
    <r>
      <rPr>
        <b/>
        <vertAlign val="subscript"/>
        <sz val="10"/>
        <rFont val="Arial"/>
        <family val="2"/>
      </rPr>
      <t>SENSE</t>
    </r>
  </si>
  <si>
    <r>
      <t>C</t>
    </r>
    <r>
      <rPr>
        <b/>
        <vertAlign val="subscript"/>
        <sz val="10"/>
        <rFont val="Arial"/>
        <family val="2"/>
      </rPr>
      <t>OUT</t>
    </r>
  </si>
  <si>
    <r>
      <t>C</t>
    </r>
    <r>
      <rPr>
        <vertAlign val="subscript"/>
        <sz val="10"/>
        <rFont val="Arial"/>
        <family val="2"/>
      </rPr>
      <t>OUT(recommended)</t>
    </r>
  </si>
  <si>
    <r>
      <t>R</t>
    </r>
    <r>
      <rPr>
        <vertAlign val="subscript"/>
        <sz val="10"/>
        <rFont val="Arial"/>
        <family val="2"/>
      </rPr>
      <t>FB1(recommended)</t>
    </r>
  </si>
  <si>
    <r>
      <t>R</t>
    </r>
    <r>
      <rPr>
        <b/>
        <vertAlign val="subscript"/>
        <sz val="10"/>
        <rFont val="Arial"/>
        <family val="2"/>
      </rPr>
      <t>FB1(actual)</t>
    </r>
  </si>
  <si>
    <r>
      <t>R</t>
    </r>
    <r>
      <rPr>
        <vertAlign val="subscript"/>
        <sz val="10"/>
        <rFont val="Arial"/>
        <family val="2"/>
      </rPr>
      <t>FB2(recommended)</t>
    </r>
  </si>
  <si>
    <r>
      <t>R</t>
    </r>
    <r>
      <rPr>
        <b/>
        <vertAlign val="subscript"/>
        <sz val="10"/>
        <rFont val="Arial"/>
        <family val="2"/>
      </rPr>
      <t>FB2(actual)</t>
    </r>
  </si>
  <si>
    <t>Minimum Output Voltage Holdup Time:</t>
  </si>
  <si>
    <r>
      <t>Minimum Output Voltage with respect to V</t>
    </r>
    <r>
      <rPr>
        <vertAlign val="subscript"/>
        <sz val="10"/>
        <rFont val="Arial"/>
        <family val="2"/>
      </rPr>
      <t>REF:</t>
    </r>
  </si>
  <si>
    <r>
      <t>Maximum Output Voltage with respect to V</t>
    </r>
    <r>
      <rPr>
        <vertAlign val="subscript"/>
        <sz val="10"/>
        <rFont val="Arial"/>
        <family val="2"/>
      </rPr>
      <t>REF:</t>
    </r>
  </si>
  <si>
    <t>OVP Set Point: Typical DC Output Voltage to Trigger OVP:</t>
  </si>
  <si>
    <t>UVD Set Point: Typical DC Output Voltage to Trigger UVD:</t>
  </si>
  <si>
    <r>
      <t>Internal Current Loop Gain Factor M</t>
    </r>
    <r>
      <rPr>
        <vertAlign val="subscript"/>
        <sz val="10"/>
        <rFont val="Arial"/>
        <family val="2"/>
      </rPr>
      <t>1</t>
    </r>
    <r>
      <rPr>
        <sz val="10"/>
        <rFont val="Arial"/>
        <family val="2"/>
      </rPr>
      <t>:</t>
    </r>
  </si>
  <si>
    <r>
      <t>Internal Voltage Loop PWM Ramp Slope M</t>
    </r>
    <r>
      <rPr>
        <vertAlign val="subscript"/>
        <sz val="10"/>
        <rFont val="Arial"/>
        <family val="2"/>
      </rPr>
      <t>2</t>
    </r>
    <r>
      <rPr>
        <sz val="10"/>
        <rFont val="Arial"/>
        <family val="2"/>
      </rPr>
      <t>:</t>
    </r>
  </si>
  <si>
    <r>
      <t>Non-Linear Gain Voltage Loop Variable M</t>
    </r>
    <r>
      <rPr>
        <vertAlign val="subscript"/>
        <sz val="10"/>
        <rFont val="Arial"/>
        <family val="2"/>
      </rPr>
      <t>3</t>
    </r>
    <r>
      <rPr>
        <sz val="10"/>
        <rFont val="Arial"/>
        <family val="2"/>
      </rPr>
      <t>:</t>
    </r>
  </si>
  <si>
    <t>Maximum Recommended ICOMP Capacitor Value:</t>
  </si>
  <si>
    <t>Minimum Recommended ICOMP Capacitor Value:</t>
  </si>
  <si>
    <r>
      <t>Desired Voltage Compensation Pole (f</t>
    </r>
    <r>
      <rPr>
        <b/>
        <vertAlign val="subscript"/>
        <sz val="10"/>
        <rFont val="Arial"/>
        <family val="2"/>
      </rPr>
      <t>Pole</t>
    </r>
    <r>
      <rPr>
        <b/>
        <sz val="10"/>
        <rFont val="Arial"/>
        <family val="2"/>
      </rPr>
      <t xml:space="preserve"> &lt; 50Hz):</t>
    </r>
  </si>
  <si>
    <t>Typical Schematic for a PFC Continuous Conduction Mode Boost Converter Using the UCC28180</t>
  </si>
  <si>
    <t>CIN</t>
  </si>
  <si>
    <t>FUSE</t>
  </si>
  <si>
    <t>BRIDGE</t>
  </si>
  <si>
    <r>
      <t>C</t>
    </r>
    <r>
      <rPr>
        <vertAlign val="subscript"/>
        <sz val="11"/>
        <rFont val="Arial"/>
        <family val="2"/>
      </rPr>
      <t>IN</t>
    </r>
  </si>
  <si>
    <t>LBST</t>
  </si>
  <si>
    <t>DBOOST</t>
  </si>
  <si>
    <t>QFET</t>
  </si>
  <si>
    <t>RECOMMENDED BILL OF MATERIALS</t>
  </si>
  <si>
    <t>RSENSE</t>
  </si>
  <si>
    <t>RISENSE</t>
  </si>
  <si>
    <t>CISENSE</t>
  </si>
  <si>
    <t>COUT</t>
  </si>
  <si>
    <r>
      <t>C</t>
    </r>
    <r>
      <rPr>
        <vertAlign val="subscript"/>
        <sz val="11"/>
        <rFont val="Arial"/>
        <family val="2"/>
      </rPr>
      <t>ISENSE</t>
    </r>
  </si>
  <si>
    <t>Recommended ISENSE Series Resistor:</t>
  </si>
  <si>
    <t>Recommended ISENSE Filter Capacitor:</t>
  </si>
  <si>
    <t>RFB1</t>
  </si>
  <si>
    <t>RFB2</t>
  </si>
  <si>
    <t>CVSENSE</t>
  </si>
  <si>
    <t>CICOMP</t>
  </si>
  <si>
    <t>CVCOMP</t>
  </si>
  <si>
    <t>RVCOMP</t>
  </si>
  <si>
    <t>CVCOMP_P</t>
  </si>
  <si>
    <t>RFREQ</t>
  </si>
  <si>
    <t>CVCC</t>
  </si>
  <si>
    <r>
      <t>m</t>
    </r>
    <r>
      <rPr>
        <sz val="16"/>
        <rFont val="Arial"/>
        <family val="2"/>
      </rPr>
      <t>F min</t>
    </r>
  </si>
  <si>
    <r>
      <t>m</t>
    </r>
    <r>
      <rPr>
        <sz val="16"/>
        <rFont val="Arial"/>
        <family val="2"/>
      </rPr>
      <t>F max</t>
    </r>
  </si>
  <si>
    <t>pF min</t>
  </si>
  <si>
    <t>Recommended Values:</t>
  </si>
  <si>
    <t>DSTART</t>
  </si>
  <si>
    <t>Diode, Switching</t>
  </si>
  <si>
    <t>DTURNOFF</t>
  </si>
  <si>
    <t>Diode, Schottky</t>
  </si>
  <si>
    <t>RGATE</t>
  </si>
  <si>
    <t>As Needed</t>
  </si>
  <si>
    <t>RGATE2</t>
  </si>
  <si>
    <r>
      <t>k</t>
    </r>
    <r>
      <rPr>
        <sz val="16"/>
        <rFont val="Calibri"/>
        <family val="2"/>
      </rPr>
      <t>Ω</t>
    </r>
  </si>
  <si>
    <t>VLINE</t>
  </si>
  <si>
    <t>VCOMP as a function of Line voltage at full load</t>
  </si>
  <si>
    <r>
      <t>K</t>
    </r>
    <r>
      <rPr>
        <b/>
        <vertAlign val="subscript"/>
        <sz val="11"/>
        <rFont val="Arial"/>
        <family val="2"/>
      </rPr>
      <t>1V2</t>
    </r>
  </si>
  <si>
    <r>
      <t>K</t>
    </r>
    <r>
      <rPr>
        <b/>
        <vertAlign val="subscript"/>
        <sz val="11"/>
        <rFont val="Arial"/>
        <family val="2"/>
      </rPr>
      <t>2V2</t>
    </r>
  </si>
  <si>
    <r>
      <t>K</t>
    </r>
    <r>
      <rPr>
        <b/>
        <vertAlign val="subscript"/>
        <sz val="11"/>
        <rFont val="Arial"/>
        <family val="2"/>
      </rPr>
      <t>3V2</t>
    </r>
  </si>
  <si>
    <r>
      <t>K</t>
    </r>
    <r>
      <rPr>
        <b/>
        <vertAlign val="subscript"/>
        <sz val="11"/>
        <rFont val="Arial"/>
        <family val="2"/>
      </rPr>
      <t>4V2</t>
    </r>
  </si>
  <si>
    <r>
      <t>K</t>
    </r>
    <r>
      <rPr>
        <b/>
        <vertAlign val="subscript"/>
        <sz val="11"/>
        <rFont val="Arial"/>
        <family val="2"/>
      </rPr>
      <t>1V3</t>
    </r>
  </si>
  <si>
    <r>
      <t>K</t>
    </r>
    <r>
      <rPr>
        <b/>
        <vertAlign val="subscript"/>
        <sz val="11"/>
        <rFont val="Arial"/>
        <family val="2"/>
      </rPr>
      <t>2V3</t>
    </r>
  </si>
  <si>
    <r>
      <t>K</t>
    </r>
    <r>
      <rPr>
        <b/>
        <vertAlign val="subscript"/>
        <sz val="11"/>
        <rFont val="Arial"/>
        <family val="2"/>
      </rPr>
      <t>3V3</t>
    </r>
  </si>
  <si>
    <r>
      <t>K</t>
    </r>
    <r>
      <rPr>
        <b/>
        <vertAlign val="subscript"/>
        <sz val="11"/>
        <rFont val="Arial"/>
        <family val="2"/>
      </rPr>
      <t>4V3</t>
    </r>
  </si>
  <si>
    <r>
      <t>K</t>
    </r>
    <r>
      <rPr>
        <b/>
        <vertAlign val="subscript"/>
        <sz val="11"/>
        <rFont val="Arial"/>
        <family val="2"/>
      </rPr>
      <t>5V3</t>
    </r>
  </si>
  <si>
    <r>
      <t>VCOMP Voltage at V</t>
    </r>
    <r>
      <rPr>
        <b/>
        <vertAlign val="subscript"/>
        <sz val="10"/>
        <rFont val="Arial"/>
        <family val="2"/>
      </rPr>
      <t>INnom</t>
    </r>
    <r>
      <rPr>
        <b/>
        <sz val="10"/>
        <rFont val="Arial"/>
        <family val="2"/>
      </rPr>
      <t>:</t>
    </r>
  </si>
  <si>
    <t>Resultant VCOMP at Full Load</t>
  </si>
  <si>
    <r>
      <t>V</t>
    </r>
    <r>
      <rPr>
        <vertAlign val="subscript"/>
        <sz val="10"/>
        <rFont val="Arial"/>
        <family val="2"/>
      </rPr>
      <t>LINE</t>
    </r>
  </si>
  <si>
    <r>
      <t>VCOMP at V</t>
    </r>
    <r>
      <rPr>
        <vertAlign val="subscript"/>
        <sz val="10"/>
        <rFont val="Arial"/>
        <family val="2"/>
      </rPr>
      <t>LINE</t>
    </r>
  </si>
  <si>
    <t xml:space="preserve">To Calculate VCOMP </t>
  </si>
  <si>
    <t>At User Selectable Line Voltage, Full Load</t>
  </si>
  <si>
    <t>Percent Load</t>
  </si>
  <si>
    <t>Enter Line Voltage for VCOMP calculation</t>
  </si>
  <si>
    <t>Percentage of Full Load for VCOMP Calculation:</t>
  </si>
  <si>
    <t>% of Full Load:</t>
  </si>
  <si>
    <t>%</t>
  </si>
  <si>
    <t>Resultant VCOMP at Selected Load</t>
  </si>
  <si>
    <t>VCOMP at %load selected</t>
  </si>
  <si>
    <t>VCOMP as a function of Load at Given line voltage</t>
  </si>
  <si>
    <t>%Full Load</t>
  </si>
  <si>
    <t>At User Selectable Line Voltage, % of Load</t>
  </si>
  <si>
    <t>IAC RMS</t>
  </si>
  <si>
    <t>ISENSE_Pk</t>
  </si>
  <si>
    <t>ICOMP</t>
  </si>
  <si>
    <t>ICOMP =</t>
  </si>
  <si>
    <t>Resultant ICOMP at Full Load</t>
  </si>
  <si>
    <t xml:space="preserve">ICOMP </t>
  </si>
  <si>
    <t>Rev B</t>
  </si>
  <si>
    <t>To Determine VCOMP for a Specific Line Voltage at Full Load:</t>
  </si>
  <si>
    <t>The Loop will be Optimized at a Selected Specific Line Voltage.  For a Wide Input Range, Optimization is Recommended at the Mean of Min and Max Input.  For a Design with a Specific Nominal Line Voltage, Optimize at that Nominal Voltage. VCOMP at Any Line Voltage or as a Function of Load is Shown at Right</t>
  </si>
  <si>
    <t>To Determine VCOMP at Selected Line Voltage and at a Specific Load, enter a value from 1 to 100 for 1% to 100% load:</t>
  </si>
  <si>
    <t>Line Voltage for Optimized Loop Design:</t>
  </si>
  <si>
    <t>ICOMP Voltage at Vin_Min, ICOMP to be &lt;5.7V to avoid ICOMP amp saturation</t>
  </si>
  <si>
    <r>
      <t>Resistance of Thermistor at 25</t>
    </r>
    <r>
      <rPr>
        <sz val="10"/>
        <rFont val="Symbol"/>
        <family val="1"/>
      </rPr>
      <t>°</t>
    </r>
    <r>
      <rPr>
        <sz val="10"/>
        <rFont val="Arial"/>
        <family val="2"/>
      </rPr>
      <t>C:</t>
    </r>
  </si>
</sst>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00"/>
    <numFmt numFmtId="193" formatCode="&quot;Yes&quot;;&quot;Yes&quot;;&quot;No&quot;"/>
    <numFmt numFmtId="194" formatCode="&quot;True&quot;;&quot;True&quot;;&quot;False&quot;"/>
    <numFmt numFmtId="195" formatCode="&quot;On&quot;;&quot;On&quot;;&quot;Off&quot;"/>
    <numFmt numFmtId="196" formatCode="[$€-2]\ #,##0.00_);[Red]\([$€-2]\ #,##0.00\)"/>
    <numFmt numFmtId="197" formatCode="&quot;$&quot;#,##0.00"/>
    <numFmt numFmtId="198" formatCode="0E+00"/>
  </numFmts>
  <fonts count="100">
    <font>
      <sz val="10"/>
      <name val="Arial"/>
      <family val="2"/>
    </font>
    <font>
      <vertAlign val="subscript"/>
      <sz val="10"/>
      <name val="Arial"/>
      <family val="2"/>
    </font>
    <font>
      <sz val="10"/>
      <color indexed="10"/>
      <name val="Arial"/>
      <family val="2"/>
    </font>
    <font>
      <b/>
      <sz val="12"/>
      <name val="Arial"/>
      <family val="2"/>
    </font>
    <font>
      <sz val="8"/>
      <name val="Arial"/>
      <family val="2"/>
    </font>
    <font>
      <sz val="10"/>
      <name val="Symbol"/>
      <family val="1"/>
    </font>
    <font>
      <b/>
      <sz val="12"/>
      <color indexed="10"/>
      <name val="Arial"/>
      <family val="2"/>
    </font>
    <font>
      <vertAlign val="subscript"/>
      <sz val="10"/>
      <name val="Symbol"/>
      <family val="1"/>
    </font>
    <font>
      <sz val="12"/>
      <name val="Arial"/>
      <family val="2"/>
    </font>
    <font>
      <b/>
      <sz val="10"/>
      <name val="Arial"/>
      <family val="2"/>
    </font>
    <font>
      <b/>
      <vertAlign val="subscript"/>
      <sz val="10"/>
      <name val="Arial"/>
      <family val="2"/>
    </font>
    <font>
      <b/>
      <sz val="11"/>
      <name val="Arial"/>
      <family val="2"/>
    </font>
    <font>
      <b/>
      <sz val="10"/>
      <color indexed="10"/>
      <name val="Arial"/>
      <family val="2"/>
    </font>
    <font>
      <u val="single"/>
      <sz val="10"/>
      <color indexed="12"/>
      <name val="Arial"/>
      <family val="2"/>
    </font>
    <font>
      <u val="single"/>
      <sz val="10"/>
      <color indexed="36"/>
      <name val="Arial"/>
      <family val="2"/>
    </font>
    <font>
      <b/>
      <sz val="14"/>
      <color indexed="10"/>
      <name val="Arial"/>
      <family val="2"/>
    </font>
    <font>
      <b/>
      <sz val="10"/>
      <name val="Symbol"/>
      <family val="1"/>
    </font>
    <font>
      <b/>
      <sz val="16"/>
      <name val="Arial"/>
      <family val="2"/>
    </font>
    <font>
      <b/>
      <sz val="14"/>
      <name val="Arial"/>
      <family val="2"/>
    </font>
    <font>
      <sz val="16"/>
      <color indexed="10"/>
      <name val="Arial"/>
      <family val="2"/>
    </font>
    <font>
      <sz val="16"/>
      <name val="Arial"/>
      <family val="2"/>
    </font>
    <font>
      <sz val="16"/>
      <name val="Symbol"/>
      <family val="1"/>
    </font>
    <font>
      <vertAlign val="subscript"/>
      <sz val="16"/>
      <name val="Arial"/>
      <family val="2"/>
    </font>
    <font>
      <b/>
      <sz val="24"/>
      <color indexed="9"/>
      <name val="Arial"/>
      <family val="2"/>
    </font>
    <font>
      <b/>
      <sz val="9"/>
      <name val="Arial"/>
      <family val="2"/>
    </font>
    <font>
      <b/>
      <i/>
      <sz val="14"/>
      <name val="Arial"/>
      <family val="2"/>
    </font>
    <font>
      <b/>
      <sz val="11"/>
      <color indexed="10"/>
      <name val="Arial"/>
      <family val="2"/>
    </font>
    <font>
      <sz val="11"/>
      <color indexed="8"/>
      <name val="Arial"/>
      <family val="2"/>
    </font>
    <font>
      <sz val="11"/>
      <color indexed="8"/>
      <name val="Calibri"/>
      <family val="2"/>
    </font>
    <font>
      <sz val="11"/>
      <name val="Arial"/>
      <family val="2"/>
    </font>
    <font>
      <vertAlign val="subscript"/>
      <sz val="11"/>
      <name val="Arial"/>
      <family val="2"/>
    </font>
    <font>
      <sz val="11"/>
      <name val="Symbol"/>
      <family val="1"/>
    </font>
    <font>
      <sz val="11"/>
      <name val="Calibri"/>
      <family val="2"/>
    </font>
    <font>
      <b/>
      <sz val="22"/>
      <color indexed="9"/>
      <name val="Arial"/>
      <family val="2"/>
    </font>
    <font>
      <sz val="16"/>
      <name val="Calibri"/>
      <family val="2"/>
    </font>
    <font>
      <b/>
      <vertAlign val="subscript"/>
      <sz val="11"/>
      <name val="Arial"/>
      <family val="2"/>
    </font>
    <font>
      <sz val="9.25"/>
      <color indexed="8"/>
      <name val="Arial"/>
      <family val="2"/>
    </font>
    <font>
      <sz val="10.75"/>
      <color indexed="8"/>
      <name val="Arial"/>
      <family val="2"/>
    </font>
    <font>
      <sz val="7.6"/>
      <color indexed="8"/>
      <name val="Arial"/>
      <family val="2"/>
    </font>
    <font>
      <sz val="10.5"/>
      <color indexed="8"/>
      <name val="Arial"/>
      <family val="2"/>
    </font>
    <font>
      <sz val="7.45"/>
      <color indexed="8"/>
      <name val="Arial"/>
      <family val="2"/>
    </font>
    <font>
      <sz val="11.5"/>
      <color indexed="8"/>
      <name val="Arial"/>
      <family val="2"/>
    </font>
    <font>
      <sz val="8.15"/>
      <color indexed="8"/>
      <name val="Arial"/>
      <family val="2"/>
    </font>
    <font>
      <sz val="9.85"/>
      <color indexed="8"/>
      <name val="Arial"/>
      <family val="2"/>
    </font>
    <font>
      <sz val="9"/>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8"/>
      <color indexed="10"/>
      <name val="Arial"/>
      <family val="2"/>
    </font>
    <font>
      <b/>
      <sz val="10"/>
      <color indexed="8"/>
      <name val="Arial"/>
      <family val="2"/>
    </font>
    <font>
      <sz val="10"/>
      <color indexed="8"/>
      <name val="Arial"/>
      <family val="2"/>
    </font>
    <font>
      <b/>
      <sz val="11"/>
      <color indexed="8"/>
      <name val="Arial"/>
      <family val="2"/>
    </font>
    <font>
      <b/>
      <sz val="14"/>
      <color indexed="9"/>
      <name val="Arial"/>
      <family val="2"/>
    </font>
    <font>
      <b/>
      <sz val="9.25"/>
      <color indexed="8"/>
      <name val="Arial"/>
      <family val="2"/>
    </font>
    <font>
      <b/>
      <vertAlign val="subscript"/>
      <sz val="9.25"/>
      <color indexed="8"/>
      <name val="Arial"/>
      <family val="2"/>
    </font>
    <font>
      <vertAlign val="subscript"/>
      <sz val="9.25"/>
      <color indexed="8"/>
      <name val="Arial"/>
      <family val="2"/>
    </font>
    <font>
      <b/>
      <sz val="10.75"/>
      <color indexed="8"/>
      <name val="Arial"/>
      <family val="2"/>
    </font>
    <font>
      <b/>
      <sz val="11.5"/>
      <color indexed="8"/>
      <name val="Arial"/>
      <family val="2"/>
    </font>
    <font>
      <b/>
      <sz val="10.5"/>
      <color indexed="8"/>
      <name val="Arial"/>
      <family val="2"/>
    </font>
    <font>
      <b/>
      <sz val="12"/>
      <color indexed="8"/>
      <name val="Arial"/>
      <family val="2"/>
    </font>
    <font>
      <b/>
      <sz val="11.25"/>
      <color indexed="8"/>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b/>
      <sz val="10"/>
      <color rgb="FFFF0000"/>
      <name val="Arial"/>
      <family val="2"/>
    </font>
    <font>
      <sz val="11"/>
      <color theme="1"/>
      <name val="Arial"/>
      <family val="2"/>
    </font>
    <font>
      <sz val="10"/>
      <color rgb="FFFF0000"/>
      <name val="Arial"/>
      <family val="2"/>
    </font>
    <font>
      <b/>
      <sz val="8"/>
      <color rgb="FFFF0000"/>
      <name val="Arial"/>
      <family val="2"/>
    </font>
    <font>
      <b/>
      <sz val="10"/>
      <color theme="1"/>
      <name val="Arial"/>
      <family val="2"/>
    </font>
    <font>
      <sz val="10"/>
      <color theme="1"/>
      <name val="Arial"/>
      <family val="2"/>
    </font>
    <font>
      <b/>
      <sz val="11"/>
      <color theme="1"/>
      <name val="Arial"/>
      <family val="2"/>
    </font>
    <font>
      <b/>
      <sz val="14"/>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3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color indexed="63"/>
      </right>
      <top style="thin"/>
      <bottom>
        <color indexed="63"/>
      </bottom>
    </border>
    <border>
      <left>
        <color indexed="63"/>
      </left>
      <right>
        <color indexed="63"/>
      </right>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color indexed="63"/>
      </top>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medium"/>
    </border>
    <border>
      <left style="medium"/>
      <right>
        <color indexed="63"/>
      </right>
      <top style="medium"/>
      <bottom>
        <color indexed="63"/>
      </bottom>
    </border>
    <border>
      <left style="thin"/>
      <right>
        <color indexed="63"/>
      </right>
      <top style="thin"/>
      <bottom style="thin"/>
    </border>
    <border>
      <left>
        <color indexed="63"/>
      </left>
      <right>
        <color indexed="63"/>
      </right>
      <top style="medium"/>
      <bottom style="medium"/>
    </border>
    <border>
      <left>
        <color indexed="63"/>
      </left>
      <right style="medium"/>
      <top style="medium"/>
      <bottom style="medium"/>
    </border>
    <border>
      <left>
        <color indexed="63"/>
      </left>
      <right style="thin"/>
      <top style="thin"/>
      <bottom style="thin"/>
    </border>
    <border>
      <left style="thin"/>
      <right style="thin"/>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medium"/>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color indexed="63"/>
      </bottom>
    </border>
    <border>
      <left>
        <color indexed="63"/>
      </left>
      <right style="medium"/>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5" fillId="2" borderId="0" applyNumberFormat="0" applyBorder="0" applyAlignment="0" applyProtection="0"/>
    <xf numFmtId="0" fontId="75" fillId="3" borderId="0" applyNumberFormat="0" applyBorder="0" applyAlignment="0" applyProtection="0"/>
    <xf numFmtId="0" fontId="75" fillId="4" borderId="0" applyNumberFormat="0" applyBorder="0" applyAlignment="0" applyProtection="0"/>
    <xf numFmtId="0" fontId="75" fillId="5" borderId="0" applyNumberFormat="0" applyBorder="0" applyAlignment="0" applyProtection="0"/>
    <xf numFmtId="0" fontId="75" fillId="6" borderId="0" applyNumberFormat="0" applyBorder="0" applyAlignment="0" applyProtection="0"/>
    <xf numFmtId="0" fontId="75" fillId="7" borderId="0" applyNumberFormat="0" applyBorder="0" applyAlignment="0" applyProtection="0"/>
    <xf numFmtId="0" fontId="75" fillId="8" borderId="0" applyNumberFormat="0" applyBorder="0" applyAlignment="0" applyProtection="0"/>
    <xf numFmtId="0" fontId="75" fillId="9" borderId="0" applyNumberFormat="0" applyBorder="0" applyAlignment="0" applyProtection="0"/>
    <xf numFmtId="0" fontId="75" fillId="10" borderId="0" applyNumberFormat="0" applyBorder="0" applyAlignment="0" applyProtection="0"/>
    <xf numFmtId="0" fontId="75" fillId="11" borderId="0" applyNumberFormat="0" applyBorder="0" applyAlignment="0" applyProtection="0"/>
    <xf numFmtId="0" fontId="75" fillId="12" borderId="0" applyNumberFormat="0" applyBorder="0" applyAlignment="0" applyProtection="0"/>
    <xf numFmtId="0" fontId="75"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1" applyNumberFormat="0" applyFill="0" applyAlignment="0" applyProtection="0"/>
    <xf numFmtId="0" fontId="79" fillId="0" borderId="2" applyNumberFormat="0" applyFill="0" applyAlignment="0" applyProtection="0"/>
    <xf numFmtId="0" fontId="80" fillId="0" borderId="3" applyNumberFormat="0" applyFill="0" applyAlignment="0" applyProtection="0"/>
    <xf numFmtId="0" fontId="80" fillId="0" borderId="0" applyNumberFormat="0" applyFill="0" applyBorder="0" applyAlignment="0" applyProtection="0"/>
    <xf numFmtId="0" fontId="81" fillId="20" borderId="0" applyNumberFormat="0" applyBorder="0" applyAlignment="0" applyProtection="0"/>
    <xf numFmtId="0" fontId="13" fillId="0" borderId="0" applyNumberFormat="0" applyFill="0" applyBorder="0" applyAlignment="0" applyProtection="0"/>
    <xf numFmtId="0" fontId="82" fillId="21" borderId="0" applyNumberFormat="0" applyBorder="0" applyAlignment="0" applyProtection="0"/>
    <xf numFmtId="0" fontId="83" fillId="0" borderId="4"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84" fillId="22" borderId="5" applyNumberFormat="0" applyAlignment="0" applyProtection="0"/>
    <xf numFmtId="0" fontId="85" fillId="23" borderId="6" applyNumberFormat="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7" applyNumberFormat="0" applyFill="0" applyAlignment="0" applyProtection="0"/>
    <xf numFmtId="191" fontId="0" fillId="0" borderId="0" applyFont="0" applyFill="0" applyBorder="0" applyAlignment="0" applyProtection="0"/>
    <xf numFmtId="189" fontId="0" fillId="0" borderId="0" applyFont="0" applyFill="0" applyBorder="0" applyAlignment="0" applyProtection="0"/>
    <xf numFmtId="0" fontId="89" fillId="24" borderId="0" applyNumberFormat="0" applyBorder="0" applyAlignment="0" applyProtection="0"/>
    <xf numFmtId="0" fontId="90" fillId="22" borderId="8" applyNumberFormat="0" applyAlignment="0" applyProtection="0"/>
    <xf numFmtId="0" fontId="91" fillId="25" borderId="5" applyNumberFormat="0" applyAlignment="0" applyProtection="0"/>
    <xf numFmtId="0" fontId="14" fillId="0" borderId="0" applyNumberFormat="0" applyFill="0" applyBorder="0" applyAlignment="0" applyProtection="0"/>
    <xf numFmtId="0" fontId="76" fillId="26" borderId="0" applyNumberFormat="0" applyBorder="0" applyAlignment="0" applyProtection="0"/>
    <xf numFmtId="0" fontId="76" fillId="27" borderId="0" applyNumberFormat="0" applyBorder="0" applyAlignment="0" applyProtection="0"/>
    <xf numFmtId="0" fontId="76" fillId="28" borderId="0" applyNumberFormat="0" applyBorder="0" applyAlignment="0" applyProtection="0"/>
    <xf numFmtId="0" fontId="76" fillId="29" borderId="0" applyNumberFormat="0" applyBorder="0" applyAlignment="0" applyProtection="0"/>
    <xf numFmtId="0" fontId="76" fillId="30" borderId="0" applyNumberFormat="0" applyBorder="0" applyAlignment="0" applyProtection="0"/>
    <xf numFmtId="0" fontId="76" fillId="31" borderId="0" applyNumberFormat="0" applyBorder="0" applyAlignment="0" applyProtection="0"/>
    <xf numFmtId="0" fontId="0" fillId="32" borderId="9" applyNumberFormat="0" applyFont="0" applyAlignment="0" applyProtection="0"/>
  </cellStyleXfs>
  <cellXfs count="278">
    <xf numFmtId="0" fontId="0" fillId="0" borderId="0" xfId="0" applyAlignment="1">
      <alignment/>
    </xf>
    <xf numFmtId="0" fontId="0" fillId="33" borderId="0" xfId="0" applyFill="1" applyBorder="1" applyAlignment="1" applyProtection="1">
      <alignment vertical="center"/>
      <protection/>
    </xf>
    <xf numFmtId="0" fontId="17" fillId="33" borderId="0" xfId="0" applyFont="1" applyFill="1" applyAlignment="1" applyProtection="1">
      <alignment vertical="center"/>
      <protection locked="0"/>
    </xf>
    <xf numFmtId="0" fontId="0" fillId="33" borderId="0" xfId="0" applyFill="1" applyAlignment="1">
      <alignment vertical="center"/>
    </xf>
    <xf numFmtId="0" fontId="17" fillId="33" borderId="10" xfId="0" applyFont="1" applyFill="1" applyBorder="1" applyAlignment="1">
      <alignment vertical="center" wrapText="1"/>
    </xf>
    <xf numFmtId="0" fontId="20" fillId="33" borderId="11" xfId="0" applyFont="1" applyFill="1" applyBorder="1" applyAlignment="1">
      <alignment vertical="center"/>
    </xf>
    <xf numFmtId="0" fontId="20" fillId="33" borderId="0" xfId="0" applyFont="1" applyFill="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xf>
    <xf numFmtId="2" fontId="20" fillId="33" borderId="13" xfId="0" applyNumberFormat="1" applyFont="1" applyFill="1" applyBorder="1" applyAlignment="1">
      <alignment vertical="center"/>
    </xf>
    <xf numFmtId="0" fontId="20" fillId="33" borderId="14" xfId="0" applyFont="1" applyFill="1" applyBorder="1" applyAlignment="1">
      <alignment vertical="center"/>
    </xf>
    <xf numFmtId="1" fontId="20" fillId="33" borderId="11" xfId="0" applyNumberFormat="1" applyFont="1" applyFill="1" applyBorder="1" applyAlignment="1">
      <alignment vertical="center"/>
    </xf>
    <xf numFmtId="0" fontId="20" fillId="33" borderId="15" xfId="0" applyFont="1" applyFill="1" applyBorder="1" applyAlignment="1">
      <alignment vertical="center"/>
    </xf>
    <xf numFmtId="2" fontId="20" fillId="33" borderId="0" xfId="0" applyNumberFormat="1" applyFont="1" applyFill="1" applyBorder="1" applyAlignment="1">
      <alignment vertical="center"/>
    </xf>
    <xf numFmtId="0" fontId="21" fillId="33" borderId="12" xfId="0" applyFont="1" applyFill="1" applyBorder="1" applyAlignment="1">
      <alignment vertical="center"/>
    </xf>
    <xf numFmtId="1" fontId="20" fillId="33" borderId="0" xfId="0" applyNumberFormat="1" applyFont="1" applyFill="1" applyBorder="1" applyAlignment="1">
      <alignment vertical="center"/>
    </xf>
    <xf numFmtId="0" fontId="20" fillId="33" borderId="12" xfId="0" applyFont="1" applyFill="1" applyBorder="1" applyAlignment="1">
      <alignment vertical="center"/>
    </xf>
    <xf numFmtId="2" fontId="20" fillId="33" borderId="11" xfId="0" applyNumberFormat="1" applyFont="1" applyFill="1" applyBorder="1" applyAlignment="1">
      <alignment vertical="center"/>
    </xf>
    <xf numFmtId="192" fontId="20" fillId="33" borderId="13" xfId="0" applyNumberFormat="1" applyFont="1" applyFill="1" applyBorder="1" applyAlignment="1">
      <alignment vertical="center"/>
    </xf>
    <xf numFmtId="4" fontId="20" fillId="33" borderId="13" xfId="0" applyNumberFormat="1" applyFont="1" applyFill="1" applyBorder="1" applyAlignment="1">
      <alignment vertical="center"/>
    </xf>
    <xf numFmtId="0" fontId="21" fillId="33" borderId="14" xfId="0" applyFont="1" applyFill="1" applyBorder="1" applyAlignment="1">
      <alignment vertical="center"/>
    </xf>
    <xf numFmtId="1" fontId="20" fillId="33" borderId="13" xfId="0" applyNumberFormat="1" applyFont="1" applyFill="1" applyBorder="1" applyAlignment="1">
      <alignment vertical="center"/>
    </xf>
    <xf numFmtId="192" fontId="20" fillId="33" borderId="0" xfId="0" applyNumberFormat="1" applyFont="1" applyFill="1" applyBorder="1" applyAlignment="1">
      <alignment vertical="center"/>
    </xf>
    <xf numFmtId="0" fontId="0" fillId="33" borderId="0" xfId="0" applyFill="1" applyAlignment="1">
      <alignment/>
    </xf>
    <xf numFmtId="0" fontId="0" fillId="33" borderId="0" xfId="0" applyFill="1" applyAlignment="1" applyProtection="1">
      <alignment vertical="center"/>
      <protection/>
    </xf>
    <xf numFmtId="0" fontId="92" fillId="33" borderId="0" xfId="0" applyFont="1" applyFill="1" applyAlignment="1" applyProtection="1">
      <alignment vertical="center" wrapText="1"/>
      <protection/>
    </xf>
    <xf numFmtId="0" fontId="92" fillId="33" borderId="0" xfId="0" applyFont="1" applyFill="1" applyAlignment="1" applyProtection="1">
      <alignment vertical="center"/>
      <protection/>
    </xf>
    <xf numFmtId="0" fontId="0" fillId="33" borderId="0" xfId="0" applyFont="1" applyFill="1" applyBorder="1" applyAlignment="1" applyProtection="1">
      <alignment vertical="center"/>
      <protection hidden="1"/>
    </xf>
    <xf numFmtId="192" fontId="0" fillId="33" borderId="0" xfId="0" applyNumberFormat="1" applyFont="1" applyFill="1" applyBorder="1" applyAlignment="1" applyProtection="1">
      <alignment horizontal="right" vertical="center" shrinkToFit="1"/>
      <protection hidden="1"/>
    </xf>
    <xf numFmtId="192" fontId="0" fillId="33" borderId="0" xfId="0" applyNumberFormat="1" applyFill="1" applyAlignment="1" applyProtection="1">
      <alignment vertical="center"/>
      <protection/>
    </xf>
    <xf numFmtId="0" fontId="0" fillId="33" borderId="0" xfId="0" applyFill="1" applyAlignment="1" applyProtection="1">
      <alignment/>
      <protection/>
    </xf>
    <xf numFmtId="192" fontId="92" fillId="33" borderId="0" xfId="0" applyNumberFormat="1" applyFont="1" applyFill="1" applyAlignment="1" applyProtection="1">
      <alignment vertical="center"/>
      <protection/>
    </xf>
    <xf numFmtId="0" fontId="0" fillId="33" borderId="0" xfId="0" applyFont="1" applyFill="1" applyAlignment="1" applyProtection="1">
      <alignment vertical="center"/>
      <protection/>
    </xf>
    <xf numFmtId="0" fontId="0" fillId="33" borderId="0" xfId="0" applyFont="1" applyFill="1" applyBorder="1" applyAlignment="1" applyProtection="1">
      <alignment vertical="center"/>
      <protection/>
    </xf>
    <xf numFmtId="0" fontId="0" fillId="33" borderId="12" xfId="0" applyFill="1" applyBorder="1" applyAlignment="1" applyProtection="1">
      <alignment vertical="center"/>
      <protection/>
    </xf>
    <xf numFmtId="0" fontId="0" fillId="33" borderId="16" xfId="0" applyFill="1" applyBorder="1" applyAlignment="1" applyProtection="1">
      <alignment vertical="center"/>
      <protection/>
    </xf>
    <xf numFmtId="0" fontId="0" fillId="33" borderId="16" xfId="0" applyFont="1" applyFill="1" applyBorder="1" applyAlignment="1" applyProtection="1">
      <alignment vertical="center"/>
      <protection/>
    </xf>
    <xf numFmtId="0" fontId="0" fillId="33" borderId="12" xfId="0" applyFont="1" applyFill="1" applyBorder="1" applyAlignment="1" applyProtection="1">
      <alignment vertical="center"/>
      <protection/>
    </xf>
    <xf numFmtId="0" fontId="9" fillId="33" borderId="0" xfId="0" applyFont="1" applyFill="1" applyAlignment="1">
      <alignment horizontal="right" vertical="center" wrapText="1"/>
    </xf>
    <xf numFmtId="0" fontId="9" fillId="33" borderId="0" xfId="0" applyFont="1" applyFill="1" applyAlignment="1">
      <alignment horizontal="center" vertical="center" wrapText="1"/>
    </xf>
    <xf numFmtId="0" fontId="24" fillId="33" borderId="0" xfId="0" applyFont="1" applyFill="1" applyAlignment="1">
      <alignment horizontal="right" vertical="center" wrapText="1"/>
    </xf>
    <xf numFmtId="0" fontId="24" fillId="33" borderId="0" xfId="0" applyFont="1" applyFill="1" applyAlignment="1">
      <alignment horizontal="left" vertical="center" wrapText="1"/>
    </xf>
    <xf numFmtId="0" fontId="23" fillId="33" borderId="0" xfId="0" applyFont="1" applyFill="1" applyAlignment="1">
      <alignment horizontal="center" vertical="center" wrapText="1"/>
    </xf>
    <xf numFmtId="0" fontId="0" fillId="33" borderId="17" xfId="0" applyFill="1" applyBorder="1" applyAlignment="1" applyProtection="1">
      <alignment vertical="center"/>
      <protection/>
    </xf>
    <xf numFmtId="0" fontId="0" fillId="33" borderId="18" xfId="0" applyFill="1" applyBorder="1" applyAlignment="1" applyProtection="1">
      <alignment vertical="center"/>
      <protection/>
    </xf>
    <xf numFmtId="0" fontId="0" fillId="33" borderId="19" xfId="0" applyFill="1" applyBorder="1" applyAlignment="1" applyProtection="1">
      <alignment vertical="center"/>
      <protection/>
    </xf>
    <xf numFmtId="192" fontId="2" fillId="33" borderId="18" xfId="0" applyNumberFormat="1" applyFont="1" applyFill="1" applyBorder="1" applyAlignment="1" applyProtection="1">
      <alignment vertical="center"/>
      <protection/>
    </xf>
    <xf numFmtId="0" fontId="0" fillId="33" borderId="20" xfId="0" applyFill="1" applyBorder="1" applyAlignment="1" applyProtection="1">
      <alignment vertical="center"/>
      <protection/>
    </xf>
    <xf numFmtId="0" fontId="0" fillId="33" borderId="21" xfId="0" applyFill="1" applyBorder="1" applyAlignment="1" applyProtection="1">
      <alignment vertical="center"/>
      <protection/>
    </xf>
    <xf numFmtId="192" fontId="2" fillId="33" borderId="21" xfId="0" applyNumberFormat="1" applyFont="1" applyFill="1" applyBorder="1" applyAlignment="1" applyProtection="1">
      <alignment vertical="center"/>
      <protection/>
    </xf>
    <xf numFmtId="0" fontId="0" fillId="33" borderId="22" xfId="0" applyFill="1" applyBorder="1" applyAlignment="1" applyProtection="1">
      <alignment vertical="center"/>
      <protection/>
    </xf>
    <xf numFmtId="0" fontId="0" fillId="33" borderId="18" xfId="0" applyFont="1" applyFill="1" applyBorder="1" applyAlignment="1" applyProtection="1">
      <alignment vertical="center"/>
      <protection/>
    </xf>
    <xf numFmtId="0" fontId="0" fillId="33" borderId="19" xfId="0" applyFont="1" applyFill="1" applyBorder="1" applyAlignment="1" applyProtection="1">
      <alignment vertical="center"/>
      <protection/>
    </xf>
    <xf numFmtId="0" fontId="5" fillId="33" borderId="18" xfId="0" applyFont="1" applyFill="1" applyBorder="1" applyAlignment="1" applyProtection="1">
      <alignment vertical="center"/>
      <protection/>
    </xf>
    <xf numFmtId="0" fontId="5" fillId="33" borderId="19" xfId="0" applyFont="1" applyFill="1" applyBorder="1" applyAlignment="1" applyProtection="1">
      <alignment vertical="center"/>
      <protection/>
    </xf>
    <xf numFmtId="0" fontId="5" fillId="33" borderId="22" xfId="0" applyFont="1" applyFill="1" applyBorder="1" applyAlignment="1" applyProtection="1">
      <alignment vertical="center"/>
      <protection/>
    </xf>
    <xf numFmtId="0" fontId="9" fillId="33" borderId="20" xfId="0" applyFont="1" applyFill="1" applyBorder="1" applyAlignment="1" applyProtection="1">
      <alignment vertical="center"/>
      <protection/>
    </xf>
    <xf numFmtId="0" fontId="9" fillId="33" borderId="18" xfId="0" applyFont="1" applyFill="1" applyBorder="1" applyAlignment="1" applyProtection="1">
      <alignment vertical="center"/>
      <protection/>
    </xf>
    <xf numFmtId="192" fontId="12" fillId="33" borderId="18" xfId="0" applyNumberFormat="1" applyFont="1" applyFill="1" applyBorder="1" applyAlignment="1" applyProtection="1">
      <alignment vertical="center"/>
      <protection/>
    </xf>
    <xf numFmtId="0" fontId="9" fillId="33" borderId="19"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9" fillId="33" borderId="17" xfId="0" applyFont="1" applyFill="1" applyBorder="1" applyAlignment="1" applyProtection="1">
      <alignment vertical="center"/>
      <protection/>
    </xf>
    <xf numFmtId="0" fontId="16" fillId="33" borderId="19" xfId="0" applyFont="1" applyFill="1" applyBorder="1" applyAlignment="1" applyProtection="1">
      <alignment vertical="center"/>
      <protection/>
    </xf>
    <xf numFmtId="0" fontId="12" fillId="33" borderId="18" xfId="0" applyNumberFormat="1" applyFont="1" applyFill="1" applyBorder="1" applyAlignment="1" applyProtection="1">
      <alignment vertical="center"/>
      <protection/>
    </xf>
    <xf numFmtId="0" fontId="9" fillId="33" borderId="21" xfId="0" applyFont="1" applyFill="1" applyBorder="1" applyAlignment="1" applyProtection="1">
      <alignment vertical="center"/>
      <protection/>
    </xf>
    <xf numFmtId="1" fontId="12" fillId="33" borderId="21" xfId="0" applyNumberFormat="1" applyFont="1" applyFill="1" applyBorder="1" applyAlignment="1" applyProtection="1">
      <alignment vertical="center"/>
      <protection/>
    </xf>
    <xf numFmtId="0" fontId="9" fillId="33" borderId="22" xfId="0" applyFont="1" applyFill="1" applyBorder="1" applyAlignment="1" applyProtection="1">
      <alignment vertical="center"/>
      <protection/>
    </xf>
    <xf numFmtId="0" fontId="0" fillId="33" borderId="20" xfId="0" applyFont="1" applyFill="1" applyBorder="1" applyAlignment="1" applyProtection="1">
      <alignment vertical="center"/>
      <protection/>
    </xf>
    <xf numFmtId="0" fontId="0" fillId="33" borderId="21" xfId="0" applyFont="1" applyFill="1" applyBorder="1" applyAlignment="1" applyProtection="1">
      <alignment vertical="center"/>
      <protection/>
    </xf>
    <xf numFmtId="192" fontId="2" fillId="33" borderId="21" xfId="0" applyNumberFormat="1" applyFont="1" applyFill="1" applyBorder="1" applyAlignment="1" applyProtection="1">
      <alignment vertical="center"/>
      <protection/>
    </xf>
    <xf numFmtId="0" fontId="0" fillId="33" borderId="22" xfId="0" applyFont="1" applyFill="1" applyBorder="1" applyAlignment="1" applyProtection="1">
      <alignment vertical="center"/>
      <protection/>
    </xf>
    <xf numFmtId="0" fontId="0" fillId="33" borderId="16" xfId="0" applyFill="1" applyBorder="1" applyAlignment="1" applyProtection="1">
      <alignment/>
      <protection/>
    </xf>
    <xf numFmtId="0" fontId="0" fillId="33" borderId="0" xfId="0" applyFill="1" applyBorder="1" applyAlignment="1" applyProtection="1">
      <alignment/>
      <protection/>
    </xf>
    <xf numFmtId="0" fontId="0" fillId="33" borderId="12" xfId="0" applyFill="1" applyBorder="1" applyAlignment="1" applyProtection="1">
      <alignment/>
      <protection/>
    </xf>
    <xf numFmtId="0" fontId="8" fillId="33" borderId="12" xfId="0" applyFont="1" applyFill="1" applyBorder="1" applyAlignment="1" applyProtection="1">
      <alignment horizontal="left" vertical="center"/>
      <protection/>
    </xf>
    <xf numFmtId="0" fontId="0" fillId="33" borderId="19" xfId="0" applyFont="1" applyFill="1" applyBorder="1" applyAlignment="1" applyProtection="1">
      <alignment horizontal="left" vertical="center"/>
      <protection/>
    </xf>
    <xf numFmtId="0" fontId="0" fillId="33" borderId="17" xfId="0" applyFont="1" applyFill="1" applyBorder="1" applyAlignment="1" applyProtection="1">
      <alignment vertical="center"/>
      <protection/>
    </xf>
    <xf numFmtId="192" fontId="2" fillId="33" borderId="18" xfId="0" applyNumberFormat="1" applyFont="1" applyFill="1" applyBorder="1" applyAlignment="1" applyProtection="1">
      <alignment horizontal="right" vertical="center" shrinkToFit="1"/>
      <protection/>
    </xf>
    <xf numFmtId="192" fontId="2" fillId="33" borderId="19" xfId="0" applyNumberFormat="1" applyFont="1" applyFill="1" applyBorder="1" applyAlignment="1" applyProtection="1">
      <alignment horizontal="center" vertical="center"/>
      <protection/>
    </xf>
    <xf numFmtId="192" fontId="2" fillId="33" borderId="18" xfId="0" applyNumberFormat="1" applyFont="1" applyFill="1" applyBorder="1" applyAlignment="1" applyProtection="1">
      <alignment horizontal="right" vertical="center"/>
      <protection/>
    </xf>
    <xf numFmtId="192" fontId="12" fillId="33" borderId="18" xfId="0" applyNumberFormat="1" applyFont="1" applyFill="1" applyBorder="1" applyAlignment="1" applyProtection="1">
      <alignment horizontal="right" vertical="center" shrinkToFit="1"/>
      <protection/>
    </xf>
    <xf numFmtId="192" fontId="0" fillId="33" borderId="0" xfId="0" applyNumberFormat="1" applyFill="1" applyBorder="1" applyAlignment="1" applyProtection="1">
      <alignment vertical="center"/>
      <protection/>
    </xf>
    <xf numFmtId="0" fontId="0" fillId="33" borderId="23" xfId="0" applyFill="1" applyBorder="1" applyAlignment="1" applyProtection="1">
      <alignment vertical="center"/>
      <protection/>
    </xf>
    <xf numFmtId="0" fontId="0" fillId="33" borderId="13" xfId="0" applyFill="1" applyBorder="1" applyAlignment="1" applyProtection="1">
      <alignment vertical="center"/>
      <protection/>
    </xf>
    <xf numFmtId="0" fontId="0" fillId="33" borderId="14" xfId="0" applyFill="1" applyBorder="1" applyAlignment="1" applyProtection="1">
      <alignment vertical="center"/>
      <protection/>
    </xf>
    <xf numFmtId="0" fontId="0" fillId="33" borderId="0" xfId="0" applyFill="1" applyBorder="1" applyAlignment="1" applyProtection="1">
      <alignment horizontal="left" vertical="center" wrapText="1"/>
      <protection/>
    </xf>
    <xf numFmtId="0" fontId="0" fillId="34" borderId="18" xfId="0" applyFill="1" applyBorder="1" applyAlignment="1" applyProtection="1">
      <alignment vertical="center"/>
      <protection locked="0"/>
    </xf>
    <xf numFmtId="0" fontId="93" fillId="33" borderId="18" xfId="0" applyFont="1" applyFill="1" applyBorder="1" applyAlignment="1" applyProtection="1">
      <alignment/>
      <protection/>
    </xf>
    <xf numFmtId="198" fontId="93" fillId="33" borderId="18" xfId="0" applyNumberFormat="1" applyFont="1" applyFill="1" applyBorder="1" applyAlignment="1" applyProtection="1">
      <alignment/>
      <protection/>
    </xf>
    <xf numFmtId="0" fontId="29" fillId="0" borderId="18" xfId="0" applyFont="1" applyBorder="1" applyAlignment="1" applyProtection="1">
      <alignment vertical="center"/>
      <protection hidden="1"/>
    </xf>
    <xf numFmtId="0" fontId="12" fillId="33" borderId="0" xfId="0" applyFont="1" applyFill="1" applyBorder="1" applyAlignment="1" applyProtection="1">
      <alignment horizontal="center" wrapText="1"/>
      <protection/>
    </xf>
    <xf numFmtId="0" fontId="93" fillId="33" borderId="0" xfId="0" applyFont="1" applyFill="1" applyAlignment="1" applyProtection="1">
      <alignment/>
      <protection/>
    </xf>
    <xf numFmtId="0" fontId="92" fillId="33" borderId="0" xfId="0" applyFont="1" applyFill="1" applyBorder="1" applyAlignment="1" applyProtection="1">
      <alignment vertical="center" wrapText="1"/>
      <protection/>
    </xf>
    <xf numFmtId="0" fontId="0" fillId="33" borderId="21" xfId="0" applyFont="1" applyFill="1" applyBorder="1" applyAlignment="1" applyProtection="1">
      <alignment horizontal="left" vertical="center"/>
      <protection/>
    </xf>
    <xf numFmtId="0" fontId="0" fillId="33" borderId="18" xfId="0" applyFont="1" applyFill="1" applyBorder="1" applyAlignment="1" applyProtection="1">
      <alignment horizontal="left" vertical="center"/>
      <protection/>
    </xf>
    <xf numFmtId="0" fontId="9" fillId="33" borderId="18" xfId="0" applyFont="1" applyFill="1" applyBorder="1" applyAlignment="1" applyProtection="1">
      <alignment horizontal="left" vertical="center"/>
      <protection/>
    </xf>
    <xf numFmtId="0" fontId="3" fillId="33" borderId="24" xfId="0" applyFont="1" applyFill="1" applyBorder="1" applyAlignment="1" applyProtection="1">
      <alignment horizontal="right" vertical="center"/>
      <protection/>
    </xf>
    <xf numFmtId="0" fontId="3" fillId="34" borderId="11" xfId="0" applyFont="1" applyFill="1" applyBorder="1" applyAlignment="1" applyProtection="1">
      <alignment horizontal="center" vertical="center"/>
      <protection/>
    </xf>
    <xf numFmtId="0" fontId="9" fillId="33" borderId="23" xfId="0" applyFont="1" applyFill="1" applyBorder="1" applyAlignment="1" applyProtection="1">
      <alignment horizontal="right" vertical="center"/>
      <protection/>
    </xf>
    <xf numFmtId="0" fontId="9" fillId="33" borderId="0" xfId="0" applyFont="1" applyFill="1" applyBorder="1" applyAlignment="1" applyProtection="1">
      <alignment vertical="center"/>
      <protection/>
    </xf>
    <xf numFmtId="0" fontId="20" fillId="33" borderId="12" xfId="0" applyFont="1" applyFill="1" applyBorder="1" applyAlignment="1">
      <alignment horizontal="left" vertical="center" wrapText="1"/>
    </xf>
    <xf numFmtId="192" fontId="94" fillId="33" borderId="18" xfId="0" applyNumberFormat="1" applyFont="1" applyFill="1" applyBorder="1" applyAlignment="1" applyProtection="1">
      <alignment horizontal="right" vertical="center"/>
      <protection/>
    </xf>
    <xf numFmtId="0" fontId="9" fillId="33" borderId="17" xfId="0" applyFont="1" applyFill="1" applyBorder="1" applyAlignment="1" applyProtection="1">
      <alignment vertical="center" wrapText="1"/>
      <protection/>
    </xf>
    <xf numFmtId="192" fontId="2" fillId="33" borderId="18" xfId="0" applyNumberFormat="1" applyFont="1" applyFill="1" applyBorder="1" applyAlignment="1" applyProtection="1">
      <alignment horizontal="right" vertical="center" shrinkToFit="1"/>
      <protection/>
    </xf>
    <xf numFmtId="0" fontId="9" fillId="34" borderId="18" xfId="0" applyFont="1" applyFill="1" applyBorder="1" applyAlignment="1" applyProtection="1">
      <alignment vertical="center"/>
      <protection locked="0"/>
    </xf>
    <xf numFmtId="0" fontId="0" fillId="34" borderId="18" xfId="0" applyFont="1" applyFill="1" applyBorder="1" applyAlignment="1" applyProtection="1">
      <alignment vertical="center"/>
      <protection locked="0"/>
    </xf>
    <xf numFmtId="192" fontId="94" fillId="33" borderId="21" xfId="0" applyNumberFormat="1" applyFont="1" applyFill="1" applyBorder="1" applyAlignment="1" applyProtection="1">
      <alignment vertical="center"/>
      <protection/>
    </xf>
    <xf numFmtId="0" fontId="95" fillId="33" borderId="19" xfId="0" applyFont="1" applyFill="1" applyBorder="1" applyAlignment="1" applyProtection="1">
      <alignment vertical="center" wrapText="1"/>
      <protection/>
    </xf>
    <xf numFmtId="192" fontId="9" fillId="34" borderId="18" xfId="0" applyNumberFormat="1" applyFont="1" applyFill="1" applyBorder="1" applyAlignment="1" applyProtection="1">
      <alignment vertical="center"/>
      <protection locked="0"/>
    </xf>
    <xf numFmtId="1" fontId="9" fillId="34" borderId="18" xfId="0" applyNumberFormat="1" applyFont="1" applyFill="1" applyBorder="1" applyAlignment="1" applyProtection="1">
      <alignment vertical="center"/>
      <protection locked="0"/>
    </xf>
    <xf numFmtId="0" fontId="9" fillId="34" borderId="25" xfId="0" applyFont="1" applyFill="1" applyBorder="1" applyAlignment="1" applyProtection="1">
      <alignment vertical="center"/>
      <protection locked="0"/>
    </xf>
    <xf numFmtId="0" fontId="20" fillId="33" borderId="0" xfId="0" applyFont="1" applyFill="1" applyBorder="1" applyAlignment="1">
      <alignment horizontal="right" vertical="center" wrapText="1"/>
    </xf>
    <xf numFmtId="192" fontId="20" fillId="33" borderId="0" xfId="0" applyNumberFormat="1" applyFont="1" applyFill="1" applyBorder="1" applyAlignment="1">
      <alignment horizontal="right" vertical="center" wrapText="1"/>
    </xf>
    <xf numFmtId="0" fontId="20" fillId="33" borderId="13" xfId="0" applyFont="1" applyFill="1" applyBorder="1" applyAlignment="1">
      <alignment vertical="center" wrapText="1"/>
    </xf>
    <xf numFmtId="0" fontId="20" fillId="33" borderId="14" xfId="0" applyFont="1" applyFill="1" applyBorder="1" applyAlignment="1">
      <alignment vertical="center" wrapText="1"/>
    </xf>
    <xf numFmtId="0" fontId="8" fillId="33" borderId="18" xfId="0" applyFont="1" applyFill="1" applyBorder="1" applyAlignment="1" applyProtection="1">
      <alignment horizontal="left" vertical="center"/>
      <protection/>
    </xf>
    <xf numFmtId="0" fontId="9" fillId="33" borderId="18" xfId="0" applyFont="1" applyFill="1" applyBorder="1" applyAlignment="1" applyProtection="1">
      <alignment/>
      <protection/>
    </xf>
    <xf numFmtId="0" fontId="0" fillId="33" borderId="0" xfId="0" applyFont="1" applyFill="1" applyAlignment="1">
      <alignment/>
    </xf>
    <xf numFmtId="0" fontId="0" fillId="33" borderId="18" xfId="0" applyFont="1" applyFill="1" applyBorder="1" applyAlignment="1" applyProtection="1">
      <alignment horizontal="left" vertical="center"/>
      <protection hidden="1"/>
    </xf>
    <xf numFmtId="192" fontId="0" fillId="33" borderId="18" xfId="0" applyNumberFormat="1" applyFont="1" applyFill="1" applyBorder="1" applyAlignment="1" applyProtection="1">
      <alignment horizontal="left" vertical="center" shrinkToFit="1"/>
      <protection hidden="1"/>
    </xf>
    <xf numFmtId="192" fontId="94" fillId="33" borderId="18" xfId="0" applyNumberFormat="1" applyFont="1" applyFill="1" applyBorder="1" applyAlignment="1" applyProtection="1">
      <alignment horizontal="right" vertical="center" shrinkToFit="1"/>
      <protection hidden="1"/>
    </xf>
    <xf numFmtId="0" fontId="9" fillId="33" borderId="0" xfId="0" applyFont="1" applyFill="1" applyAlignment="1" applyProtection="1">
      <alignment vertical="center" wrapText="1"/>
      <protection/>
    </xf>
    <xf numFmtId="192" fontId="0" fillId="33" borderId="18" xfId="0" applyNumberFormat="1" applyFont="1" applyFill="1" applyBorder="1" applyAlignment="1" applyProtection="1">
      <alignment horizontal="right" vertical="center" shrinkToFit="1"/>
      <protection hidden="1"/>
    </xf>
    <xf numFmtId="192" fontId="94" fillId="33" borderId="18" xfId="0" applyNumberFormat="1" applyFont="1" applyFill="1" applyBorder="1" applyAlignment="1" applyProtection="1">
      <alignment vertical="center"/>
      <protection/>
    </xf>
    <xf numFmtId="0" fontId="9" fillId="33" borderId="26" xfId="0" applyFont="1" applyFill="1" applyBorder="1" applyAlignment="1">
      <alignment vertical="center"/>
    </xf>
    <xf numFmtId="0" fontId="9" fillId="33" borderId="27" xfId="0" applyFont="1" applyFill="1" applyBorder="1" applyAlignment="1">
      <alignment vertical="center"/>
    </xf>
    <xf numFmtId="0" fontId="29" fillId="0" borderId="18" xfId="0" applyFont="1" applyBorder="1" applyAlignment="1" applyProtection="1">
      <alignment horizontal="center" vertical="center"/>
      <protection/>
    </xf>
    <xf numFmtId="0" fontId="29" fillId="0" borderId="0" xfId="0" applyFont="1" applyBorder="1" applyAlignment="1" applyProtection="1">
      <alignment vertical="center"/>
      <protection/>
    </xf>
    <xf numFmtId="0" fontId="29" fillId="0" borderId="18" xfId="0" applyFont="1" applyBorder="1" applyAlignment="1" applyProtection="1">
      <alignment vertical="center"/>
      <protection/>
    </xf>
    <xf numFmtId="192" fontId="29" fillId="0" borderId="18" xfId="0" applyNumberFormat="1" applyFont="1" applyBorder="1" applyAlignment="1" applyProtection="1">
      <alignment horizontal="center" vertical="center" shrinkToFit="1"/>
      <protection/>
    </xf>
    <xf numFmtId="192" fontId="29" fillId="0" borderId="18" xfId="0" applyNumberFormat="1" applyFont="1" applyBorder="1" applyAlignment="1" applyProtection="1">
      <alignment horizontal="center" vertical="center"/>
      <protection/>
    </xf>
    <xf numFmtId="0" fontId="29" fillId="0" borderId="0" xfId="0" applyFont="1" applyBorder="1" applyAlignment="1" applyProtection="1">
      <alignment horizontal="center" vertical="center"/>
      <protection/>
    </xf>
    <xf numFmtId="0" fontId="29" fillId="0" borderId="19" xfId="0" applyFont="1" applyBorder="1" applyAlignment="1" applyProtection="1">
      <alignment vertical="center"/>
      <protection/>
    </xf>
    <xf numFmtId="0" fontId="31" fillId="0" borderId="18" xfId="0" applyFont="1" applyBorder="1" applyAlignment="1" applyProtection="1">
      <alignment vertical="center"/>
      <protection/>
    </xf>
    <xf numFmtId="0" fontId="29" fillId="0" borderId="17" xfId="0" applyFont="1" applyBorder="1" applyAlignment="1" applyProtection="1">
      <alignment vertical="center"/>
      <protection/>
    </xf>
    <xf numFmtId="0" fontId="29" fillId="0" borderId="18" xfId="0" applyFont="1" applyFill="1" applyBorder="1" applyAlignment="1" applyProtection="1">
      <alignment vertical="center"/>
      <protection/>
    </xf>
    <xf numFmtId="0" fontId="29" fillId="0" borderId="25" xfId="0" applyFont="1" applyBorder="1" applyAlignment="1" applyProtection="1">
      <alignment vertical="center"/>
      <protection/>
    </xf>
    <xf numFmtId="0" fontId="29" fillId="0" borderId="28" xfId="0" applyFont="1" applyBorder="1" applyAlignment="1" applyProtection="1">
      <alignment vertical="center"/>
      <protection/>
    </xf>
    <xf numFmtId="192" fontId="29" fillId="0" borderId="18" xfId="0" applyNumberFormat="1" applyFont="1" applyBorder="1" applyAlignment="1" applyProtection="1">
      <alignment vertical="center"/>
      <protection/>
    </xf>
    <xf numFmtId="0" fontId="29" fillId="0" borderId="28" xfId="0" applyFont="1" applyFill="1" applyBorder="1" applyAlignment="1" applyProtection="1">
      <alignment vertical="center"/>
      <protection/>
    </xf>
    <xf numFmtId="192" fontId="29" fillId="0" borderId="18" xfId="0" applyNumberFormat="1" applyFont="1" applyFill="1" applyBorder="1" applyAlignment="1" applyProtection="1">
      <alignment vertical="center"/>
      <protection/>
    </xf>
    <xf numFmtId="0" fontId="29" fillId="0" borderId="20" xfId="0" applyFont="1" applyBorder="1" applyAlignment="1" applyProtection="1">
      <alignment vertical="center"/>
      <protection/>
    </xf>
    <xf numFmtId="0" fontId="29" fillId="0" borderId="21" xfId="0" applyFont="1" applyBorder="1" applyAlignment="1" applyProtection="1">
      <alignment vertical="center"/>
      <protection/>
    </xf>
    <xf numFmtId="0" fontId="29" fillId="0" borderId="22" xfId="0" applyFont="1" applyBorder="1" applyAlignment="1" applyProtection="1">
      <alignment vertical="center"/>
      <protection/>
    </xf>
    <xf numFmtId="0" fontId="11" fillId="0" borderId="0" xfId="0" applyFont="1" applyBorder="1" applyAlignment="1" applyProtection="1">
      <alignment vertical="center"/>
      <protection/>
    </xf>
    <xf numFmtId="0" fontId="30" fillId="0" borderId="0" xfId="0" applyFont="1" applyBorder="1" applyAlignment="1" applyProtection="1">
      <alignment vertical="center"/>
      <protection/>
    </xf>
    <xf numFmtId="0" fontId="29" fillId="0" borderId="0" xfId="0" applyFont="1" applyBorder="1" applyAlignment="1" applyProtection="1">
      <alignment horizontal="right"/>
      <protection/>
    </xf>
    <xf numFmtId="0" fontId="0" fillId="0" borderId="0" xfId="0" applyAlignment="1" applyProtection="1">
      <alignment/>
      <protection/>
    </xf>
    <xf numFmtId="0" fontId="0" fillId="0" borderId="0" xfId="0" applyFont="1" applyAlignment="1" applyProtection="1">
      <alignment/>
      <protection/>
    </xf>
    <xf numFmtId="0" fontId="9" fillId="0" borderId="18" xfId="0" applyFont="1" applyBorder="1" applyAlignment="1" applyProtection="1">
      <alignment horizontal="center"/>
      <protection/>
    </xf>
    <xf numFmtId="0" fontId="11" fillId="0" borderId="18" xfId="0" applyFont="1" applyBorder="1" applyAlignment="1" applyProtection="1">
      <alignment horizontal="center" vertical="center"/>
      <protection/>
    </xf>
    <xf numFmtId="0" fontId="9" fillId="0" borderId="18" xfId="0" applyFont="1" applyFill="1" applyBorder="1" applyAlignment="1" applyProtection="1">
      <alignment horizontal="center"/>
      <protection/>
    </xf>
    <xf numFmtId="0" fontId="11" fillId="0" borderId="18" xfId="0" applyFont="1" applyFill="1" applyBorder="1" applyAlignment="1" applyProtection="1">
      <alignment horizontal="center" vertical="center"/>
      <protection/>
    </xf>
    <xf numFmtId="0" fontId="0" fillId="16" borderId="18" xfId="0" applyFill="1" applyBorder="1" applyAlignment="1" applyProtection="1">
      <alignment/>
      <protection/>
    </xf>
    <xf numFmtId="0" fontId="0" fillId="0" borderId="18" xfId="0" applyBorder="1" applyAlignment="1" applyProtection="1">
      <alignment/>
      <protection/>
    </xf>
    <xf numFmtId="0" fontId="0" fillId="0" borderId="18" xfId="0" applyFill="1" applyBorder="1" applyAlignment="1" applyProtection="1">
      <alignment/>
      <protection/>
    </xf>
    <xf numFmtId="0" fontId="0" fillId="0" borderId="0" xfId="0" applyFill="1" applyAlignment="1" applyProtection="1">
      <alignment/>
      <protection/>
    </xf>
    <xf numFmtId="0" fontId="95" fillId="33" borderId="0" xfId="0" applyFont="1" applyFill="1" applyAlignment="1" applyProtection="1">
      <alignment vertical="center" wrapText="1"/>
      <protection/>
    </xf>
    <xf numFmtId="0" fontId="95" fillId="33" borderId="0" xfId="0" applyFont="1" applyFill="1" applyAlignment="1" applyProtection="1">
      <alignment vertical="center"/>
      <protection/>
    </xf>
    <xf numFmtId="0" fontId="11" fillId="34" borderId="18" xfId="0" applyFont="1" applyFill="1" applyBorder="1" applyAlignment="1" applyProtection="1">
      <alignment vertical="center"/>
      <protection hidden="1" locked="0"/>
    </xf>
    <xf numFmtId="192" fontId="9" fillId="34" borderId="18" xfId="0" applyNumberFormat="1" applyFont="1" applyFill="1" applyBorder="1" applyAlignment="1" applyProtection="1">
      <alignment horizontal="right" vertical="center" shrinkToFit="1"/>
      <protection hidden="1" locked="0"/>
    </xf>
    <xf numFmtId="0" fontId="96" fillId="0" borderId="18" xfId="0" applyFont="1" applyBorder="1" applyAlignment="1">
      <alignment horizontal="center"/>
    </xf>
    <xf numFmtId="192" fontId="96" fillId="0" borderId="18" xfId="0" applyNumberFormat="1" applyFont="1" applyBorder="1" applyAlignment="1">
      <alignment horizontal="center"/>
    </xf>
    <xf numFmtId="0" fontId="97" fillId="16" borderId="18" xfId="0" applyFont="1" applyFill="1" applyBorder="1" applyAlignment="1">
      <alignment/>
    </xf>
    <xf numFmtId="192" fontId="97" fillId="16" borderId="18" xfId="0" applyNumberFormat="1" applyFont="1" applyFill="1" applyBorder="1" applyAlignment="1">
      <alignment/>
    </xf>
    <xf numFmtId="0" fontId="97" fillId="0" borderId="18" xfId="0" applyFont="1" applyBorder="1" applyAlignment="1">
      <alignment/>
    </xf>
    <xf numFmtId="192" fontId="97" fillId="0" borderId="18" xfId="0" applyNumberFormat="1" applyFont="1" applyBorder="1" applyAlignment="1">
      <alignment/>
    </xf>
    <xf numFmtId="0" fontId="98" fillId="0" borderId="18" xfId="0" applyFont="1" applyBorder="1" applyAlignment="1">
      <alignment horizontal="center"/>
    </xf>
    <xf numFmtId="192" fontId="98" fillId="0" borderId="18" xfId="0" applyNumberFormat="1" applyFont="1" applyBorder="1" applyAlignment="1">
      <alignment horizontal="center"/>
    </xf>
    <xf numFmtId="192" fontId="0" fillId="16" borderId="0" xfId="0" applyNumberFormat="1" applyFill="1" applyBorder="1" applyAlignment="1" applyProtection="1">
      <alignment horizontal="center"/>
      <protection/>
    </xf>
    <xf numFmtId="192" fontId="97" fillId="16" borderId="18" xfId="0" applyNumberFormat="1" applyFont="1" applyFill="1" applyBorder="1" applyAlignment="1">
      <alignment/>
    </xf>
    <xf numFmtId="192" fontId="0" fillId="0" borderId="0" xfId="0" applyNumberFormat="1" applyFill="1" applyBorder="1" applyAlignment="1" applyProtection="1">
      <alignment horizontal="center"/>
      <protection/>
    </xf>
    <xf numFmtId="192" fontId="97" fillId="0" borderId="18" xfId="0" applyNumberFormat="1" applyFont="1" applyBorder="1" applyAlignment="1">
      <alignment/>
    </xf>
    <xf numFmtId="0" fontId="29" fillId="0" borderId="29" xfId="0" applyFont="1" applyFill="1" applyBorder="1" applyAlignment="1" applyProtection="1">
      <alignment vertical="center"/>
      <protection/>
    </xf>
    <xf numFmtId="0" fontId="29" fillId="0" borderId="0" xfId="0" applyFont="1" applyAlignment="1" applyProtection="1">
      <alignment/>
      <protection/>
    </xf>
    <xf numFmtId="192" fontId="0" fillId="33" borderId="18" xfId="0" applyNumberFormat="1" applyFont="1" applyFill="1" applyBorder="1" applyAlignment="1" applyProtection="1">
      <alignment vertical="center"/>
      <protection locked="0"/>
    </xf>
    <xf numFmtId="0" fontId="0" fillId="33" borderId="17" xfId="0" applyFont="1" applyFill="1" applyBorder="1" applyAlignment="1" applyProtection="1">
      <alignment vertical="center"/>
      <protection/>
    </xf>
    <xf numFmtId="0" fontId="4" fillId="33" borderId="16" xfId="0" applyFont="1" applyFill="1" applyBorder="1" applyAlignment="1" applyProtection="1">
      <alignment horizontal="left" vertical="center" wrapText="1"/>
      <protection/>
    </xf>
    <xf numFmtId="0" fontId="4" fillId="33" borderId="0" xfId="0" applyFont="1" applyFill="1" applyBorder="1" applyAlignment="1" applyProtection="1">
      <alignment horizontal="left" vertical="center" wrapText="1"/>
      <protection/>
    </xf>
    <xf numFmtId="0" fontId="4" fillId="33" borderId="12" xfId="0" applyFont="1" applyFill="1" applyBorder="1" applyAlignment="1" applyProtection="1">
      <alignment horizontal="left" vertical="center" wrapText="1"/>
      <protection/>
    </xf>
    <xf numFmtId="0" fontId="4" fillId="33" borderId="23" xfId="0" applyFont="1" applyFill="1" applyBorder="1" applyAlignment="1" applyProtection="1">
      <alignment horizontal="left" vertical="center" wrapText="1"/>
      <protection/>
    </xf>
    <xf numFmtId="0" fontId="4" fillId="33" borderId="13" xfId="0" applyFont="1" applyFill="1" applyBorder="1" applyAlignment="1" applyProtection="1">
      <alignment horizontal="left" vertical="center" wrapText="1"/>
      <protection/>
    </xf>
    <xf numFmtId="0" fontId="4" fillId="33" borderId="14" xfId="0" applyFont="1" applyFill="1" applyBorder="1" applyAlignment="1" applyProtection="1">
      <alignment horizontal="left" vertical="center" wrapText="1"/>
      <protection/>
    </xf>
    <xf numFmtId="0" fontId="18" fillId="33" borderId="16" xfId="0" applyFont="1" applyFill="1" applyBorder="1" applyAlignment="1" applyProtection="1">
      <alignment horizontal="center" vertical="center"/>
      <protection/>
    </xf>
    <xf numFmtId="0" fontId="15" fillId="33" borderId="0" xfId="0" applyFont="1" applyFill="1" applyBorder="1" applyAlignment="1" applyProtection="1">
      <alignment horizontal="center" vertical="center"/>
      <protection/>
    </xf>
    <xf numFmtId="0" fontId="15" fillId="33" borderId="12" xfId="0" applyFont="1" applyFill="1" applyBorder="1" applyAlignment="1" applyProtection="1">
      <alignment horizontal="center" vertical="center"/>
      <protection/>
    </xf>
    <xf numFmtId="0" fontId="11" fillId="33" borderId="16" xfId="0" applyFont="1" applyFill="1" applyBorder="1" applyAlignment="1" applyProtection="1">
      <alignment horizontal="center" vertical="center" wrapText="1"/>
      <protection/>
    </xf>
    <xf numFmtId="0" fontId="11" fillId="33" borderId="0"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11" fillId="33" borderId="24"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23" xfId="0" applyFont="1" applyFill="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92" fillId="33" borderId="11" xfId="0" applyFont="1" applyFill="1" applyBorder="1" applyAlignment="1" applyProtection="1">
      <alignment horizontal="center" vertical="center" wrapText="1"/>
      <protection/>
    </xf>
    <xf numFmtId="0" fontId="92" fillId="33" borderId="13" xfId="0" applyFont="1" applyFill="1" applyBorder="1" applyAlignment="1" applyProtection="1">
      <alignment horizontal="center" vertical="center" wrapText="1"/>
      <protection/>
    </xf>
    <xf numFmtId="0" fontId="92" fillId="33" borderId="0" xfId="0" applyFont="1" applyFill="1" applyBorder="1" applyAlignment="1" applyProtection="1">
      <alignment horizontal="center" vertical="center" wrapText="1"/>
      <protection/>
    </xf>
    <xf numFmtId="0" fontId="3" fillId="33" borderId="30" xfId="0" applyFont="1" applyFill="1" applyBorder="1" applyAlignment="1" applyProtection="1">
      <alignment horizontal="left" vertical="center"/>
      <protection/>
    </xf>
    <xf numFmtId="0" fontId="3" fillId="33" borderId="31" xfId="0" applyFont="1" applyFill="1" applyBorder="1" applyAlignment="1" applyProtection="1">
      <alignment horizontal="left" vertical="center"/>
      <protection/>
    </xf>
    <xf numFmtId="0" fontId="3" fillId="33" borderId="32" xfId="0" applyFont="1" applyFill="1" applyBorder="1" applyAlignment="1" applyProtection="1">
      <alignment horizontal="left" vertical="center"/>
      <protection/>
    </xf>
    <xf numFmtId="0" fontId="92" fillId="33" borderId="11" xfId="0" applyFont="1" applyFill="1" applyBorder="1" applyAlignment="1" applyProtection="1">
      <alignment horizontal="center" vertical="center"/>
      <protection/>
    </xf>
    <xf numFmtId="0" fontId="92" fillId="33" borderId="13" xfId="0" applyFont="1" applyFill="1" applyBorder="1" applyAlignment="1" applyProtection="1">
      <alignment horizontal="center" vertical="center"/>
      <protection/>
    </xf>
    <xf numFmtId="0" fontId="33" fillId="35" borderId="33" xfId="0" applyFont="1" applyFill="1" applyBorder="1" applyAlignment="1">
      <alignment horizontal="center" vertical="center"/>
    </xf>
    <xf numFmtId="0" fontId="33" fillId="35" borderId="26" xfId="0" applyFont="1" applyFill="1" applyBorder="1" applyAlignment="1">
      <alignment horizontal="center" vertical="center"/>
    </xf>
    <xf numFmtId="0" fontId="33" fillId="35" borderId="27" xfId="0" applyFont="1" applyFill="1" applyBorder="1" applyAlignment="1">
      <alignment horizontal="center" vertical="center"/>
    </xf>
    <xf numFmtId="0" fontId="99" fillId="35" borderId="33" xfId="0" applyFont="1" applyFill="1" applyBorder="1" applyAlignment="1" applyProtection="1">
      <alignment horizontal="center" vertical="center" wrapText="1"/>
      <protection/>
    </xf>
    <xf numFmtId="0" fontId="99" fillId="35" borderId="26" xfId="0" applyFont="1" applyFill="1" applyBorder="1" applyAlignment="1" applyProtection="1">
      <alignment horizontal="center" vertical="center" wrapText="1"/>
      <protection/>
    </xf>
    <xf numFmtId="0" fontId="99" fillId="35" borderId="27" xfId="0" applyFont="1" applyFill="1" applyBorder="1" applyAlignment="1" applyProtection="1">
      <alignment horizontal="center" vertical="center" wrapText="1"/>
      <protection/>
    </xf>
    <xf numFmtId="0" fontId="3" fillId="33" borderId="11" xfId="0" applyFont="1" applyFill="1" applyBorder="1" applyAlignment="1" applyProtection="1">
      <alignment horizontal="left" vertical="center"/>
      <protection/>
    </xf>
    <xf numFmtId="0" fontId="3" fillId="33" borderId="15" xfId="0" applyFont="1" applyFill="1" applyBorder="1" applyAlignment="1" applyProtection="1">
      <alignment horizontal="left" vertical="center"/>
      <protection/>
    </xf>
    <xf numFmtId="0" fontId="3" fillId="33" borderId="16"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0" fillId="33" borderId="11" xfId="0" applyFill="1" applyBorder="1" applyAlignment="1" applyProtection="1">
      <alignment horizontal="center" vertical="center"/>
      <protection/>
    </xf>
    <xf numFmtId="0" fontId="0" fillId="33" borderId="13" xfId="0" applyFill="1" applyBorder="1" applyAlignment="1" applyProtection="1">
      <alignment horizontal="center" vertical="center"/>
      <protection/>
    </xf>
    <xf numFmtId="0" fontId="0" fillId="33" borderId="0" xfId="0" applyFill="1" applyBorder="1" applyAlignment="1" applyProtection="1">
      <alignment horizontal="center" vertical="center"/>
      <protection/>
    </xf>
    <xf numFmtId="0" fontId="9" fillId="33" borderId="24" xfId="0" applyFont="1" applyFill="1" applyBorder="1" applyAlignment="1" applyProtection="1">
      <alignment horizontal="left" vertical="center"/>
      <protection/>
    </xf>
    <xf numFmtId="0" fontId="9" fillId="33" borderId="11" xfId="0" applyFont="1" applyFill="1" applyBorder="1" applyAlignment="1" applyProtection="1">
      <alignment horizontal="left" vertical="center"/>
      <protection/>
    </xf>
    <xf numFmtId="0" fontId="9" fillId="33" borderId="15" xfId="0" applyFont="1" applyFill="1" applyBorder="1" applyAlignment="1" applyProtection="1">
      <alignment horizontal="left" vertical="center"/>
      <protection/>
    </xf>
    <xf numFmtId="0" fontId="11" fillId="33" borderId="16" xfId="0" applyFont="1" applyFill="1" applyBorder="1" applyAlignment="1" applyProtection="1">
      <alignment horizontal="left" vertical="center"/>
      <protection/>
    </xf>
    <xf numFmtId="0" fontId="11" fillId="33" borderId="0" xfId="0" applyFont="1" applyFill="1" applyBorder="1" applyAlignment="1" applyProtection="1">
      <alignment horizontal="left" vertical="center"/>
      <protection/>
    </xf>
    <xf numFmtId="0" fontId="11" fillId="33" borderId="12" xfId="0" applyFont="1" applyFill="1" applyBorder="1" applyAlignment="1" applyProtection="1">
      <alignment horizontal="left" vertical="center"/>
      <protection/>
    </xf>
    <xf numFmtId="0" fontId="11" fillId="33" borderId="34" xfId="0" applyFont="1" applyFill="1" applyBorder="1" applyAlignment="1" applyProtection="1">
      <alignment horizontal="left" vertical="center"/>
      <protection/>
    </xf>
    <xf numFmtId="0" fontId="11" fillId="33" borderId="35" xfId="0" applyFont="1" applyFill="1" applyBorder="1" applyAlignment="1" applyProtection="1">
      <alignment horizontal="left" vertical="center"/>
      <protection/>
    </xf>
    <xf numFmtId="0" fontId="11" fillId="33" borderId="36" xfId="0" applyFont="1" applyFill="1" applyBorder="1" applyAlignment="1" applyProtection="1">
      <alignment horizontal="left" vertical="center"/>
      <protection/>
    </xf>
    <xf numFmtId="0" fontId="9" fillId="33" borderId="0" xfId="0" applyFont="1" applyFill="1" applyAlignment="1" applyProtection="1">
      <alignment horizontal="left" vertical="center" wrapText="1"/>
      <protection/>
    </xf>
    <xf numFmtId="0" fontId="95" fillId="33" borderId="16" xfId="0" applyFont="1" applyFill="1" applyBorder="1" applyAlignment="1" applyProtection="1">
      <alignment horizontal="left" vertical="center" wrapText="1"/>
      <protection/>
    </xf>
    <xf numFmtId="0" fontId="95" fillId="33" borderId="0" xfId="0" applyFont="1" applyFill="1" applyAlignment="1" applyProtection="1">
      <alignment horizontal="left" vertical="center" wrapText="1"/>
      <protection/>
    </xf>
    <xf numFmtId="0" fontId="9" fillId="33" borderId="25" xfId="0" applyFont="1" applyFill="1" applyBorder="1" applyAlignment="1" applyProtection="1">
      <alignment horizontal="left" vertical="center" wrapText="1"/>
      <protection/>
    </xf>
    <xf numFmtId="0" fontId="9" fillId="33" borderId="35" xfId="0" applyFont="1" applyFill="1" applyBorder="1" applyAlignment="1" applyProtection="1">
      <alignment horizontal="left" vertical="center" wrapText="1"/>
      <protection/>
    </xf>
    <xf numFmtId="0" fontId="9" fillId="33" borderId="28" xfId="0" applyFont="1" applyFill="1" applyBorder="1" applyAlignment="1" applyProtection="1">
      <alignment horizontal="left" vertical="center" wrapText="1"/>
      <protection/>
    </xf>
    <xf numFmtId="192" fontId="12" fillId="33" borderId="34" xfId="0" applyNumberFormat="1" applyFont="1" applyFill="1" applyBorder="1" applyAlignment="1" applyProtection="1">
      <alignment horizontal="right" vertical="center"/>
      <protection/>
    </xf>
    <xf numFmtId="192" fontId="12" fillId="33" borderId="35" xfId="0" applyNumberFormat="1" applyFont="1" applyFill="1" applyBorder="1" applyAlignment="1" applyProtection="1">
      <alignment horizontal="right" vertical="center"/>
      <protection/>
    </xf>
    <xf numFmtId="192" fontId="12" fillId="33" borderId="36" xfId="0" applyNumberFormat="1" applyFont="1" applyFill="1" applyBorder="1" applyAlignment="1" applyProtection="1">
      <alignment horizontal="right" vertical="center"/>
      <protection/>
    </xf>
    <xf numFmtId="0" fontId="0" fillId="33" borderId="25" xfId="0" applyFont="1" applyFill="1" applyBorder="1" applyAlignment="1" applyProtection="1">
      <alignment horizontal="left" vertical="center"/>
      <protection hidden="1"/>
    </xf>
    <xf numFmtId="0" fontId="0" fillId="33" borderId="28" xfId="0" applyFont="1" applyFill="1" applyBorder="1" applyAlignment="1" applyProtection="1">
      <alignment horizontal="left" vertical="center"/>
      <protection hidden="1"/>
    </xf>
    <xf numFmtId="0" fontId="0" fillId="33" borderId="25" xfId="0" applyFont="1" applyFill="1" applyBorder="1" applyAlignment="1" applyProtection="1">
      <alignment horizontal="left" vertical="center"/>
      <protection/>
    </xf>
    <xf numFmtId="0" fontId="0" fillId="33" borderId="28" xfId="0" applyFont="1" applyFill="1" applyBorder="1" applyAlignment="1" applyProtection="1">
      <alignment horizontal="left" vertical="center"/>
      <protection/>
    </xf>
    <xf numFmtId="0" fontId="9" fillId="33" borderId="0" xfId="0" applyFont="1" applyFill="1" applyAlignment="1" applyProtection="1">
      <alignment horizontal="left" vertical="center"/>
      <protection/>
    </xf>
    <xf numFmtId="0" fontId="19" fillId="33" borderId="24" xfId="0" applyFont="1" applyFill="1" applyBorder="1" applyAlignment="1">
      <alignment horizontal="center" vertical="center"/>
    </xf>
    <xf numFmtId="0" fontId="19" fillId="33" borderId="23" xfId="0" applyFont="1" applyFill="1" applyBorder="1" applyAlignment="1">
      <alignment horizontal="center" vertical="center"/>
    </xf>
    <xf numFmtId="0" fontId="20" fillId="33" borderId="11" xfId="0" applyFont="1" applyFill="1" applyBorder="1" applyAlignment="1">
      <alignment horizontal="left" vertical="center" wrapText="1"/>
    </xf>
    <xf numFmtId="0" fontId="20" fillId="33" borderId="15" xfId="0" applyFont="1" applyFill="1" applyBorder="1" applyAlignment="1">
      <alignment horizontal="left" vertical="center" wrapText="1"/>
    </xf>
    <xf numFmtId="0" fontId="20" fillId="33" borderId="13" xfId="0" applyFont="1" applyFill="1" applyBorder="1" applyAlignment="1">
      <alignment horizontal="left" vertical="center" wrapText="1"/>
    </xf>
    <xf numFmtId="0" fontId="20" fillId="33" borderId="14" xfId="0" applyFont="1" applyFill="1" applyBorder="1" applyAlignment="1">
      <alignment horizontal="left" vertical="center" wrapText="1"/>
    </xf>
    <xf numFmtId="0" fontId="17" fillId="33" borderId="0" xfId="0" applyFont="1" applyFill="1" applyAlignment="1" applyProtection="1">
      <alignment horizontal="center" vertical="center"/>
      <protection locked="0"/>
    </xf>
    <xf numFmtId="0" fontId="19" fillId="33" borderId="16" xfId="0" applyFont="1" applyFill="1" applyBorder="1" applyAlignment="1">
      <alignment horizontal="center" vertical="center"/>
    </xf>
    <xf numFmtId="0" fontId="20" fillId="33" borderId="0" xfId="0" applyFont="1" applyFill="1" applyBorder="1" applyAlignment="1">
      <alignment horizontal="left" vertical="center" wrapText="1"/>
    </xf>
    <xf numFmtId="0" fontId="20" fillId="33" borderId="12" xfId="0" applyFont="1" applyFill="1" applyBorder="1" applyAlignment="1">
      <alignment horizontal="left" vertical="center" wrapText="1"/>
    </xf>
    <xf numFmtId="0" fontId="20" fillId="33" borderId="11" xfId="0" applyFont="1" applyFill="1" applyBorder="1" applyAlignment="1">
      <alignment horizontal="left" vertical="center"/>
    </xf>
    <xf numFmtId="0" fontId="20" fillId="33" borderId="15" xfId="0" applyFont="1" applyFill="1" applyBorder="1" applyAlignment="1">
      <alignment horizontal="left" vertical="center"/>
    </xf>
    <xf numFmtId="0" fontId="17" fillId="33" borderId="37" xfId="0" applyFont="1" applyFill="1" applyBorder="1" applyAlignment="1">
      <alignment horizontal="left" vertical="center"/>
    </xf>
    <xf numFmtId="0" fontId="17" fillId="33" borderId="38" xfId="0" applyFont="1" applyFill="1" applyBorder="1" applyAlignment="1">
      <alignment horizontal="left" vertical="center"/>
    </xf>
    <xf numFmtId="0" fontId="18" fillId="34" borderId="24" xfId="0" applyFont="1" applyFill="1" applyBorder="1" applyAlignment="1">
      <alignment horizontal="center" vertical="center"/>
    </xf>
    <xf numFmtId="0" fontId="18" fillId="34" borderId="11" xfId="0" applyFont="1" applyFill="1" applyBorder="1" applyAlignment="1">
      <alignment horizontal="center" vertical="center"/>
    </xf>
    <xf numFmtId="0" fontId="18" fillId="34" borderId="15" xfId="0" applyFont="1" applyFill="1" applyBorder="1" applyAlignment="1">
      <alignment horizontal="center" vertical="center"/>
    </xf>
    <xf numFmtId="0" fontId="20" fillId="33" borderId="0" xfId="0" applyFont="1" applyFill="1" applyBorder="1" applyAlignment="1">
      <alignment horizontal="left" vertical="center"/>
    </xf>
    <xf numFmtId="0" fontId="20" fillId="33" borderId="13" xfId="0" applyFont="1" applyFill="1" applyBorder="1" applyAlignment="1">
      <alignment horizontal="left" vertical="center"/>
    </xf>
    <xf numFmtId="0" fontId="29" fillId="0" borderId="25" xfId="0" applyFont="1" applyBorder="1" applyAlignment="1" applyProtection="1">
      <alignment horizontal="center" vertical="center"/>
      <protection/>
    </xf>
    <xf numFmtId="0" fontId="29" fillId="0" borderId="28" xfId="0" applyFont="1" applyBorder="1" applyAlignment="1" applyProtection="1">
      <alignment horizontal="center" vertical="center"/>
      <protection/>
    </xf>
    <xf numFmtId="0" fontId="29" fillId="0" borderId="30" xfId="0" applyFont="1" applyBorder="1" applyAlignment="1" applyProtection="1">
      <alignment horizontal="center" vertical="center"/>
      <protection/>
    </xf>
    <xf numFmtId="0" fontId="29" fillId="0" borderId="31" xfId="0" applyFont="1" applyBorder="1" applyAlignment="1" applyProtection="1">
      <alignment horizontal="center" vertical="center"/>
      <protection/>
    </xf>
    <xf numFmtId="0" fontId="29" fillId="0" borderId="32" xfId="0" applyFont="1" applyBorder="1" applyAlignment="1" applyProtection="1">
      <alignment horizontal="center" vertical="center"/>
      <protection/>
    </xf>
    <xf numFmtId="0" fontId="29" fillId="0" borderId="18" xfId="0" applyFont="1" applyFill="1" applyBorder="1" applyAlignment="1" applyProtection="1">
      <alignment horizontal="center" vertical="center"/>
      <protection/>
    </xf>
    <xf numFmtId="0" fontId="29" fillId="0" borderId="0" xfId="0" applyFont="1" applyBorder="1" applyAlignment="1" applyProtection="1">
      <alignment horizontal="center" vertical="center"/>
      <protection/>
    </xf>
    <xf numFmtId="0" fontId="29" fillId="0" borderId="18" xfId="0" applyFont="1" applyBorder="1" applyAlignment="1" applyProtection="1">
      <alignment horizontal="center" vertical="center"/>
      <protection/>
    </xf>
    <xf numFmtId="0" fontId="29" fillId="0" borderId="17" xfId="0" applyFont="1" applyBorder="1" applyAlignment="1" applyProtection="1">
      <alignment vertical="center" wrapText="1"/>
      <protection/>
    </xf>
    <xf numFmtId="0" fontId="29" fillId="0" borderId="28" xfId="0" applyFont="1" applyBorder="1" applyAlignment="1" applyProtection="1">
      <alignment vertical="center" wrapText="1"/>
      <protection/>
    </xf>
    <xf numFmtId="0" fontId="29" fillId="0" borderId="25" xfId="0" applyFont="1" applyBorder="1" applyAlignment="1" applyProtection="1">
      <alignment vertical="center" wrapText="1"/>
      <protection/>
    </xf>
    <xf numFmtId="0" fontId="98" fillId="33" borderId="0" xfId="0" applyFont="1" applyFill="1" applyAlignment="1" applyProtection="1">
      <alignment horizontal="left"/>
      <protection/>
    </xf>
    <xf numFmtId="0" fontId="93" fillId="33" borderId="0" xfId="0" applyFont="1" applyFill="1" applyAlignment="1" applyProtection="1">
      <alignment horizontal="center"/>
      <protection/>
    </xf>
    <xf numFmtId="0" fontId="11" fillId="0" borderId="0" xfId="0" applyFont="1" applyBorder="1" applyAlignment="1" applyProtection="1">
      <alignment horizontal="center" vertical="center"/>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wrapText="1"/>
      <protection/>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25" b="0" i="0" u="none" baseline="0">
                <a:solidFill>
                  <a:srgbClr val="000000"/>
                </a:solidFill>
                <a:latin typeface="Arial"/>
                <a:ea typeface="Arial"/>
                <a:cs typeface="Arial"/>
              </a:rPr>
              <a:t>M</a:t>
            </a:r>
            <a:r>
              <a:rPr lang="en-US" cap="none" sz="925" b="0" i="0" u="none" baseline="-25000">
                <a:solidFill>
                  <a:srgbClr val="000000"/>
                </a:solidFill>
                <a:latin typeface="Arial"/>
                <a:ea typeface="Arial"/>
                <a:cs typeface="Arial"/>
              </a:rPr>
              <a:t>1</a:t>
            </a:r>
            <a:r>
              <a:rPr lang="en-US" cap="none" sz="925" b="0" i="0" u="none" baseline="0">
                <a:solidFill>
                  <a:srgbClr val="000000"/>
                </a:solidFill>
                <a:latin typeface="Arial"/>
                <a:ea typeface="Arial"/>
                <a:cs typeface="Arial"/>
              </a:rPr>
              <a:t>M</a:t>
            </a:r>
            <a:r>
              <a:rPr lang="en-US" cap="none" sz="925" b="0" i="0" u="none" baseline="-25000">
                <a:solidFill>
                  <a:srgbClr val="000000"/>
                </a:solidFill>
                <a:latin typeface="Arial"/>
                <a:ea typeface="Arial"/>
                <a:cs typeface="Arial"/>
              </a:rPr>
              <a:t>2</a:t>
            </a:r>
            <a:r>
              <a:rPr lang="en-US" cap="none" sz="925" b="0" i="0" u="none" baseline="0">
                <a:solidFill>
                  <a:srgbClr val="000000"/>
                </a:solidFill>
                <a:latin typeface="Arial"/>
                <a:ea typeface="Arial"/>
                <a:cs typeface="Arial"/>
              </a:rPr>
              <a:t> vs VCOMP</a:t>
            </a:r>
          </a:p>
        </c:rich>
      </c:tx>
      <c:layout>
        <c:manualLayout>
          <c:xMode val="factor"/>
          <c:yMode val="factor"/>
          <c:x val="-0.008"/>
          <c:y val="-0.00175"/>
        </c:manualLayout>
      </c:layout>
      <c:spPr>
        <a:noFill/>
        <a:ln>
          <a:noFill/>
        </a:ln>
      </c:spPr>
    </c:title>
    <c:plotArea>
      <c:layout>
        <c:manualLayout>
          <c:xMode val="edge"/>
          <c:yMode val="edge"/>
          <c:x val="0.05125"/>
          <c:y val="0.111"/>
          <c:w val="0.7505"/>
          <c:h val="0.77575"/>
        </c:manualLayout>
      </c:layout>
      <c:scatterChart>
        <c:scatterStyle val="line"/>
        <c:varyColors val="0"/>
        <c:ser>
          <c:idx val="0"/>
          <c:order val="0"/>
          <c:tx>
            <c:v>M1M2 vs VCOMP</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data!$A$5:$A$105</c:f>
              <c:numCache>
                <c:ptCount val="101"/>
                <c:pt idx="0">
                  <c:v>0</c:v>
                </c:pt>
                <c:pt idx="1">
                  <c:v>0.05</c:v>
                </c:pt>
                <c:pt idx="2">
                  <c:v>0.1</c:v>
                </c:pt>
                <c:pt idx="3">
                  <c:v>0.15000000000000002</c:v>
                </c:pt>
                <c:pt idx="4">
                  <c:v>0.2</c:v>
                </c:pt>
                <c:pt idx="5">
                  <c:v>0.25</c:v>
                </c:pt>
                <c:pt idx="6">
                  <c:v>0.3</c:v>
                </c:pt>
                <c:pt idx="7">
                  <c:v>0.35</c:v>
                </c:pt>
                <c:pt idx="8">
                  <c:v>0.39999999999999997</c:v>
                </c:pt>
                <c:pt idx="9">
                  <c:v>0.44999999999999996</c:v>
                </c:pt>
                <c:pt idx="10">
                  <c:v>0.49999999999999994</c:v>
                </c:pt>
                <c:pt idx="11">
                  <c:v>0.5499999999999999</c:v>
                </c:pt>
                <c:pt idx="12">
                  <c:v>0.6</c:v>
                </c:pt>
                <c:pt idx="13">
                  <c:v>0.65</c:v>
                </c:pt>
                <c:pt idx="14">
                  <c:v>0.7000000000000001</c:v>
                </c:pt>
                <c:pt idx="15">
                  <c:v>0.7500000000000001</c:v>
                </c:pt>
                <c:pt idx="16">
                  <c:v>0.8000000000000002</c:v>
                </c:pt>
                <c:pt idx="17">
                  <c:v>0.8500000000000002</c:v>
                </c:pt>
                <c:pt idx="18">
                  <c:v>0.9000000000000002</c:v>
                </c:pt>
                <c:pt idx="19">
                  <c:v>0.9500000000000003</c:v>
                </c:pt>
                <c:pt idx="20">
                  <c:v>1.0000000000000002</c:v>
                </c:pt>
                <c:pt idx="21">
                  <c:v>1.0500000000000003</c:v>
                </c:pt>
                <c:pt idx="22">
                  <c:v>1.1000000000000003</c:v>
                </c:pt>
                <c:pt idx="23">
                  <c:v>1.1500000000000004</c:v>
                </c:pt>
                <c:pt idx="24">
                  <c:v>1.2000000000000004</c:v>
                </c:pt>
                <c:pt idx="25">
                  <c:v>1.2500000000000004</c:v>
                </c:pt>
                <c:pt idx="26">
                  <c:v>1.3000000000000005</c:v>
                </c:pt>
                <c:pt idx="27">
                  <c:v>1.3500000000000005</c:v>
                </c:pt>
                <c:pt idx="28">
                  <c:v>1.4000000000000006</c:v>
                </c:pt>
                <c:pt idx="29">
                  <c:v>1.4500000000000006</c:v>
                </c:pt>
                <c:pt idx="30">
                  <c:v>1.5000000000000007</c:v>
                </c:pt>
                <c:pt idx="31">
                  <c:v>1.5500000000000007</c:v>
                </c:pt>
                <c:pt idx="32">
                  <c:v>1.6000000000000008</c:v>
                </c:pt>
                <c:pt idx="33">
                  <c:v>1.6500000000000008</c:v>
                </c:pt>
                <c:pt idx="34">
                  <c:v>1.7000000000000008</c:v>
                </c:pt>
                <c:pt idx="35">
                  <c:v>1.7500000000000009</c:v>
                </c:pt>
                <c:pt idx="36">
                  <c:v>1.800000000000001</c:v>
                </c:pt>
                <c:pt idx="37">
                  <c:v>1.850000000000001</c:v>
                </c:pt>
                <c:pt idx="38">
                  <c:v>1.900000000000001</c:v>
                </c:pt>
                <c:pt idx="39">
                  <c:v>1.950000000000001</c:v>
                </c:pt>
                <c:pt idx="40">
                  <c:v>2.000000000000001</c:v>
                </c:pt>
                <c:pt idx="41">
                  <c:v>2.0500000000000007</c:v>
                </c:pt>
                <c:pt idx="42">
                  <c:v>2.1000000000000005</c:v>
                </c:pt>
                <c:pt idx="43">
                  <c:v>2.1500000000000004</c:v>
                </c:pt>
                <c:pt idx="44">
                  <c:v>2.2</c:v>
                </c:pt>
                <c:pt idx="45">
                  <c:v>2.25</c:v>
                </c:pt>
                <c:pt idx="46">
                  <c:v>2.3</c:v>
                </c:pt>
                <c:pt idx="47">
                  <c:v>2.3499999999999996</c:v>
                </c:pt>
                <c:pt idx="48">
                  <c:v>2.3999999999999995</c:v>
                </c:pt>
                <c:pt idx="49">
                  <c:v>2.4499999999999993</c:v>
                </c:pt>
                <c:pt idx="50">
                  <c:v>2.499999999999999</c:v>
                </c:pt>
                <c:pt idx="51">
                  <c:v>2.549999999999999</c:v>
                </c:pt>
                <c:pt idx="52">
                  <c:v>2.5999999999999988</c:v>
                </c:pt>
                <c:pt idx="53">
                  <c:v>2.6499999999999986</c:v>
                </c:pt>
                <c:pt idx="54">
                  <c:v>2.6999999999999984</c:v>
                </c:pt>
                <c:pt idx="55">
                  <c:v>2.7499999999999982</c:v>
                </c:pt>
                <c:pt idx="56">
                  <c:v>2.799999999999998</c:v>
                </c:pt>
                <c:pt idx="57">
                  <c:v>2.849999999999998</c:v>
                </c:pt>
                <c:pt idx="58">
                  <c:v>2.8999999999999977</c:v>
                </c:pt>
                <c:pt idx="59">
                  <c:v>2.9499999999999975</c:v>
                </c:pt>
                <c:pt idx="60">
                  <c:v>2.9999999999999973</c:v>
                </c:pt>
                <c:pt idx="61">
                  <c:v>3.049999999999997</c:v>
                </c:pt>
                <c:pt idx="62">
                  <c:v>3.099999999999997</c:v>
                </c:pt>
                <c:pt idx="63">
                  <c:v>3.149999999999997</c:v>
                </c:pt>
                <c:pt idx="64">
                  <c:v>3.1999999999999966</c:v>
                </c:pt>
                <c:pt idx="65">
                  <c:v>3.2499999999999964</c:v>
                </c:pt>
                <c:pt idx="66">
                  <c:v>3.2999999999999963</c:v>
                </c:pt>
                <c:pt idx="67">
                  <c:v>3.349999999999996</c:v>
                </c:pt>
                <c:pt idx="68">
                  <c:v>3.399999999999996</c:v>
                </c:pt>
                <c:pt idx="69">
                  <c:v>3.4499999999999957</c:v>
                </c:pt>
                <c:pt idx="70">
                  <c:v>3.4999999999999956</c:v>
                </c:pt>
                <c:pt idx="71">
                  <c:v>3.5499999999999954</c:v>
                </c:pt>
                <c:pt idx="72">
                  <c:v>3.599999999999995</c:v>
                </c:pt>
                <c:pt idx="73">
                  <c:v>3.649999999999995</c:v>
                </c:pt>
                <c:pt idx="74">
                  <c:v>3.699999999999995</c:v>
                </c:pt>
                <c:pt idx="75">
                  <c:v>3.7499999999999947</c:v>
                </c:pt>
                <c:pt idx="76">
                  <c:v>3.7999999999999945</c:v>
                </c:pt>
                <c:pt idx="77">
                  <c:v>3.8499999999999943</c:v>
                </c:pt>
                <c:pt idx="78">
                  <c:v>3.899999999999994</c:v>
                </c:pt>
                <c:pt idx="79">
                  <c:v>3.949999999999994</c:v>
                </c:pt>
                <c:pt idx="80">
                  <c:v>3.999999999999994</c:v>
                </c:pt>
                <c:pt idx="81">
                  <c:v>4.049999999999994</c:v>
                </c:pt>
                <c:pt idx="82">
                  <c:v>4.099999999999993</c:v>
                </c:pt>
                <c:pt idx="83">
                  <c:v>4.149999999999993</c:v>
                </c:pt>
                <c:pt idx="84">
                  <c:v>4.199999999999993</c:v>
                </c:pt>
                <c:pt idx="85">
                  <c:v>4.249999999999993</c:v>
                </c:pt>
                <c:pt idx="86">
                  <c:v>4.299999999999993</c:v>
                </c:pt>
                <c:pt idx="87">
                  <c:v>4.3499999999999925</c:v>
                </c:pt>
                <c:pt idx="88">
                  <c:v>4.399999999999992</c:v>
                </c:pt>
                <c:pt idx="89">
                  <c:v>4.449999999999992</c:v>
                </c:pt>
                <c:pt idx="90">
                  <c:v>4.499999999999992</c:v>
                </c:pt>
                <c:pt idx="91">
                  <c:v>4.549999999999992</c:v>
                </c:pt>
                <c:pt idx="92">
                  <c:v>4.599999999999992</c:v>
                </c:pt>
                <c:pt idx="93">
                  <c:v>4.6499999999999915</c:v>
                </c:pt>
                <c:pt idx="94">
                  <c:v>4.699999999999991</c:v>
                </c:pt>
                <c:pt idx="95">
                  <c:v>4.749999999999991</c:v>
                </c:pt>
                <c:pt idx="96">
                  <c:v>4.799999999999991</c:v>
                </c:pt>
                <c:pt idx="97">
                  <c:v>4.849999999999991</c:v>
                </c:pt>
                <c:pt idx="98">
                  <c:v>4.899999999999991</c:v>
                </c:pt>
                <c:pt idx="99">
                  <c:v>4.94999999999999</c:v>
                </c:pt>
                <c:pt idx="100">
                  <c:v>4.99999999999999</c:v>
                </c:pt>
              </c:numCache>
            </c:numRef>
          </c:xVal>
          <c:yVal>
            <c:numRef>
              <c:f>data!$D$5:$D$105</c:f>
              <c:numCache>
                <c:ptCount val="101"/>
                <c:pt idx="0">
                  <c:v>0</c:v>
                </c:pt>
                <c:pt idx="1">
                  <c:v>0</c:v>
                </c:pt>
                <c:pt idx="2">
                  <c:v>0</c:v>
                </c:pt>
                <c:pt idx="3">
                  <c:v>0</c:v>
                </c:pt>
                <c:pt idx="4">
                  <c:v>0</c:v>
                </c:pt>
                <c:pt idx="5">
                  <c:v>0</c:v>
                </c:pt>
                <c:pt idx="6">
                  <c:v>0</c:v>
                </c:pt>
                <c:pt idx="7">
                  <c:v>0</c:v>
                </c:pt>
                <c:pt idx="8">
                  <c:v>0</c:v>
                </c:pt>
                <c:pt idx="9">
                  <c:v>0</c:v>
                </c:pt>
                <c:pt idx="10">
                  <c:v>0</c:v>
                </c:pt>
                <c:pt idx="11">
                  <c:v>3.8383384615384526E-05</c:v>
                </c:pt>
                <c:pt idx="12">
                  <c:v>0.00015353353846153843</c:v>
                </c:pt>
                <c:pt idx="13">
                  <c:v>0.00034545046153846166</c:v>
                </c:pt>
                <c:pt idx="14">
                  <c:v>0.0006141341538461545</c:v>
                </c:pt>
                <c:pt idx="15">
                  <c:v>0.0009595846153846164</c:v>
                </c:pt>
                <c:pt idx="16">
                  <c:v>0.001381801846153848</c:v>
                </c:pt>
                <c:pt idx="17">
                  <c:v>0.0018807858461538486</c:v>
                </c:pt>
                <c:pt idx="18">
                  <c:v>0.002456536615384619</c:v>
                </c:pt>
                <c:pt idx="19">
                  <c:v>0.003109054153846159</c:v>
                </c:pt>
                <c:pt idx="20">
                  <c:v>0.0038383384615384673</c:v>
                </c:pt>
                <c:pt idx="21">
                  <c:v>0.005177128338461547</c:v>
                </c:pt>
                <c:pt idx="22">
                  <c:v>0.006795213784615398</c:v>
                </c:pt>
                <c:pt idx="23">
                  <c:v>0.008719011600000017</c:v>
                </c:pt>
                <c:pt idx="24">
                  <c:v>0.010974938584615406</c:v>
                </c:pt>
                <c:pt idx="25">
                  <c:v>0.013589411538461566</c:v>
                </c:pt>
                <c:pt idx="26">
                  <c:v>0.016588847261538496</c:v>
                </c:pt>
                <c:pt idx="27">
                  <c:v>0.019999662553846196</c:v>
                </c:pt>
                <c:pt idx="28">
                  <c:v>0.02384827421538467</c:v>
                </c:pt>
                <c:pt idx="29">
                  <c:v>0.02816109904615391</c:v>
                </c:pt>
                <c:pt idx="30">
                  <c:v>0.03296455384615392</c:v>
                </c:pt>
                <c:pt idx="31">
                  <c:v>0.038285055415384704</c:v>
                </c:pt>
                <c:pt idx="32">
                  <c:v>0.044149020553846265</c:v>
                </c:pt>
                <c:pt idx="33">
                  <c:v>0.05058286606153858</c:v>
                </c:pt>
                <c:pt idx="34">
                  <c:v>0.05761300873846168</c:v>
                </c:pt>
                <c:pt idx="35">
                  <c:v>0.06526586538461554</c:v>
                </c:pt>
                <c:pt idx="36">
                  <c:v>0.07356785280000018</c:v>
                </c:pt>
                <c:pt idx="37">
                  <c:v>0.08254538778461558</c:v>
                </c:pt>
                <c:pt idx="38">
                  <c:v>0.09222488713846176</c:v>
                </c:pt>
                <c:pt idx="39">
                  <c:v>0.10263276766153873</c:v>
                </c:pt>
                <c:pt idx="40">
                  <c:v>0.11430346153846185</c:v>
                </c:pt>
                <c:pt idx="41">
                  <c:v>0.1305400001307695</c:v>
                </c:pt>
                <c:pt idx="42">
                  <c:v>0.14814360812307717</c:v>
                </c:pt>
                <c:pt idx="43">
                  <c:v>0.16716728845384632</c:v>
                </c:pt>
                <c:pt idx="44">
                  <c:v>0.18766404406153858</c:v>
                </c:pt>
                <c:pt idx="45">
                  <c:v>0.20968687788461543</c:v>
                </c:pt>
                <c:pt idx="46">
                  <c:v>0.23328879286153842</c:v>
                </c:pt>
                <c:pt idx="47">
                  <c:v>0.2585227919307691</c:v>
                </c:pt>
                <c:pt idx="48">
                  <c:v>0.285441878030769</c:v>
                </c:pt>
                <c:pt idx="49">
                  <c:v>0.3140990540999996</c:v>
                </c:pt>
                <c:pt idx="50">
                  <c:v>0.3445473230769226</c:v>
                </c:pt>
                <c:pt idx="51">
                  <c:v>0.37683968789999933</c:v>
                </c:pt>
                <c:pt idx="52">
                  <c:v>0.4110291515076915</c:v>
                </c:pt>
                <c:pt idx="53">
                  <c:v>0.44716871683846054</c:v>
                </c:pt>
                <c:pt idx="54">
                  <c:v>0.485311386830768</c:v>
                </c:pt>
                <c:pt idx="55">
                  <c:v>0.5255101644230755</c:v>
                </c:pt>
                <c:pt idx="56">
                  <c:v>0.5678180525538445</c:v>
                </c:pt>
                <c:pt idx="57">
                  <c:v>0.6122880541615365</c:v>
                </c:pt>
                <c:pt idx="58">
                  <c:v>0.6589731721846133</c:v>
                </c:pt>
                <c:pt idx="59">
                  <c:v>0.7079264095615361</c:v>
                </c:pt>
                <c:pt idx="60">
                  <c:v>0.7592007692307665</c:v>
                </c:pt>
                <c:pt idx="61">
                  <c:v>0.8128492541307661</c:v>
                </c:pt>
                <c:pt idx="62">
                  <c:v>0.8689248671999967</c:v>
                </c:pt>
                <c:pt idx="63">
                  <c:v>0.9274806113769193</c:v>
                </c:pt>
                <c:pt idx="64">
                  <c:v>0.9885694895999958</c:v>
                </c:pt>
                <c:pt idx="65">
                  <c:v>1.0522445048076878</c:v>
                </c:pt>
                <c:pt idx="66">
                  <c:v>1.1185586599384567</c:v>
                </c:pt>
                <c:pt idx="67">
                  <c:v>1.1875649579307639</c:v>
                </c:pt>
                <c:pt idx="68">
                  <c:v>1.2593164017230711</c:v>
                </c:pt>
                <c:pt idx="69">
                  <c:v>1.33386599425384</c:v>
                </c:pt>
                <c:pt idx="70">
                  <c:v>1.4112667384615316</c:v>
                </c:pt>
                <c:pt idx="71">
                  <c:v>1.491571637284608</c:v>
                </c:pt>
                <c:pt idx="72">
                  <c:v>1.5748336936615306</c:v>
                </c:pt>
                <c:pt idx="73">
                  <c:v>1.6611059105307606</c:v>
                </c:pt>
                <c:pt idx="74">
                  <c:v>1.7504412908307598</c:v>
                </c:pt>
                <c:pt idx="75">
                  <c:v>1.8428928374999898</c:v>
                </c:pt>
                <c:pt idx="76">
                  <c:v>1.9385135534769122</c:v>
                </c:pt>
                <c:pt idx="77">
                  <c:v>2.0373564416999885</c:v>
                </c:pt>
                <c:pt idx="78">
                  <c:v>2.13947450510768</c:v>
                </c:pt>
                <c:pt idx="79">
                  <c:v>2.244920746638449</c:v>
                </c:pt>
                <c:pt idx="80">
                  <c:v>2.353748169230756</c:v>
                </c:pt>
                <c:pt idx="81">
                  <c:v>2.4660097758230624</c:v>
                </c:pt>
                <c:pt idx="82">
                  <c:v>2.581758569353831</c:v>
                </c:pt>
                <c:pt idx="83">
                  <c:v>2.7010475527615223</c:v>
                </c:pt>
                <c:pt idx="84">
                  <c:v>2.823929728984598</c:v>
                </c:pt>
                <c:pt idx="85">
                  <c:v>2.9504581009615203</c:v>
                </c:pt>
                <c:pt idx="86">
                  <c:v>3.08068567163075</c:v>
                </c:pt>
                <c:pt idx="87">
                  <c:v>3.214665443930749</c:v>
                </c:pt>
                <c:pt idx="88">
                  <c:v>3.352450420799979</c:v>
                </c:pt>
                <c:pt idx="89">
                  <c:v>3.494093605176901</c:v>
                </c:pt>
                <c:pt idx="90">
                  <c:v>3.6396479999999762</c:v>
                </c:pt>
                <c:pt idx="91">
                  <c:v>3.729356178923062</c:v>
                </c:pt>
                <c:pt idx="92">
                  <c:v>3.822007460307677</c:v>
                </c:pt>
                <c:pt idx="93">
                  <c:v>3.822262153846154</c:v>
                </c:pt>
                <c:pt idx="94">
                  <c:v>3.822262153846154</c:v>
                </c:pt>
                <c:pt idx="95">
                  <c:v>3.822262153846154</c:v>
                </c:pt>
                <c:pt idx="96">
                  <c:v>3.822262153846154</c:v>
                </c:pt>
                <c:pt idx="97">
                  <c:v>3.822262153846154</c:v>
                </c:pt>
                <c:pt idx="98">
                  <c:v>3.822262153846154</c:v>
                </c:pt>
                <c:pt idx="99">
                  <c:v>3.822262153846154</c:v>
                </c:pt>
                <c:pt idx="100">
                  <c:v>3.822262153846154</c:v>
                </c:pt>
              </c:numCache>
            </c:numRef>
          </c:yVal>
          <c:smooth val="0"/>
        </c:ser>
        <c:axId val="15201444"/>
        <c:axId val="2595269"/>
      </c:scatterChart>
      <c:valAx>
        <c:axId val="15201444"/>
        <c:scaling>
          <c:orientation val="minMax"/>
          <c:max val="5"/>
          <c:min val="0"/>
        </c:scaling>
        <c:axPos val="b"/>
        <c:title>
          <c:tx>
            <c:rich>
              <a:bodyPr vert="horz" rot="0" anchor="ctr"/>
              <a:lstStyle/>
              <a:p>
                <a:pPr algn="ctr">
                  <a:defRPr/>
                </a:pPr>
                <a:r>
                  <a:rPr lang="en-US" cap="none" sz="925" b="1" i="0" u="none" baseline="0">
                    <a:solidFill>
                      <a:srgbClr val="000000"/>
                    </a:solidFill>
                    <a:latin typeface="Arial"/>
                    <a:ea typeface="Arial"/>
                    <a:cs typeface="Arial"/>
                  </a:rPr>
                  <a:t>VCOMP</a:t>
                </a:r>
              </a:p>
            </c:rich>
          </c:tx>
          <c:layout>
            <c:manualLayout>
              <c:xMode val="factor"/>
              <c:yMode val="factor"/>
              <c:x val="-0.00925"/>
              <c:y val="-0.00025"/>
            </c:manualLayout>
          </c:layout>
          <c:overlay val="0"/>
          <c:spPr>
            <a:noFill/>
            <a:ln>
              <a:noFill/>
            </a:ln>
          </c:spPr>
        </c:title>
        <c:majorGridlines>
          <c:spPr>
            <a:ln w="3175">
              <a:solidFill>
                <a:srgbClr val="000000"/>
              </a:solidFill>
            </a:ln>
          </c:spPr>
        </c:majorGridlines>
        <c:minorGridlines>
          <c:spPr>
            <a:ln w="3175">
              <a:solidFill>
                <a:srgbClr val="C0C0C0"/>
              </a:solidFill>
            </a:ln>
          </c:spPr>
        </c:minorGridlines>
        <c:delete val="0"/>
        <c:numFmt formatCode="General" sourceLinked="0"/>
        <c:majorTickMark val="out"/>
        <c:minorTickMark val="in"/>
        <c:tickLblPos val="nextTo"/>
        <c:spPr>
          <a:ln w="3175">
            <a:solidFill>
              <a:srgbClr val="000000"/>
            </a:solidFill>
          </a:ln>
        </c:spPr>
        <c:crossAx val="2595269"/>
        <c:crosses val="autoZero"/>
        <c:crossBetween val="midCat"/>
        <c:dispUnits/>
        <c:majorUnit val="0.5"/>
        <c:minorUnit val="0.1"/>
      </c:valAx>
      <c:valAx>
        <c:axId val="2595269"/>
        <c:scaling>
          <c:orientation val="minMax"/>
          <c:max val="4"/>
          <c:min val="0"/>
        </c:scaling>
        <c:axPos val="l"/>
        <c:title>
          <c:tx>
            <c:rich>
              <a:bodyPr vert="horz" rot="-5400000" anchor="ctr"/>
              <a:lstStyle/>
              <a:p>
                <a:pPr algn="ctr">
                  <a:defRPr/>
                </a:pPr>
                <a:r>
                  <a:rPr lang="en-US" cap="none" sz="925" b="1" i="0" u="none" baseline="0">
                    <a:solidFill>
                      <a:srgbClr val="000000"/>
                    </a:solidFill>
                    <a:latin typeface="Arial"/>
                    <a:ea typeface="Arial"/>
                    <a:cs typeface="Arial"/>
                  </a:rPr>
                  <a:t>M</a:t>
                </a:r>
                <a:r>
                  <a:rPr lang="en-US" cap="none" sz="925" b="1" i="0" u="none" baseline="-25000">
                    <a:solidFill>
                      <a:srgbClr val="000000"/>
                    </a:solidFill>
                    <a:latin typeface="Arial"/>
                    <a:ea typeface="Arial"/>
                    <a:cs typeface="Arial"/>
                  </a:rPr>
                  <a:t>1</a:t>
                </a:r>
                <a:r>
                  <a:rPr lang="en-US" cap="none" sz="925" b="1" i="0" u="none" baseline="0">
                    <a:solidFill>
                      <a:srgbClr val="000000"/>
                    </a:solidFill>
                    <a:latin typeface="Arial"/>
                    <a:ea typeface="Arial"/>
                    <a:cs typeface="Arial"/>
                  </a:rPr>
                  <a:t>M</a:t>
                </a:r>
                <a:r>
                  <a:rPr lang="en-US" cap="none" sz="925" b="1" i="0" u="none" baseline="-25000">
                    <a:solidFill>
                      <a:srgbClr val="000000"/>
                    </a:solidFill>
                    <a:latin typeface="Arial"/>
                    <a:ea typeface="Arial"/>
                    <a:cs typeface="Arial"/>
                  </a:rPr>
                  <a:t>2</a:t>
                </a:r>
              </a:p>
            </c:rich>
          </c:tx>
          <c:layout>
            <c:manualLayout>
              <c:xMode val="factor"/>
              <c:yMode val="factor"/>
              <c:x val="-0.00975"/>
              <c:y val="0"/>
            </c:manualLayout>
          </c:layout>
          <c:overlay val="0"/>
          <c:spPr>
            <a:noFill/>
            <a:ln>
              <a:noFill/>
            </a:ln>
          </c:spPr>
        </c:title>
        <c:majorGridlines>
          <c:spPr>
            <a:ln w="12700">
              <a:solidFill>
                <a:srgbClr val="000000"/>
              </a:solidFill>
            </a:ln>
          </c:spPr>
        </c:majorGridlines>
        <c:minorGridlines>
          <c:spPr>
            <a:ln w="3175">
              <a:solidFill>
                <a:srgbClr val="FF6600"/>
              </a:solidFill>
            </a:ln>
          </c:spPr>
        </c:minorGridlines>
        <c:delete val="0"/>
        <c:numFmt formatCode="General" sourceLinked="0"/>
        <c:majorTickMark val="out"/>
        <c:minorTickMark val="in"/>
        <c:tickLblPos val="nextTo"/>
        <c:spPr>
          <a:ln w="3175">
            <a:solidFill>
              <a:srgbClr val="000000"/>
            </a:solidFill>
          </a:ln>
        </c:spPr>
        <c:crossAx val="15201444"/>
        <c:crosses val="autoZero"/>
        <c:crossBetween val="midCat"/>
        <c:dispUnits/>
        <c:majorUnit val="0.5"/>
        <c:minorUnit val="0.1"/>
      </c:valAx>
      <c:spPr>
        <a:solidFill>
          <a:srgbClr val="FFFFFF"/>
        </a:solidFill>
        <a:ln w="3175">
          <a:noFill/>
        </a:ln>
      </c:spPr>
    </c:plotArea>
    <c:plotVisOnly val="1"/>
    <c:dispBlanksAs val="gap"/>
    <c:showDLblsOverMax val="0"/>
  </c:chart>
  <c:spPr>
    <a:noFill/>
    <a:ln w="3175">
      <a:solidFill>
        <a:srgbClr val="000000"/>
      </a:solid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Current Averaging Transfer Function</a:t>
            </a:r>
          </a:p>
        </c:rich>
      </c:tx>
      <c:layout>
        <c:manualLayout>
          <c:xMode val="factor"/>
          <c:yMode val="factor"/>
          <c:x val="0.02575"/>
          <c:y val="-0.0015"/>
        </c:manualLayout>
      </c:layout>
      <c:spPr>
        <a:noFill/>
        <a:ln>
          <a:noFill/>
        </a:ln>
      </c:spPr>
    </c:title>
    <c:plotArea>
      <c:layout>
        <c:manualLayout>
          <c:xMode val="edge"/>
          <c:yMode val="edge"/>
          <c:x val="0.0455"/>
          <c:y val="0.1025"/>
          <c:w val="0.908"/>
          <c:h val="0.77425"/>
        </c:manualLayout>
      </c:layout>
      <c:scatterChart>
        <c:scatterStyle val="smoothMarker"/>
        <c:varyColors val="0"/>
        <c:ser>
          <c:idx val="0"/>
          <c:order val="0"/>
          <c:tx>
            <c:v>Gain</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data!$B$114:$B$164</c:f>
              <c:numCache>
                <c:ptCount val="51"/>
                <c:pt idx="0">
                  <c:v>10</c:v>
                </c:pt>
                <c:pt idx="1">
                  <c:v>12.58925411794168</c:v>
                </c:pt>
                <c:pt idx="2">
                  <c:v>15.848931924611136</c:v>
                </c:pt>
                <c:pt idx="3">
                  <c:v>19.952623149688804</c:v>
                </c:pt>
                <c:pt idx="4">
                  <c:v>25.1188643150958</c:v>
                </c:pt>
                <c:pt idx="5">
                  <c:v>31.622776601683803</c:v>
                </c:pt>
                <c:pt idx="6">
                  <c:v>39.810717055349755</c:v>
                </c:pt>
                <c:pt idx="7">
                  <c:v>50.11872336272724</c:v>
                </c:pt>
                <c:pt idx="8">
                  <c:v>63.095734448019364</c:v>
                </c:pt>
                <c:pt idx="9">
                  <c:v>79.4328234724282</c:v>
                </c:pt>
                <c:pt idx="10">
                  <c:v>100</c:v>
                </c:pt>
                <c:pt idx="11">
                  <c:v>125.89254117941677</c:v>
                </c:pt>
                <c:pt idx="12">
                  <c:v>158.48931924611153</c:v>
                </c:pt>
                <c:pt idx="13">
                  <c:v>199.52623149688802</c:v>
                </c:pt>
                <c:pt idx="14">
                  <c:v>251.18864315095806</c:v>
                </c:pt>
                <c:pt idx="15">
                  <c:v>316.22776601683825</c:v>
                </c:pt>
                <c:pt idx="16">
                  <c:v>398.1071705534976</c:v>
                </c:pt>
                <c:pt idx="17">
                  <c:v>501.1872336272727</c:v>
                </c:pt>
                <c:pt idx="18">
                  <c:v>630.9573444801932</c:v>
                </c:pt>
                <c:pt idx="19">
                  <c:v>794.3282347242821</c:v>
                </c:pt>
                <c:pt idx="20">
                  <c:v>1000</c:v>
                </c:pt>
                <c:pt idx="21">
                  <c:v>1258.925411794168</c:v>
                </c:pt>
                <c:pt idx="22">
                  <c:v>1584.8931924611156</c:v>
                </c:pt>
                <c:pt idx="23">
                  <c:v>1995.2623149688804</c:v>
                </c:pt>
                <c:pt idx="24">
                  <c:v>2511.886431509581</c:v>
                </c:pt>
                <c:pt idx="25">
                  <c:v>3162.2776601683804</c:v>
                </c:pt>
                <c:pt idx="26">
                  <c:v>3981.071705534977</c:v>
                </c:pt>
                <c:pt idx="27">
                  <c:v>5011.872336272732</c:v>
                </c:pt>
                <c:pt idx="28">
                  <c:v>6309.573444801938</c:v>
                </c:pt>
                <c:pt idx="29">
                  <c:v>7943.282347242815</c:v>
                </c:pt>
                <c:pt idx="30">
                  <c:v>10000</c:v>
                </c:pt>
                <c:pt idx="31">
                  <c:v>12589.254117941671</c:v>
                </c:pt>
                <c:pt idx="32">
                  <c:v>15848.931924611146</c:v>
                </c:pt>
                <c:pt idx="33">
                  <c:v>19952.623149688792</c:v>
                </c:pt>
                <c:pt idx="34">
                  <c:v>25118.86431509586</c:v>
                </c:pt>
                <c:pt idx="35">
                  <c:v>31622.77660168384</c:v>
                </c:pt>
                <c:pt idx="36">
                  <c:v>39810.71705534974</c:v>
                </c:pt>
                <c:pt idx="37">
                  <c:v>50118.723362727294</c:v>
                </c:pt>
                <c:pt idx="38">
                  <c:v>63095.73444801934</c:v>
                </c:pt>
                <c:pt idx="39">
                  <c:v>79432.82347242824</c:v>
                </c:pt>
                <c:pt idx="40">
                  <c:v>100000</c:v>
                </c:pt>
                <c:pt idx="41">
                  <c:v>125892.54117941685</c:v>
                </c:pt>
                <c:pt idx="42">
                  <c:v>158489.31924611164</c:v>
                </c:pt>
                <c:pt idx="43">
                  <c:v>199526.23149688813</c:v>
                </c:pt>
                <c:pt idx="44">
                  <c:v>251188.64315095844</c:v>
                </c:pt>
                <c:pt idx="45">
                  <c:v>316227.7660168382</c:v>
                </c:pt>
                <c:pt idx="46">
                  <c:v>398107.17055349716</c:v>
                </c:pt>
                <c:pt idx="47">
                  <c:v>501187.23362727347</c:v>
                </c:pt>
                <c:pt idx="48">
                  <c:v>630957.3444801942</c:v>
                </c:pt>
                <c:pt idx="49">
                  <c:v>794328.2347242833</c:v>
                </c:pt>
                <c:pt idx="50">
                  <c:v>1000000</c:v>
                </c:pt>
              </c:numCache>
            </c:numRef>
          </c:xVal>
          <c:yVal>
            <c:numRef>
              <c:f>data!$E$114:$E$164</c:f>
              <c:numCache>
                <c:ptCount val="51"/>
                <c:pt idx="0">
                  <c:v>69.66326072865704</c:v>
                </c:pt>
                <c:pt idx="1">
                  <c:v>67.66325521392001</c:v>
                </c:pt>
                <c:pt idx="2">
                  <c:v>65.6632464736652</c:v>
                </c:pt>
                <c:pt idx="3">
                  <c:v>63.66323262133088</c:v>
                </c:pt>
                <c:pt idx="4">
                  <c:v>61.66321066695099</c:v>
                </c:pt>
                <c:pt idx="5">
                  <c:v>59.66317587183113</c:v>
                </c:pt>
                <c:pt idx="6">
                  <c:v>57.66312072585354</c:v>
                </c:pt>
                <c:pt idx="7">
                  <c:v>55.66303332680338</c:v>
                </c:pt>
                <c:pt idx="8">
                  <c:v>53.66289481224649</c:v>
                </c:pt>
                <c:pt idx="9">
                  <c:v>51.66267529051717</c:v>
                </c:pt>
                <c:pt idx="10">
                  <c:v>49.66232739475039</c:v>
                </c:pt>
                <c:pt idx="11">
                  <c:v>47.66177607419715</c:v>
                </c:pt>
                <c:pt idx="12">
                  <c:v>45.660902433343004</c:v>
                </c:pt>
                <c:pt idx="13">
                  <c:v>43.65951816579309</c:v>
                </c:pt>
                <c:pt idx="14">
                  <c:v>41.65732515296824</c:v>
                </c:pt>
                <c:pt idx="15">
                  <c:v>39.6538517286334</c:v>
                </c:pt>
                <c:pt idx="16">
                  <c:v>37.64835240614806</c:v>
                </c:pt>
                <c:pt idx="17">
                  <c:v>35.63965080649674</c:v>
                </c:pt>
                <c:pt idx="18">
                  <c:v>33.62589531430685</c:v>
                </c:pt>
                <c:pt idx="19">
                  <c:v>31.60418318170627</c:v>
                </c:pt>
                <c:pt idx="20">
                  <c:v>29.569992585266647</c:v>
                </c:pt>
                <c:pt idx="21">
                  <c:v>27.5163495484404</c:v>
                </c:pt>
                <c:pt idx="22">
                  <c:v>25.43266543098784</c:v>
                </c:pt>
                <c:pt idx="23">
                  <c:v>23.303252157819074</c:v>
                </c:pt>
                <c:pt idx="24">
                  <c:v>21.105732282733477</c:v>
                </c:pt>
                <c:pt idx="25">
                  <c:v>18.809998035539387</c:v>
                </c:pt>
                <c:pt idx="26">
                  <c:v>16.37900433032639</c:v>
                </c:pt>
                <c:pt idx="27">
                  <c:v>13.773037480361962</c:v>
                </c:pt>
                <c:pt idx="28">
                  <c:v>10.958109218124205</c:v>
                </c:pt>
                <c:pt idx="29">
                  <c:v>7.91610704461569</c:v>
                </c:pt>
                <c:pt idx="30">
                  <c:v>4.651271283567569</c:v>
                </c:pt>
                <c:pt idx="31">
                  <c:v>1.1886137073163145</c:v>
                </c:pt>
                <c:pt idx="32">
                  <c:v>-2.4345970492717512</c:v>
                </c:pt>
                <c:pt idx="33">
                  <c:v>-6.178857200903396</c:v>
                </c:pt>
                <c:pt idx="34">
                  <c:v>-10.009386700027974</c:v>
                </c:pt>
                <c:pt idx="35">
                  <c:v>-13.898952084822692</c:v>
                </c:pt>
                <c:pt idx="36">
                  <c:v>-17.827799377086045</c:v>
                </c:pt>
                <c:pt idx="37">
                  <c:v>-21.782297740235297</c:v>
                </c:pt>
                <c:pt idx="38">
                  <c:v>-25.753340902958467</c:v>
                </c:pt>
                <c:pt idx="39">
                  <c:v>-29.734970530284116</c:v>
                </c:pt>
                <c:pt idx="40">
                  <c:v>-33.723339498808905</c:v>
                </c:pt>
                <c:pt idx="41">
                  <c:v>-37.715984754181434</c:v>
                </c:pt>
                <c:pt idx="42">
                  <c:v>-41.71133780724338</c:v>
                </c:pt>
                <c:pt idx="43">
                  <c:v>-45.708403221505456</c:v>
                </c:pt>
                <c:pt idx="44">
                  <c:v>-49.70655060227514</c:v>
                </c:pt>
                <c:pt idx="45">
                  <c:v>-53.705381271803205</c:v>
                </c:pt>
                <c:pt idx="46">
                  <c:v>-57.704643312125555</c:v>
                </c:pt>
                <c:pt idx="47">
                  <c:v>-61.704177626518835</c:v>
                </c:pt>
                <c:pt idx="48">
                  <c:v>-65.70388377306999</c:v>
                </c:pt>
                <c:pt idx="49">
                  <c:v>-69.70369835384743</c:v>
                </c:pt>
                <c:pt idx="50">
                  <c:v>-73.70358135815373</c:v>
                </c:pt>
              </c:numCache>
            </c:numRef>
          </c:yVal>
          <c:smooth val="1"/>
        </c:ser>
        <c:axId val="23357422"/>
        <c:axId val="8890207"/>
      </c:scatterChart>
      <c:scatterChart>
        <c:scatterStyle val="lineMarker"/>
        <c:varyColors val="0"/>
        <c:ser>
          <c:idx val="1"/>
          <c:order val="1"/>
          <c:tx>
            <c:v>Phase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data!$B$114:$B$164</c:f>
              <c:numCache>
                <c:ptCount val="51"/>
                <c:pt idx="0">
                  <c:v>10</c:v>
                </c:pt>
                <c:pt idx="1">
                  <c:v>12.58925411794168</c:v>
                </c:pt>
                <c:pt idx="2">
                  <c:v>15.848931924611136</c:v>
                </c:pt>
                <c:pt idx="3">
                  <c:v>19.952623149688804</c:v>
                </c:pt>
                <c:pt idx="4">
                  <c:v>25.1188643150958</c:v>
                </c:pt>
                <c:pt idx="5">
                  <c:v>31.622776601683803</c:v>
                </c:pt>
                <c:pt idx="6">
                  <c:v>39.810717055349755</c:v>
                </c:pt>
                <c:pt idx="7">
                  <c:v>50.11872336272724</c:v>
                </c:pt>
                <c:pt idx="8">
                  <c:v>63.095734448019364</c:v>
                </c:pt>
                <c:pt idx="9">
                  <c:v>79.4328234724282</c:v>
                </c:pt>
                <c:pt idx="10">
                  <c:v>100</c:v>
                </c:pt>
                <c:pt idx="11">
                  <c:v>125.89254117941677</c:v>
                </c:pt>
                <c:pt idx="12">
                  <c:v>158.48931924611153</c:v>
                </c:pt>
                <c:pt idx="13">
                  <c:v>199.52623149688802</c:v>
                </c:pt>
                <c:pt idx="14">
                  <c:v>251.18864315095806</c:v>
                </c:pt>
                <c:pt idx="15">
                  <c:v>316.22776601683825</c:v>
                </c:pt>
                <c:pt idx="16">
                  <c:v>398.1071705534976</c:v>
                </c:pt>
                <c:pt idx="17">
                  <c:v>501.1872336272727</c:v>
                </c:pt>
                <c:pt idx="18">
                  <c:v>630.9573444801932</c:v>
                </c:pt>
                <c:pt idx="19">
                  <c:v>794.3282347242821</c:v>
                </c:pt>
                <c:pt idx="20">
                  <c:v>1000</c:v>
                </c:pt>
                <c:pt idx="21">
                  <c:v>1258.925411794168</c:v>
                </c:pt>
                <c:pt idx="22">
                  <c:v>1584.8931924611156</c:v>
                </c:pt>
                <c:pt idx="23">
                  <c:v>1995.2623149688804</c:v>
                </c:pt>
                <c:pt idx="24">
                  <c:v>2511.886431509581</c:v>
                </c:pt>
                <c:pt idx="25">
                  <c:v>3162.2776601683804</c:v>
                </c:pt>
                <c:pt idx="26">
                  <c:v>3981.071705534977</c:v>
                </c:pt>
                <c:pt idx="27">
                  <c:v>5011.872336272732</c:v>
                </c:pt>
                <c:pt idx="28">
                  <c:v>6309.573444801938</c:v>
                </c:pt>
                <c:pt idx="29">
                  <c:v>7943.282347242815</c:v>
                </c:pt>
                <c:pt idx="30">
                  <c:v>10000</c:v>
                </c:pt>
                <c:pt idx="31">
                  <c:v>12589.254117941671</c:v>
                </c:pt>
                <c:pt idx="32">
                  <c:v>15848.931924611146</c:v>
                </c:pt>
                <c:pt idx="33">
                  <c:v>19952.623149688792</c:v>
                </c:pt>
                <c:pt idx="34">
                  <c:v>25118.86431509586</c:v>
                </c:pt>
                <c:pt idx="35">
                  <c:v>31622.77660168384</c:v>
                </c:pt>
                <c:pt idx="36">
                  <c:v>39810.71705534974</c:v>
                </c:pt>
                <c:pt idx="37">
                  <c:v>50118.723362727294</c:v>
                </c:pt>
                <c:pt idx="38">
                  <c:v>63095.73444801934</c:v>
                </c:pt>
                <c:pt idx="39">
                  <c:v>79432.82347242824</c:v>
                </c:pt>
                <c:pt idx="40">
                  <c:v>100000</c:v>
                </c:pt>
                <c:pt idx="41">
                  <c:v>125892.54117941685</c:v>
                </c:pt>
                <c:pt idx="42">
                  <c:v>158489.31924611164</c:v>
                </c:pt>
                <c:pt idx="43">
                  <c:v>199526.23149688813</c:v>
                </c:pt>
                <c:pt idx="44">
                  <c:v>251188.64315095844</c:v>
                </c:pt>
                <c:pt idx="45">
                  <c:v>316227.7660168382</c:v>
                </c:pt>
                <c:pt idx="46">
                  <c:v>398107.17055349716</c:v>
                </c:pt>
                <c:pt idx="47">
                  <c:v>501187.23362727347</c:v>
                </c:pt>
                <c:pt idx="48">
                  <c:v>630957.3444801942</c:v>
                </c:pt>
                <c:pt idx="49">
                  <c:v>794328.2347242833</c:v>
                </c:pt>
                <c:pt idx="50">
                  <c:v>1000000</c:v>
                </c:pt>
              </c:numCache>
            </c:numRef>
          </c:xVal>
          <c:yVal>
            <c:numRef>
              <c:f>data!$F$114:$F$164</c:f>
              <c:numCache>
                <c:ptCount val="51"/>
                <c:pt idx="0">
                  <c:v>-90.08442185527254</c:v>
                </c:pt>
                <c:pt idx="1">
                  <c:v>-90.10628077392774</c:v>
                </c:pt>
                <c:pt idx="2">
                  <c:v>-90.13379947732473</c:v>
                </c:pt>
                <c:pt idx="3">
                  <c:v>-90.16844338299862</c:v>
                </c:pt>
                <c:pt idx="4">
                  <c:v>-90.21205729797525</c:v>
                </c:pt>
                <c:pt idx="5">
                  <c:v>-90.26696360821536</c:v>
                </c:pt>
                <c:pt idx="6">
                  <c:v>-90.33608584787784</c:v>
                </c:pt>
                <c:pt idx="7">
                  <c:v>-90.42310417617577</c:v>
                </c:pt>
                <c:pt idx="8">
                  <c:v>-90.53265093632334</c:v>
                </c:pt>
                <c:pt idx="9">
                  <c:v>-90.67055650094022</c:v>
                </c:pt>
                <c:pt idx="10">
                  <c:v>-90.84415807754652</c:v>
                </c:pt>
                <c:pt idx="11">
                  <c:v>-91.06268708471468</c:v>
                </c:pt>
                <c:pt idx="12">
                  <c:v>-91.33775406509295</c:v>
                </c:pt>
                <c:pt idx="13">
                  <c:v>-91.68395364684757</c:v>
                </c:pt>
                <c:pt idx="14">
                  <c:v>-92.11961518162609</c:v>
                </c:pt>
                <c:pt idx="15">
                  <c:v>-92.66772594994526</c:v>
                </c:pt>
                <c:pt idx="16">
                  <c:v>-93.35705018885918</c:v>
                </c:pt>
                <c:pt idx="17">
                  <c:v>-94.22345245213096</c:v>
                </c:pt>
                <c:pt idx="18">
                  <c:v>-95.3113957727382</c:v>
                </c:pt>
                <c:pt idx="19">
                  <c:v>-96.67550083343102</c:v>
                </c:pt>
                <c:pt idx="20">
                  <c:v>-98.38188124571265</c:v>
                </c:pt>
                <c:pt idx="21">
                  <c:v>-100.50864724120228</c:v>
                </c:pt>
                <c:pt idx="22">
                  <c:v>-103.14441296373386</c:v>
                </c:pt>
                <c:pt idx="23">
                  <c:v>-106.38280932055858</c:v>
                </c:pt>
                <c:pt idx="24">
                  <c:v>-110.31009247384529</c:v>
                </c:pt>
                <c:pt idx="25">
                  <c:v>-114.98282492396899</c:v>
                </c:pt>
                <c:pt idx="26">
                  <c:v>-120.39533985754666</c:v>
                </c:pt>
                <c:pt idx="27">
                  <c:v>-126.4447376379055</c:v>
                </c:pt>
                <c:pt idx="28">
                  <c:v>-132.91293208097719</c:v>
                </c:pt>
                <c:pt idx="29">
                  <c:v>-139.48901988818994</c:v>
                </c:pt>
                <c:pt idx="30">
                  <c:v>-145.8359006823152</c:v>
                </c:pt>
                <c:pt idx="31">
                  <c:v>-151.67099803115917</c:v>
                </c:pt>
                <c:pt idx="32">
                  <c:v>-156.8183997067392</c:v>
                </c:pt>
                <c:pt idx="33">
                  <c:v>-161.21438596847318</c:v>
                </c:pt>
                <c:pt idx="34">
                  <c:v>-164.88034014641778</c:v>
                </c:pt>
                <c:pt idx="35">
                  <c:v>-167.88700671550404</c:v>
                </c:pt>
                <c:pt idx="36">
                  <c:v>-170.3253586813905</c:v>
                </c:pt>
                <c:pt idx="37">
                  <c:v>-172.2881899228124</c:v>
                </c:pt>
                <c:pt idx="38">
                  <c:v>-173.86063488444853</c:v>
                </c:pt>
                <c:pt idx="39">
                  <c:v>-175.11643947803748</c:v>
                </c:pt>
                <c:pt idx="40">
                  <c:v>-176.1173827289294</c:v>
                </c:pt>
                <c:pt idx="41">
                  <c:v>-176.9141851636146</c:v>
                </c:pt>
                <c:pt idx="42">
                  <c:v>-177.54797547371265</c:v>
                </c:pt>
                <c:pt idx="43">
                  <c:v>-178.05184885131175</c:v>
                </c:pt>
                <c:pt idx="44">
                  <c:v>-178.45230845295242</c:v>
                </c:pt>
                <c:pt idx="45">
                  <c:v>-178.7705145561142</c:v>
                </c:pt>
                <c:pt idx="46">
                  <c:v>-179.0233296774419</c:v>
                </c:pt>
                <c:pt idx="47">
                  <c:v>-179.2241754563372</c:v>
                </c:pt>
                <c:pt idx="48">
                  <c:v>-179.38372676017673</c:v>
                </c:pt>
                <c:pt idx="49">
                  <c:v>-179.5104697985401</c:v>
                </c:pt>
                <c:pt idx="50">
                  <c:v>-179.61114884743145</c:v>
                </c:pt>
              </c:numCache>
            </c:numRef>
          </c:yVal>
          <c:smooth val="1"/>
        </c:ser>
        <c:axId val="12903000"/>
        <c:axId val="49018137"/>
      </c:scatterChart>
      <c:valAx>
        <c:axId val="23357422"/>
        <c:scaling>
          <c:logBase val="10"/>
          <c:orientation val="minMax"/>
          <c:max val="1000000"/>
          <c:min val="10"/>
        </c:scaling>
        <c:axPos val="b"/>
        <c:title>
          <c:tx>
            <c:rich>
              <a:bodyPr vert="horz" rot="0" anchor="ctr"/>
              <a:lstStyle/>
              <a:p>
                <a:pPr algn="ctr">
                  <a:defRPr/>
                </a:pPr>
                <a:r>
                  <a:rPr lang="en-US" cap="none" sz="1075" b="1" i="0" u="none" baseline="0">
                    <a:solidFill>
                      <a:srgbClr val="000000"/>
                    </a:solidFill>
                    <a:latin typeface="Arial"/>
                    <a:ea typeface="Arial"/>
                    <a:cs typeface="Arial"/>
                  </a:rPr>
                  <a:t>Frequency (Hz)</a:t>
                </a:r>
              </a:p>
            </c:rich>
          </c:tx>
          <c:layout>
            <c:manualLayout>
              <c:xMode val="factor"/>
              <c:yMode val="factor"/>
              <c:x val="-0.009"/>
              <c:y val="-0.0027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1"/>
        <c:majorTickMark val="out"/>
        <c:minorTickMark val="none"/>
        <c:tickLblPos val="nextTo"/>
        <c:spPr>
          <a:ln w="3175">
            <a:solidFill>
              <a:srgbClr val="000000"/>
            </a:solidFill>
          </a:ln>
        </c:spPr>
        <c:crossAx val="8890207"/>
        <c:crossesAt val="-100"/>
        <c:crossBetween val="midCat"/>
        <c:dispUnits/>
        <c:majorUnit val="10"/>
        <c:minorUnit val="10"/>
      </c:valAx>
      <c:valAx>
        <c:axId val="8890207"/>
        <c:scaling>
          <c:orientation val="minMax"/>
          <c:max val="100"/>
          <c:min val="-100"/>
        </c:scaling>
        <c:axPos val="l"/>
        <c:title>
          <c:tx>
            <c:rich>
              <a:bodyPr vert="horz" rot="-5400000" anchor="ctr"/>
              <a:lstStyle/>
              <a:p>
                <a:pPr algn="ctr">
                  <a:defRPr/>
                </a:pPr>
                <a:r>
                  <a:rPr lang="en-US" cap="none" sz="1075" b="1" i="0" u="none" baseline="0">
                    <a:solidFill>
                      <a:srgbClr val="000000"/>
                    </a:solidFill>
                    <a:latin typeface="Arial"/>
                    <a:ea typeface="Arial"/>
                    <a:cs typeface="Arial"/>
                  </a:rPr>
                  <a:t>Gain (dB)</a:t>
                </a:r>
              </a:p>
            </c:rich>
          </c:tx>
          <c:layout>
            <c:manualLayout>
              <c:xMode val="factor"/>
              <c:yMode val="factor"/>
              <c:x val="-0.011"/>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3357422"/>
        <c:crossesAt val="10"/>
        <c:crossBetween val="midCat"/>
        <c:dispUnits/>
        <c:majorUnit val="20"/>
        <c:minorUnit val="10"/>
      </c:valAx>
      <c:valAx>
        <c:axId val="12903000"/>
        <c:scaling>
          <c:logBase val="10"/>
          <c:orientation val="minMax"/>
        </c:scaling>
        <c:axPos val="b"/>
        <c:delete val="1"/>
        <c:majorTickMark val="out"/>
        <c:minorTickMark val="none"/>
        <c:tickLblPos val="nextTo"/>
        <c:crossAx val="49018137"/>
        <c:crossesAt val="-180"/>
        <c:crossBetween val="midCat"/>
        <c:dispUnits/>
      </c:valAx>
      <c:valAx>
        <c:axId val="49018137"/>
        <c:scaling>
          <c:orientation val="minMax"/>
          <c:max val="-80"/>
          <c:min val="-180"/>
        </c:scaling>
        <c:axPos val="l"/>
        <c:title>
          <c:tx>
            <c:rich>
              <a:bodyPr vert="horz" rot="5400000" anchor="ctr"/>
              <a:lstStyle/>
              <a:p>
                <a:pPr algn="ctr">
                  <a:defRPr/>
                </a:pPr>
                <a:r>
                  <a:rPr lang="en-US" cap="none" sz="1000" b="1" i="0" u="none" baseline="0">
                    <a:solidFill>
                      <a:srgbClr val="000000"/>
                    </a:solidFill>
                    <a:latin typeface="Arial"/>
                    <a:ea typeface="Arial"/>
                    <a:cs typeface="Arial"/>
                  </a:rPr>
                  <a:t>Phase (degrees)</a:t>
                </a:r>
              </a:p>
            </c:rich>
          </c:tx>
          <c:layout>
            <c:manualLayout>
              <c:xMode val="factor"/>
              <c:yMode val="factor"/>
              <c:x val="-0.00875"/>
              <c:y val="0.001"/>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12903000"/>
        <c:crosses val="max"/>
        <c:crossBetween val="midCat"/>
        <c:dispUnits/>
        <c:minorUnit val="10"/>
      </c:valAx>
      <c:spPr>
        <a:gradFill rotWithShape="1">
          <a:gsLst>
            <a:gs pos="0">
              <a:srgbClr val="FFFFFF"/>
            </a:gs>
            <a:gs pos="100000">
              <a:srgbClr val="FFFFCC"/>
            </a:gs>
          </a:gsLst>
          <a:lin ang="5400000" scaled="1"/>
        </a:gradFill>
        <a:ln w="12700">
          <a:solidFill>
            <a:srgbClr val="808080"/>
          </a:solidFill>
        </a:ln>
      </c:spPr>
    </c:plotArea>
    <c:legend>
      <c:legendPos val="r"/>
      <c:layout>
        <c:manualLayout>
          <c:xMode val="edge"/>
          <c:yMode val="edge"/>
          <c:x val="0.4035"/>
          <c:y val="0.9435"/>
          <c:w val="0.1855"/>
          <c:h val="0.04625"/>
        </c:manualLayout>
      </c:layout>
      <c:overlay val="0"/>
      <c:spPr>
        <a:solidFill>
          <a:srgbClr val="FFFFFF"/>
        </a:solidFill>
        <a:ln w="3175">
          <a:solidFill>
            <a:srgbClr val="000000"/>
          </a:solidFill>
        </a:ln>
      </c:spPr>
      <c:txPr>
        <a:bodyPr vert="horz" rot="0"/>
        <a:lstStyle/>
        <a:p>
          <a:pPr>
            <a:defRPr lang="en-US" cap="none" sz="76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Voltage Loop Transfer Function</a:t>
            </a:r>
          </a:p>
        </c:rich>
      </c:tx>
      <c:layout>
        <c:manualLayout>
          <c:xMode val="factor"/>
          <c:yMode val="factor"/>
          <c:x val="-0.0095"/>
          <c:y val="-0.0015"/>
        </c:manualLayout>
      </c:layout>
      <c:spPr>
        <a:noFill/>
        <a:ln>
          <a:noFill/>
        </a:ln>
      </c:spPr>
    </c:title>
    <c:plotArea>
      <c:layout>
        <c:manualLayout>
          <c:xMode val="edge"/>
          <c:yMode val="edge"/>
          <c:x val="0.0475"/>
          <c:y val="0.1105"/>
          <c:w val="0.907"/>
          <c:h val="0.7655"/>
        </c:manualLayout>
      </c:layout>
      <c:scatterChart>
        <c:scatterStyle val="smoothMarker"/>
        <c:varyColors val="0"/>
        <c:ser>
          <c:idx val="0"/>
          <c:order val="0"/>
          <c:tx>
            <c:v>Total Open Loop Gain</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data!$H$114:$H$164</c:f>
              <c:numCache>
                <c:ptCount val="51"/>
                <c:pt idx="0">
                  <c:v>0.01</c:v>
                </c:pt>
                <c:pt idx="1">
                  <c:v>0.012589254117941664</c:v>
                </c:pt>
                <c:pt idx="2">
                  <c:v>0.015848931924611124</c:v>
                </c:pt>
                <c:pt idx="3">
                  <c:v>0.019952623149688792</c:v>
                </c:pt>
                <c:pt idx="4">
                  <c:v>0.02511886431509578</c:v>
                </c:pt>
                <c:pt idx="5">
                  <c:v>0.031622776601683784</c:v>
                </c:pt>
                <c:pt idx="6">
                  <c:v>0.03981071705534973</c:v>
                </c:pt>
                <c:pt idx="7">
                  <c:v>0.050118723362727206</c:v>
                </c:pt>
                <c:pt idx="8">
                  <c:v>0.06309573444801932</c:v>
                </c:pt>
                <c:pt idx="9">
                  <c:v>0.0794328234724281</c:v>
                </c:pt>
                <c:pt idx="10">
                  <c:v>0.1</c:v>
                </c:pt>
                <c:pt idx="11">
                  <c:v>0.12589254117941667</c:v>
                </c:pt>
                <c:pt idx="12">
                  <c:v>0.15848931924611132</c:v>
                </c:pt>
                <c:pt idx="13">
                  <c:v>0.19952623149688795</c:v>
                </c:pt>
                <c:pt idx="14">
                  <c:v>0.251188643150958</c:v>
                </c:pt>
                <c:pt idx="15">
                  <c:v>0.31622776601683794</c:v>
                </c:pt>
                <c:pt idx="16">
                  <c:v>0.3981071705534972</c:v>
                </c:pt>
                <c:pt idx="17">
                  <c:v>0.5011872336272722</c:v>
                </c:pt>
                <c:pt idx="18">
                  <c:v>0.6309573444801932</c:v>
                </c:pt>
                <c:pt idx="19">
                  <c:v>0.7943282347242815</c:v>
                </c:pt>
                <c:pt idx="20">
                  <c:v>1</c:v>
                </c:pt>
                <c:pt idx="21">
                  <c:v>1.2589254117941673</c:v>
                </c:pt>
                <c:pt idx="22">
                  <c:v>1.5848931924611136</c:v>
                </c:pt>
                <c:pt idx="23">
                  <c:v>1.9952623149688797</c:v>
                </c:pt>
                <c:pt idx="24">
                  <c:v>2.5118864315095806</c:v>
                </c:pt>
                <c:pt idx="25">
                  <c:v>3.1622776601683795</c:v>
                </c:pt>
                <c:pt idx="26">
                  <c:v>3.9810717055349727</c:v>
                </c:pt>
                <c:pt idx="27">
                  <c:v>5.011872336272723</c:v>
                </c:pt>
                <c:pt idx="28">
                  <c:v>6.309573444801934</c:v>
                </c:pt>
                <c:pt idx="29">
                  <c:v>7.943282347242818</c:v>
                </c:pt>
                <c:pt idx="30">
                  <c:v>10</c:v>
                </c:pt>
                <c:pt idx="31">
                  <c:v>12.58925411794168</c:v>
                </c:pt>
                <c:pt idx="32">
                  <c:v>15.848931924611136</c:v>
                </c:pt>
                <c:pt idx="33">
                  <c:v>19.952623149688804</c:v>
                </c:pt>
                <c:pt idx="34">
                  <c:v>25.1188643150958</c:v>
                </c:pt>
                <c:pt idx="35">
                  <c:v>31.622776601683803</c:v>
                </c:pt>
                <c:pt idx="36">
                  <c:v>39.810717055349755</c:v>
                </c:pt>
                <c:pt idx="37">
                  <c:v>50.11872336272724</c:v>
                </c:pt>
                <c:pt idx="38">
                  <c:v>63.095734448019364</c:v>
                </c:pt>
                <c:pt idx="39">
                  <c:v>79.4328234724282</c:v>
                </c:pt>
                <c:pt idx="40">
                  <c:v>100</c:v>
                </c:pt>
                <c:pt idx="41">
                  <c:v>125.89254117941677</c:v>
                </c:pt>
                <c:pt idx="42">
                  <c:v>158.48931924611153</c:v>
                </c:pt>
                <c:pt idx="43">
                  <c:v>199.52623149688802</c:v>
                </c:pt>
                <c:pt idx="44">
                  <c:v>251.18864315095806</c:v>
                </c:pt>
                <c:pt idx="45">
                  <c:v>316.22776601683825</c:v>
                </c:pt>
                <c:pt idx="46">
                  <c:v>398.1071705534976</c:v>
                </c:pt>
                <c:pt idx="47">
                  <c:v>501.1872336272727</c:v>
                </c:pt>
                <c:pt idx="48">
                  <c:v>630.9573444801932</c:v>
                </c:pt>
                <c:pt idx="49">
                  <c:v>794.3282347242821</c:v>
                </c:pt>
                <c:pt idx="50">
                  <c:v>1000</c:v>
                </c:pt>
              </c:numCache>
            </c:numRef>
          </c:xVal>
          <c:yVal>
            <c:numRef>
              <c:f>data!$N$114:$N$164</c:f>
              <c:numCache>
                <c:ptCount val="51"/>
                <c:pt idx="0">
                  <c:v>20.491774357742813</c:v>
                </c:pt>
                <c:pt idx="1">
                  <c:v>20.491585677666066</c:v>
                </c:pt>
                <c:pt idx="2">
                  <c:v>20.49128665668708</c:v>
                </c:pt>
                <c:pt idx="3">
                  <c:v>20.490812782541813</c:v>
                </c:pt>
                <c:pt idx="4">
                  <c:v>20.49006184853301</c:v>
                </c:pt>
                <c:pt idx="5">
                  <c:v>20.488871964240126</c:v>
                </c:pt>
                <c:pt idx="6">
                  <c:v>20.486986792256893</c:v>
                </c:pt>
                <c:pt idx="7">
                  <c:v>20.48400067122056</c:v>
                </c:pt>
                <c:pt idx="8">
                  <c:v>20.479272190049628</c:v>
                </c:pt>
                <c:pt idx="9">
                  <c:v>20.47178858210694</c:v>
                </c:pt>
                <c:pt idx="10">
                  <c:v>20.45995421470824</c:v>
                </c:pt>
                <c:pt idx="11">
                  <c:v>20.441263814161882</c:v>
                </c:pt>
                <c:pt idx="12">
                  <c:v>20.411805311659073</c:v>
                </c:pt>
                <c:pt idx="13">
                  <c:v>20.365522219772366</c:v>
                </c:pt>
                <c:pt idx="14">
                  <c:v>20.29316408975361</c:v>
                </c:pt>
                <c:pt idx="15">
                  <c:v>20.180897883002444</c:v>
                </c:pt>
                <c:pt idx="16">
                  <c:v>20.00870712145869</c:v>
                </c:pt>
                <c:pt idx="17">
                  <c:v>19.749061039996768</c:v>
                </c:pt>
                <c:pt idx="18">
                  <c:v>19.366925628450133</c:v>
                </c:pt>
                <c:pt idx="19">
                  <c:v>18.82272801683955</c:v>
                </c:pt>
                <c:pt idx="20">
                  <c:v>18.079472421140352</c:v>
                </c:pt>
                <c:pt idx="21">
                  <c:v>17.112807626160503</c:v>
                </c:pt>
                <c:pt idx="22">
                  <c:v>15.919366216489838</c:v>
                </c:pt>
                <c:pt idx="23">
                  <c:v>14.51802144167069</c:v>
                </c:pt>
                <c:pt idx="24">
                  <c:v>12.943166546357567</c:v>
                </c:pt>
                <c:pt idx="25">
                  <c:v>11.23454352351854</c:v>
                </c:pt>
                <c:pt idx="26">
                  <c:v>9.428986110423738</c:v>
                </c:pt>
                <c:pt idx="27">
                  <c:v>7.556307184477289</c:v>
                </c:pt>
                <c:pt idx="28">
                  <c:v>5.638605379736218</c:v>
                </c:pt>
                <c:pt idx="29">
                  <c:v>3.691346103687723</c:v>
                </c:pt>
                <c:pt idx="30">
                  <c:v>1.724955846962949</c:v>
                </c:pt>
                <c:pt idx="31">
                  <c:v>-0.25370322134459067</c:v>
                </c:pt>
                <c:pt idx="32">
                  <c:v>-2.2401838451598817</c:v>
                </c:pt>
                <c:pt idx="33">
                  <c:v>-4.231631990340612</c:v>
                </c:pt>
                <c:pt idx="34">
                  <c:v>-6.226227457240874</c:v>
                </c:pt>
                <c:pt idx="35">
                  <c:v>-8.22281396359173</c:v>
                </c:pt>
                <c:pt idx="36">
                  <c:v>-10.22065881341643</c:v>
                </c:pt>
                <c:pt idx="37">
                  <c:v>-12.219298455099352</c:v>
                </c:pt>
                <c:pt idx="38">
                  <c:v>-14.218439907728577</c:v>
                </c:pt>
                <c:pt idx="39">
                  <c:v>-16.217898113617778</c:v>
                </c:pt>
                <c:pt idx="40">
                  <c:v>-18.217556229863657</c:v>
                </c:pt>
                <c:pt idx="41">
                  <c:v>-20.217340501949295</c:v>
                </c:pt>
                <c:pt idx="42">
                  <c:v>-22.217204381323477</c:v>
                </c:pt>
                <c:pt idx="43">
                  <c:v>-24.217118492819623</c:v>
                </c:pt>
                <c:pt idx="44">
                  <c:v>-26.21706429996328</c:v>
                </c:pt>
                <c:pt idx="45">
                  <c:v>-28.21703010623464</c:v>
                </c:pt>
                <c:pt idx="46">
                  <c:v>-30.21700853131188</c:v>
                </c:pt>
                <c:pt idx="47">
                  <c:v>-32.216994918400744</c:v>
                </c:pt>
                <c:pt idx="48">
                  <c:v>-34.21698632921251</c:v>
                </c:pt>
                <c:pt idx="49">
                  <c:v>-36.216980909792454</c:v>
                </c:pt>
                <c:pt idx="50">
                  <c:v>-38.21697749036599</c:v>
                </c:pt>
              </c:numCache>
            </c:numRef>
          </c:yVal>
          <c:smooth val="1"/>
        </c:ser>
        <c:ser>
          <c:idx val="1"/>
          <c:order val="1"/>
          <c:tx>
            <c:v>PWM_PS Gain</c:v>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data!$H$114:$H$164</c:f>
              <c:numCache>
                <c:ptCount val="51"/>
                <c:pt idx="0">
                  <c:v>0.01</c:v>
                </c:pt>
                <c:pt idx="1">
                  <c:v>0.012589254117941664</c:v>
                </c:pt>
                <c:pt idx="2">
                  <c:v>0.015848931924611124</c:v>
                </c:pt>
                <c:pt idx="3">
                  <c:v>0.019952623149688792</c:v>
                </c:pt>
                <c:pt idx="4">
                  <c:v>0.02511886431509578</c:v>
                </c:pt>
                <c:pt idx="5">
                  <c:v>0.031622776601683784</c:v>
                </c:pt>
                <c:pt idx="6">
                  <c:v>0.03981071705534973</c:v>
                </c:pt>
                <c:pt idx="7">
                  <c:v>0.050118723362727206</c:v>
                </c:pt>
                <c:pt idx="8">
                  <c:v>0.06309573444801932</c:v>
                </c:pt>
                <c:pt idx="9">
                  <c:v>0.0794328234724281</c:v>
                </c:pt>
                <c:pt idx="10">
                  <c:v>0.1</c:v>
                </c:pt>
                <c:pt idx="11">
                  <c:v>0.12589254117941667</c:v>
                </c:pt>
                <c:pt idx="12">
                  <c:v>0.15848931924611132</c:v>
                </c:pt>
                <c:pt idx="13">
                  <c:v>0.19952623149688795</c:v>
                </c:pt>
                <c:pt idx="14">
                  <c:v>0.251188643150958</c:v>
                </c:pt>
                <c:pt idx="15">
                  <c:v>0.31622776601683794</c:v>
                </c:pt>
                <c:pt idx="16">
                  <c:v>0.3981071705534972</c:v>
                </c:pt>
                <c:pt idx="17">
                  <c:v>0.5011872336272722</c:v>
                </c:pt>
                <c:pt idx="18">
                  <c:v>0.6309573444801932</c:v>
                </c:pt>
                <c:pt idx="19">
                  <c:v>0.7943282347242815</c:v>
                </c:pt>
                <c:pt idx="20">
                  <c:v>1</c:v>
                </c:pt>
                <c:pt idx="21">
                  <c:v>1.2589254117941673</c:v>
                </c:pt>
                <c:pt idx="22">
                  <c:v>1.5848931924611136</c:v>
                </c:pt>
                <c:pt idx="23">
                  <c:v>1.9952623149688797</c:v>
                </c:pt>
                <c:pt idx="24">
                  <c:v>2.5118864315095806</c:v>
                </c:pt>
                <c:pt idx="25">
                  <c:v>3.1622776601683795</c:v>
                </c:pt>
                <c:pt idx="26">
                  <c:v>3.9810717055349727</c:v>
                </c:pt>
                <c:pt idx="27">
                  <c:v>5.011872336272723</c:v>
                </c:pt>
                <c:pt idx="28">
                  <c:v>6.309573444801934</c:v>
                </c:pt>
                <c:pt idx="29">
                  <c:v>7.943282347242818</c:v>
                </c:pt>
                <c:pt idx="30">
                  <c:v>10</c:v>
                </c:pt>
                <c:pt idx="31">
                  <c:v>12.58925411794168</c:v>
                </c:pt>
                <c:pt idx="32">
                  <c:v>15.848931924611136</c:v>
                </c:pt>
                <c:pt idx="33">
                  <c:v>19.952623149688804</c:v>
                </c:pt>
                <c:pt idx="34">
                  <c:v>25.1188643150958</c:v>
                </c:pt>
                <c:pt idx="35">
                  <c:v>31.622776601683803</c:v>
                </c:pt>
                <c:pt idx="36">
                  <c:v>39.810717055349755</c:v>
                </c:pt>
                <c:pt idx="37">
                  <c:v>50.11872336272724</c:v>
                </c:pt>
                <c:pt idx="38">
                  <c:v>63.095734448019364</c:v>
                </c:pt>
                <c:pt idx="39">
                  <c:v>79.4328234724282</c:v>
                </c:pt>
                <c:pt idx="40">
                  <c:v>100</c:v>
                </c:pt>
                <c:pt idx="41">
                  <c:v>125.89254117941677</c:v>
                </c:pt>
                <c:pt idx="42">
                  <c:v>158.48931924611153</c:v>
                </c:pt>
                <c:pt idx="43">
                  <c:v>199.52623149688802</c:v>
                </c:pt>
                <c:pt idx="44">
                  <c:v>251.18864315095806</c:v>
                </c:pt>
                <c:pt idx="45">
                  <c:v>316.22776601683825</c:v>
                </c:pt>
                <c:pt idx="46">
                  <c:v>398.1071705534976</c:v>
                </c:pt>
                <c:pt idx="47">
                  <c:v>501.1872336272727</c:v>
                </c:pt>
                <c:pt idx="48">
                  <c:v>630.9573444801932</c:v>
                </c:pt>
                <c:pt idx="49">
                  <c:v>794.3282347242821</c:v>
                </c:pt>
                <c:pt idx="50">
                  <c:v>1000</c:v>
                </c:pt>
              </c:numCache>
            </c:numRef>
          </c:xVal>
          <c:yVal>
            <c:numRef>
              <c:f>data!$L$114:$L$164</c:f>
              <c:numCache>
                <c:ptCount val="51"/>
                <c:pt idx="0">
                  <c:v>58.238925972014414</c:v>
                </c:pt>
                <c:pt idx="1">
                  <c:v>58.23873729193771</c:v>
                </c:pt>
                <c:pt idx="2">
                  <c:v>58.23843827095874</c:v>
                </c:pt>
                <c:pt idx="3">
                  <c:v>58.237964396813446</c:v>
                </c:pt>
                <c:pt idx="4">
                  <c:v>58.23721346280465</c:v>
                </c:pt>
                <c:pt idx="5">
                  <c:v>58.23602357851171</c:v>
                </c:pt>
                <c:pt idx="6">
                  <c:v>58.23413840652854</c:v>
                </c:pt>
                <c:pt idx="7">
                  <c:v>58.23115228549216</c:v>
                </c:pt>
                <c:pt idx="8">
                  <c:v>58.22642380432124</c:v>
                </c:pt>
                <c:pt idx="9">
                  <c:v>58.21894019637857</c:v>
                </c:pt>
                <c:pt idx="10">
                  <c:v>58.207105828979905</c:v>
                </c:pt>
                <c:pt idx="11">
                  <c:v>58.18841542843349</c:v>
                </c:pt>
                <c:pt idx="12">
                  <c:v>58.158956925930674</c:v>
                </c:pt>
                <c:pt idx="13">
                  <c:v>58.112673834043996</c:v>
                </c:pt>
                <c:pt idx="14">
                  <c:v>58.040315704025275</c:v>
                </c:pt>
                <c:pt idx="15">
                  <c:v>57.928049497274074</c:v>
                </c:pt>
                <c:pt idx="16">
                  <c:v>57.75585873573032</c:v>
                </c:pt>
                <c:pt idx="17">
                  <c:v>57.4962126542684</c:v>
                </c:pt>
                <c:pt idx="18">
                  <c:v>57.11407724272176</c:v>
                </c:pt>
                <c:pt idx="19">
                  <c:v>56.56987963111118</c:v>
                </c:pt>
                <c:pt idx="20">
                  <c:v>55.82662403541198</c:v>
                </c:pt>
                <c:pt idx="21">
                  <c:v>54.85995924043213</c:v>
                </c:pt>
                <c:pt idx="22">
                  <c:v>53.66651783076147</c:v>
                </c:pt>
                <c:pt idx="23">
                  <c:v>52.26517305594232</c:v>
                </c:pt>
                <c:pt idx="24">
                  <c:v>50.69031816062919</c:v>
                </c:pt>
                <c:pt idx="25">
                  <c:v>48.98169513779017</c:v>
                </c:pt>
                <c:pt idx="26">
                  <c:v>47.17613772469535</c:v>
                </c:pt>
                <c:pt idx="27">
                  <c:v>45.30345879874892</c:v>
                </c:pt>
                <c:pt idx="28">
                  <c:v>43.385756994007856</c:v>
                </c:pt>
                <c:pt idx="29">
                  <c:v>41.438497717959365</c:v>
                </c:pt>
                <c:pt idx="30">
                  <c:v>39.47210746123456</c:v>
                </c:pt>
                <c:pt idx="31">
                  <c:v>37.49344839292704</c:v>
                </c:pt>
                <c:pt idx="32">
                  <c:v>35.506967769111746</c:v>
                </c:pt>
                <c:pt idx="33">
                  <c:v>33.51551962393102</c:v>
                </c:pt>
                <c:pt idx="34">
                  <c:v>31.520924157030763</c:v>
                </c:pt>
                <c:pt idx="35">
                  <c:v>29.524337650679904</c:v>
                </c:pt>
                <c:pt idx="36">
                  <c:v>27.52649280085519</c:v>
                </c:pt>
                <c:pt idx="37">
                  <c:v>25.527853159172285</c:v>
                </c:pt>
                <c:pt idx="38">
                  <c:v>23.528711706543053</c:v>
                </c:pt>
                <c:pt idx="39">
                  <c:v>21.529253500653862</c:v>
                </c:pt>
                <c:pt idx="40">
                  <c:v>19.529595384407944</c:v>
                </c:pt>
                <c:pt idx="41">
                  <c:v>17.529811112322335</c:v>
                </c:pt>
                <c:pt idx="42">
                  <c:v>15.529947232948146</c:v>
                </c:pt>
                <c:pt idx="43">
                  <c:v>13.530033121452012</c:v>
                </c:pt>
                <c:pt idx="44">
                  <c:v>11.53008731430835</c:v>
                </c:pt>
                <c:pt idx="45">
                  <c:v>9.530121508037</c:v>
                </c:pt>
                <c:pt idx="46">
                  <c:v>7.530143082959755</c:v>
                </c:pt>
                <c:pt idx="47">
                  <c:v>5.5301566958708985</c:v>
                </c:pt>
                <c:pt idx="48">
                  <c:v>3.530165285059121</c:v>
                </c:pt>
                <c:pt idx="49">
                  <c:v>1.530170704479179</c:v>
                </c:pt>
                <c:pt idx="50">
                  <c:v>-0.4698258760943804</c:v>
                </c:pt>
              </c:numCache>
            </c:numRef>
          </c:yVal>
          <c:smooth val="1"/>
        </c:ser>
        <c:axId val="38510050"/>
        <c:axId val="11046131"/>
      </c:scatterChart>
      <c:scatterChart>
        <c:scatterStyle val="lineMarker"/>
        <c:varyColors val="0"/>
        <c:ser>
          <c:idx val="2"/>
          <c:order val="2"/>
          <c:tx>
            <c:v>Total Open Loop Phase</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data!$H$114:$H$164</c:f>
              <c:numCache>
                <c:ptCount val="51"/>
                <c:pt idx="0">
                  <c:v>0.01</c:v>
                </c:pt>
                <c:pt idx="1">
                  <c:v>0.012589254117941664</c:v>
                </c:pt>
                <c:pt idx="2">
                  <c:v>0.015848931924611124</c:v>
                </c:pt>
                <c:pt idx="3">
                  <c:v>0.019952623149688792</c:v>
                </c:pt>
                <c:pt idx="4">
                  <c:v>0.02511886431509578</c:v>
                </c:pt>
                <c:pt idx="5">
                  <c:v>0.031622776601683784</c:v>
                </c:pt>
                <c:pt idx="6">
                  <c:v>0.03981071705534973</c:v>
                </c:pt>
                <c:pt idx="7">
                  <c:v>0.050118723362727206</c:v>
                </c:pt>
                <c:pt idx="8">
                  <c:v>0.06309573444801932</c:v>
                </c:pt>
                <c:pt idx="9">
                  <c:v>0.0794328234724281</c:v>
                </c:pt>
                <c:pt idx="10">
                  <c:v>0.1</c:v>
                </c:pt>
                <c:pt idx="11">
                  <c:v>0.12589254117941667</c:v>
                </c:pt>
                <c:pt idx="12">
                  <c:v>0.15848931924611132</c:v>
                </c:pt>
                <c:pt idx="13">
                  <c:v>0.19952623149688795</c:v>
                </c:pt>
                <c:pt idx="14">
                  <c:v>0.251188643150958</c:v>
                </c:pt>
                <c:pt idx="15">
                  <c:v>0.31622776601683794</c:v>
                </c:pt>
                <c:pt idx="16">
                  <c:v>0.3981071705534972</c:v>
                </c:pt>
                <c:pt idx="17">
                  <c:v>0.5011872336272722</c:v>
                </c:pt>
                <c:pt idx="18">
                  <c:v>0.6309573444801932</c:v>
                </c:pt>
                <c:pt idx="19">
                  <c:v>0.7943282347242815</c:v>
                </c:pt>
                <c:pt idx="20">
                  <c:v>1</c:v>
                </c:pt>
                <c:pt idx="21">
                  <c:v>1.2589254117941673</c:v>
                </c:pt>
                <c:pt idx="22">
                  <c:v>1.5848931924611136</c:v>
                </c:pt>
                <c:pt idx="23">
                  <c:v>1.9952623149688797</c:v>
                </c:pt>
                <c:pt idx="24">
                  <c:v>2.5118864315095806</c:v>
                </c:pt>
                <c:pt idx="25">
                  <c:v>3.1622776601683795</c:v>
                </c:pt>
                <c:pt idx="26">
                  <c:v>3.9810717055349727</c:v>
                </c:pt>
                <c:pt idx="27">
                  <c:v>5.011872336272723</c:v>
                </c:pt>
                <c:pt idx="28">
                  <c:v>6.309573444801934</c:v>
                </c:pt>
                <c:pt idx="29">
                  <c:v>7.943282347242818</c:v>
                </c:pt>
                <c:pt idx="30">
                  <c:v>10</c:v>
                </c:pt>
                <c:pt idx="31">
                  <c:v>12.58925411794168</c:v>
                </c:pt>
                <c:pt idx="32">
                  <c:v>15.848931924611136</c:v>
                </c:pt>
                <c:pt idx="33">
                  <c:v>19.952623149688804</c:v>
                </c:pt>
                <c:pt idx="34">
                  <c:v>25.1188643150958</c:v>
                </c:pt>
                <c:pt idx="35">
                  <c:v>31.622776601683803</c:v>
                </c:pt>
                <c:pt idx="36">
                  <c:v>39.810717055349755</c:v>
                </c:pt>
                <c:pt idx="37">
                  <c:v>50.11872336272724</c:v>
                </c:pt>
                <c:pt idx="38">
                  <c:v>63.095734448019364</c:v>
                </c:pt>
                <c:pt idx="39">
                  <c:v>79.4328234724282</c:v>
                </c:pt>
                <c:pt idx="40">
                  <c:v>100</c:v>
                </c:pt>
                <c:pt idx="41">
                  <c:v>125.89254117941677</c:v>
                </c:pt>
                <c:pt idx="42">
                  <c:v>158.48931924611153</c:v>
                </c:pt>
                <c:pt idx="43">
                  <c:v>199.52623149688802</c:v>
                </c:pt>
                <c:pt idx="44">
                  <c:v>251.18864315095806</c:v>
                </c:pt>
                <c:pt idx="45">
                  <c:v>316.22776601683825</c:v>
                </c:pt>
                <c:pt idx="46">
                  <c:v>398.1071705534976</c:v>
                </c:pt>
                <c:pt idx="47">
                  <c:v>501.1872336272727</c:v>
                </c:pt>
                <c:pt idx="48">
                  <c:v>630.9573444801932</c:v>
                </c:pt>
                <c:pt idx="49">
                  <c:v>794.3282347242821</c:v>
                </c:pt>
                <c:pt idx="50">
                  <c:v>1000</c:v>
                </c:pt>
              </c:numCache>
            </c:numRef>
          </c:xVal>
          <c:yVal>
            <c:numRef>
              <c:f>data!$O$114:$O$164</c:f>
              <c:numCache>
                <c:ptCount val="51"/>
                <c:pt idx="0">
                  <c:v>-0.49381617279208456</c:v>
                </c:pt>
                <c:pt idx="1">
                  <c:v>-0.6216687256631641</c:v>
                </c:pt>
                <c:pt idx="2">
                  <c:v>-0.7826165942793825</c:v>
                </c:pt>
                <c:pt idx="3">
                  <c:v>-0.9852200828046426</c:v>
                </c:pt>
                <c:pt idx="4">
                  <c:v>-1.2402471094769294</c:v>
                </c:pt>
                <c:pt idx="5">
                  <c:v>-1.5612360020080818</c:v>
                </c:pt>
                <c:pt idx="6">
                  <c:v>-1.9651952711590808</c:v>
                </c:pt>
                <c:pt idx="7">
                  <c:v>-2.473467184075412</c:v>
                </c:pt>
                <c:pt idx="8">
                  <c:v>-3.1127804215470567</c:v>
                </c:pt>
                <c:pt idx="9">
                  <c:v>-3.916506987952658</c:v>
                </c:pt>
                <c:pt idx="10">
                  <c:v>-4.926110043939936</c:v>
                </c:pt>
                <c:pt idx="11">
                  <c:v>-6.192703722566405</c:v>
                </c:pt>
                <c:pt idx="12">
                  <c:v>-7.778509325248053</c:v>
                </c:pt>
                <c:pt idx="13">
                  <c:v>-9.757728065553177</c:v>
                </c:pt>
                <c:pt idx="14">
                  <c:v>-12.215879287295053</c:v>
                </c:pt>
                <c:pt idx="15">
                  <c:v>-15.245906942244007</c:v>
                </c:pt>
                <c:pt idx="16">
                  <c:v>-18.938419350606846</c:v>
                </c:pt>
                <c:pt idx="17">
                  <c:v>-23.36288843002232</c:v>
                </c:pt>
                <c:pt idx="18">
                  <c:v>-28.538135366086625</c:v>
                </c:pt>
                <c:pt idx="19">
                  <c:v>-34.396558452838846</c:v>
                </c:pt>
                <c:pt idx="20">
                  <c:v>-40.75782593214684</c:v>
                </c:pt>
                <c:pt idx="21">
                  <c:v>-47.33606409104313</c:v>
                </c:pt>
                <c:pt idx="22">
                  <c:v>-53.79364076128687</c:v>
                </c:pt>
                <c:pt idx="23">
                  <c:v>-59.82217944049434</c:v>
                </c:pt>
                <c:pt idx="24">
                  <c:v>-65.20785479009058</c:v>
                </c:pt>
                <c:pt idx="25">
                  <c:v>-69.85196155426355</c:v>
                </c:pt>
                <c:pt idx="26">
                  <c:v>-73.751856621792</c:v>
                </c:pt>
                <c:pt idx="27">
                  <c:v>-76.96576490309032</c:v>
                </c:pt>
                <c:pt idx="28">
                  <c:v>-79.58055861852046</c:v>
                </c:pt>
                <c:pt idx="29">
                  <c:v>-81.68985068315159</c:v>
                </c:pt>
                <c:pt idx="30">
                  <c:v>-83.38192436246248</c:v>
                </c:pt>
                <c:pt idx="31">
                  <c:v>-84.73444533589841</c:v>
                </c:pt>
                <c:pt idx="32">
                  <c:v>-85.81307495444962</c:v>
                </c:pt>
                <c:pt idx="33">
                  <c:v>-86.67202225232988</c:v>
                </c:pt>
                <c:pt idx="34">
                  <c:v>-87.35539611872076</c:v>
                </c:pt>
                <c:pt idx="35">
                  <c:v>-87.89876589849702</c:v>
                </c:pt>
                <c:pt idx="36">
                  <c:v>-88.33065427489342</c:v>
                </c:pt>
                <c:pt idx="37">
                  <c:v>-88.67385308667673</c:v>
                </c:pt>
                <c:pt idx="38">
                  <c:v>-88.94653464250202</c:v>
                </c:pt>
                <c:pt idx="39">
                  <c:v>-89.16316792265825</c:v>
                </c:pt>
                <c:pt idx="40">
                  <c:v>-89.33526321001119</c:v>
                </c:pt>
                <c:pt idx="41">
                  <c:v>-89.47197205605255</c:v>
                </c:pt>
                <c:pt idx="42">
                  <c:v>-89.58056811330647</c:v>
                </c:pt>
                <c:pt idx="43">
                  <c:v>-89.66683121353938</c:v>
                </c:pt>
                <c:pt idx="44">
                  <c:v>-89.73535352519853</c:v>
                </c:pt>
                <c:pt idx="45">
                  <c:v>-89.78978328113783</c:v>
                </c:pt>
                <c:pt idx="46">
                  <c:v>-89.833018648286</c:v>
                </c:pt>
                <c:pt idx="47">
                  <c:v>-89.86736185907684</c:v>
                </c:pt>
                <c:pt idx="48">
                  <c:v>-89.8946417102065</c:v>
                </c:pt>
                <c:pt idx="49">
                  <c:v>-89.91631090084378</c:v>
                </c:pt>
                <c:pt idx="50">
                  <c:v>-89.93352336815474</c:v>
                </c:pt>
              </c:numCache>
            </c:numRef>
          </c:yVal>
          <c:smooth val="1"/>
        </c:ser>
        <c:axId val="32306316"/>
        <c:axId val="22321389"/>
      </c:scatterChart>
      <c:valAx>
        <c:axId val="38510050"/>
        <c:scaling>
          <c:logBase val="10"/>
          <c:orientation val="minMax"/>
          <c:max val="1000"/>
          <c:min val="0.01"/>
        </c:scaling>
        <c:axPos val="b"/>
        <c:title>
          <c:tx>
            <c:rich>
              <a:bodyPr vert="horz" rot="0" anchor="ctr"/>
              <a:lstStyle/>
              <a:p>
                <a:pPr algn="ctr">
                  <a:defRPr/>
                </a:pPr>
                <a:r>
                  <a:rPr lang="en-US" cap="none" sz="1050" b="1" i="0" u="none" baseline="0">
                    <a:solidFill>
                      <a:srgbClr val="000000"/>
                    </a:solidFill>
                    <a:latin typeface="Arial"/>
                    <a:ea typeface="Arial"/>
                    <a:cs typeface="Arial"/>
                  </a:rPr>
                  <a:t>Frequency (Hz)</a:t>
                </a:r>
              </a:p>
            </c:rich>
          </c:tx>
          <c:layout>
            <c:manualLayout>
              <c:xMode val="factor"/>
              <c:yMode val="factor"/>
              <c:x val="-0.0085"/>
              <c:y val="-0.0027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0"/>
        <c:majorTickMark val="out"/>
        <c:minorTickMark val="none"/>
        <c:tickLblPos val="nextTo"/>
        <c:spPr>
          <a:ln w="3175">
            <a:solidFill>
              <a:srgbClr val="000000"/>
            </a:solidFill>
          </a:ln>
        </c:spPr>
        <c:crossAx val="11046131"/>
        <c:crossesAt val="-100"/>
        <c:crossBetween val="midCat"/>
        <c:dispUnits/>
        <c:majorUnit val="10"/>
        <c:minorUnit val="10"/>
      </c:valAx>
      <c:valAx>
        <c:axId val="11046131"/>
        <c:scaling>
          <c:orientation val="minMax"/>
          <c:max val="100"/>
          <c:min val="-100"/>
        </c:scaling>
        <c:axPos val="l"/>
        <c:title>
          <c:tx>
            <c:rich>
              <a:bodyPr vert="horz" rot="-5400000" anchor="ctr"/>
              <a:lstStyle/>
              <a:p>
                <a:pPr algn="ctr">
                  <a:defRPr/>
                </a:pPr>
                <a:r>
                  <a:rPr lang="en-US" cap="none" sz="1050" b="1" i="0" u="none" baseline="0">
                    <a:solidFill>
                      <a:srgbClr val="000000"/>
                    </a:solidFill>
                    <a:latin typeface="Arial"/>
                    <a:ea typeface="Arial"/>
                    <a:cs typeface="Arial"/>
                  </a:rPr>
                  <a:t>Gain (dB)</a:t>
                </a:r>
              </a:p>
            </c:rich>
          </c:tx>
          <c:layout>
            <c:manualLayout>
              <c:xMode val="factor"/>
              <c:yMode val="factor"/>
              <c:x val="-0.011"/>
              <c:y val="0"/>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8510050"/>
        <c:crossesAt val="0.01"/>
        <c:crossBetween val="midCat"/>
        <c:dispUnits/>
      </c:valAx>
      <c:valAx>
        <c:axId val="32306316"/>
        <c:scaling>
          <c:logBase val="10"/>
          <c:orientation val="minMax"/>
        </c:scaling>
        <c:axPos val="b"/>
        <c:delete val="1"/>
        <c:majorTickMark val="out"/>
        <c:minorTickMark val="none"/>
        <c:tickLblPos val="nextTo"/>
        <c:crossAx val="22321389"/>
        <c:crosses val="max"/>
        <c:crossBetween val="midCat"/>
        <c:dispUnits/>
      </c:valAx>
      <c:valAx>
        <c:axId val="22321389"/>
        <c:scaling>
          <c:orientation val="minMax"/>
        </c:scaling>
        <c:axPos val="l"/>
        <c:title>
          <c:tx>
            <c:rich>
              <a:bodyPr vert="horz" rot="5400000" anchor="ctr"/>
              <a:lstStyle/>
              <a:p>
                <a:pPr algn="ctr">
                  <a:defRPr/>
                </a:pPr>
                <a:r>
                  <a:rPr lang="en-US" cap="none" sz="1050" b="1" i="0" u="none" baseline="0">
                    <a:solidFill>
                      <a:srgbClr val="000000"/>
                    </a:solidFill>
                    <a:latin typeface="Arial"/>
                    <a:ea typeface="Arial"/>
                    <a:cs typeface="Arial"/>
                  </a:rPr>
                  <a:t>Phase (degrees)</a:t>
                </a:r>
              </a:p>
            </c:rich>
          </c:tx>
          <c:layout>
            <c:manualLayout>
              <c:xMode val="factor"/>
              <c:yMode val="factor"/>
              <c:x val="-0.00875"/>
              <c:y val="0.003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2306316"/>
        <c:crosses val="max"/>
        <c:crossBetween val="midCat"/>
        <c:dispUnits/>
      </c:valAx>
      <c:spPr>
        <a:gradFill rotWithShape="1">
          <a:gsLst>
            <a:gs pos="0">
              <a:srgbClr val="FFFFFF"/>
            </a:gs>
            <a:gs pos="100000">
              <a:srgbClr val="FFFFCC"/>
            </a:gs>
          </a:gsLst>
          <a:lin ang="5400000" scaled="1"/>
        </a:gradFill>
        <a:ln w="12700">
          <a:solidFill>
            <a:srgbClr val="808080"/>
          </a:solidFill>
        </a:ln>
      </c:spPr>
    </c:plotArea>
    <c:legend>
      <c:legendPos val="r"/>
      <c:layout>
        <c:manualLayout>
          <c:xMode val="edge"/>
          <c:yMode val="edge"/>
          <c:x val="0.1675"/>
          <c:y val="0.94975"/>
          <c:w val="0.66"/>
          <c:h val="0.04575"/>
        </c:manualLayout>
      </c:layout>
      <c:overlay val="0"/>
      <c:spPr>
        <a:solidFill>
          <a:srgbClr val="FFFFFF"/>
        </a:solidFill>
        <a:ln w="3175">
          <a:solidFill>
            <a:srgbClr val="000000"/>
          </a:solidFill>
        </a:ln>
      </c:spPr>
      <c:txPr>
        <a:bodyPr vert="horz" rot="0"/>
        <a:lstStyle/>
        <a:p>
          <a:pPr>
            <a:defRPr lang="en-US" cap="none" sz="74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Voltage Closed-Loop Bode Plot</a:t>
            </a:r>
          </a:p>
        </c:rich>
      </c:tx>
      <c:layout>
        <c:manualLayout>
          <c:xMode val="factor"/>
          <c:yMode val="factor"/>
          <c:x val="-0.027"/>
          <c:y val="0"/>
        </c:manualLayout>
      </c:layout>
      <c:spPr>
        <a:noFill/>
        <a:ln>
          <a:noFill/>
        </a:ln>
      </c:spPr>
    </c:title>
    <c:plotArea>
      <c:layout>
        <c:manualLayout>
          <c:xMode val="edge"/>
          <c:yMode val="edge"/>
          <c:x val="0.05"/>
          <c:y val="0.108"/>
          <c:w val="0.89725"/>
          <c:h val="0.765"/>
        </c:manualLayout>
      </c:layout>
      <c:scatterChart>
        <c:scatterStyle val="smoothMarker"/>
        <c:varyColors val="0"/>
        <c:ser>
          <c:idx val="0"/>
          <c:order val="0"/>
          <c:tx>
            <c:v>EA Gain</c:v>
          </c:tx>
          <c:spPr>
            <a:ln w="381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data!$H$114:$H$164</c:f>
              <c:numCache>
                <c:ptCount val="51"/>
                <c:pt idx="0">
                  <c:v>0.01</c:v>
                </c:pt>
                <c:pt idx="1">
                  <c:v>0.012589254117941664</c:v>
                </c:pt>
                <c:pt idx="2">
                  <c:v>0.015848931924611124</c:v>
                </c:pt>
                <c:pt idx="3">
                  <c:v>0.019952623149688792</c:v>
                </c:pt>
                <c:pt idx="4">
                  <c:v>0.02511886431509578</c:v>
                </c:pt>
                <c:pt idx="5">
                  <c:v>0.031622776601683784</c:v>
                </c:pt>
                <c:pt idx="6">
                  <c:v>0.03981071705534973</c:v>
                </c:pt>
                <c:pt idx="7">
                  <c:v>0.050118723362727206</c:v>
                </c:pt>
                <c:pt idx="8">
                  <c:v>0.06309573444801932</c:v>
                </c:pt>
                <c:pt idx="9">
                  <c:v>0.0794328234724281</c:v>
                </c:pt>
                <c:pt idx="10">
                  <c:v>0.1</c:v>
                </c:pt>
                <c:pt idx="11">
                  <c:v>0.12589254117941667</c:v>
                </c:pt>
                <c:pt idx="12">
                  <c:v>0.15848931924611132</c:v>
                </c:pt>
                <c:pt idx="13">
                  <c:v>0.19952623149688795</c:v>
                </c:pt>
                <c:pt idx="14">
                  <c:v>0.251188643150958</c:v>
                </c:pt>
                <c:pt idx="15">
                  <c:v>0.31622776601683794</c:v>
                </c:pt>
                <c:pt idx="16">
                  <c:v>0.3981071705534972</c:v>
                </c:pt>
                <c:pt idx="17">
                  <c:v>0.5011872336272722</c:v>
                </c:pt>
                <c:pt idx="18">
                  <c:v>0.6309573444801932</c:v>
                </c:pt>
                <c:pt idx="19">
                  <c:v>0.7943282347242815</c:v>
                </c:pt>
                <c:pt idx="20">
                  <c:v>1</c:v>
                </c:pt>
                <c:pt idx="21">
                  <c:v>1.2589254117941673</c:v>
                </c:pt>
                <c:pt idx="22">
                  <c:v>1.5848931924611136</c:v>
                </c:pt>
                <c:pt idx="23">
                  <c:v>1.9952623149688797</c:v>
                </c:pt>
                <c:pt idx="24">
                  <c:v>2.5118864315095806</c:v>
                </c:pt>
                <c:pt idx="25">
                  <c:v>3.1622776601683795</c:v>
                </c:pt>
                <c:pt idx="26">
                  <c:v>3.9810717055349727</c:v>
                </c:pt>
                <c:pt idx="27">
                  <c:v>5.011872336272723</c:v>
                </c:pt>
                <c:pt idx="28">
                  <c:v>6.309573444801934</c:v>
                </c:pt>
                <c:pt idx="29">
                  <c:v>7.943282347242818</c:v>
                </c:pt>
                <c:pt idx="30">
                  <c:v>10</c:v>
                </c:pt>
                <c:pt idx="31">
                  <c:v>12.58925411794168</c:v>
                </c:pt>
                <c:pt idx="32">
                  <c:v>15.848931924611136</c:v>
                </c:pt>
                <c:pt idx="33">
                  <c:v>19.952623149688804</c:v>
                </c:pt>
                <c:pt idx="34">
                  <c:v>25.1188643150958</c:v>
                </c:pt>
                <c:pt idx="35">
                  <c:v>31.622776601683803</c:v>
                </c:pt>
                <c:pt idx="36">
                  <c:v>39.810717055349755</c:v>
                </c:pt>
                <c:pt idx="37">
                  <c:v>50.11872336272724</c:v>
                </c:pt>
                <c:pt idx="38">
                  <c:v>63.095734448019364</c:v>
                </c:pt>
                <c:pt idx="39">
                  <c:v>79.4328234724282</c:v>
                </c:pt>
                <c:pt idx="40">
                  <c:v>100</c:v>
                </c:pt>
                <c:pt idx="41">
                  <c:v>125.89254117941677</c:v>
                </c:pt>
                <c:pt idx="42">
                  <c:v>158.48931924611153</c:v>
                </c:pt>
                <c:pt idx="43">
                  <c:v>199.52623149688802</c:v>
                </c:pt>
                <c:pt idx="44">
                  <c:v>251.18864315095806</c:v>
                </c:pt>
                <c:pt idx="45">
                  <c:v>316.22776601683825</c:v>
                </c:pt>
                <c:pt idx="46">
                  <c:v>398.1071705534976</c:v>
                </c:pt>
                <c:pt idx="47">
                  <c:v>501.1872336272727</c:v>
                </c:pt>
                <c:pt idx="48">
                  <c:v>630.9573444801932</c:v>
                </c:pt>
                <c:pt idx="49">
                  <c:v>794.3282347242821</c:v>
                </c:pt>
                <c:pt idx="50">
                  <c:v>1000</c:v>
                </c:pt>
              </c:numCache>
            </c:numRef>
          </c:xVal>
          <c:yVal>
            <c:numRef>
              <c:f>data!$Q$114:$Q$164</c:f>
              <c:numCache>
                <c:ptCount val="51"/>
                <c:pt idx="0">
                  <c:v>39.944492197962184</c:v>
                </c:pt>
                <c:pt idx="1">
                  <c:v>37.94459623880813</c:v>
                </c:pt>
                <c:pt idx="2">
                  <c:v>35.94476112730325</c:v>
                </c:pt>
                <c:pt idx="3">
                  <c:v>33.945022445063174</c:v>
                </c:pt>
                <c:pt idx="4">
                  <c:v>31.945436573419137</c:v>
                </c:pt>
                <c:pt idx="5">
                  <c:v>29.946092841306033</c:v>
                </c:pt>
                <c:pt idx="6">
                  <c:v>27.94713275159877</c:v>
                </c:pt>
                <c:pt idx="7">
                  <c:v>25.948780385645204</c:v>
                </c:pt>
                <c:pt idx="8">
                  <c:v>23.951390422841364</c:v>
                </c:pt>
                <c:pt idx="9">
                  <c:v>21.955523824933444</c:v>
                </c:pt>
                <c:pt idx="10">
                  <c:v>19.96206673373788</c:v>
                </c:pt>
                <c:pt idx="11">
                  <c:v>17.972416284781044</c:v>
                </c:pt>
                <c:pt idx="12">
                  <c:v>15.988768585320518</c:v>
                </c:pt>
                <c:pt idx="13">
                  <c:v>14.014559075996898</c:v>
                </c:pt>
                <c:pt idx="14">
                  <c:v>12.055121362496122</c:v>
                </c:pt>
                <c:pt idx="15">
                  <c:v>10.118637886300316</c:v>
                </c:pt>
                <c:pt idx="16">
                  <c:v>8.217429282099854</c:v>
                </c:pt>
                <c:pt idx="17">
                  <c:v>6.369514992959092</c:v>
                </c:pt>
                <c:pt idx="18">
                  <c:v>4.600088459151818</c:v>
                </c:pt>
                <c:pt idx="19">
                  <c:v>2.9420183819028694</c:v>
                </c:pt>
                <c:pt idx="20">
                  <c:v>1.4338694492899415</c:v>
                </c:pt>
                <c:pt idx="21">
                  <c:v>0.11394785971282642</c:v>
                </c:pt>
                <c:pt idx="22">
                  <c:v>-0.9893401447378605</c:v>
                </c:pt>
                <c:pt idx="23">
                  <c:v>-1.8670696789773458</c:v>
                </c:pt>
                <c:pt idx="24">
                  <c:v>-2.5336533603404328</c:v>
                </c:pt>
                <c:pt idx="25">
                  <c:v>-3.022441377279579</c:v>
                </c:pt>
                <c:pt idx="26">
                  <c:v>-3.3763988435730696</c:v>
                </c:pt>
                <c:pt idx="27">
                  <c:v>-3.6396161232828907</c:v>
                </c:pt>
                <c:pt idx="28">
                  <c:v>-3.8530069382075807</c:v>
                </c:pt>
                <c:pt idx="29">
                  <c:v>-4.054156738275131</c:v>
                </c:pt>
                <c:pt idx="30">
                  <c:v>-4.279646315399686</c:v>
                </c:pt>
                <c:pt idx="31">
                  <c:v>-4.567980133199111</c:v>
                </c:pt>
                <c:pt idx="32">
                  <c:v>-4.961308105494509</c:v>
                </c:pt>
                <c:pt idx="33">
                  <c:v>-5.504056136930416</c:v>
                </c:pt>
                <c:pt idx="34">
                  <c:v>-6.237111485183284</c:v>
                </c:pt>
                <c:pt idx="35">
                  <c:v>-7.188507885432495</c:v>
                </c:pt>
                <c:pt idx="36">
                  <c:v>-8.3650854263645</c:v>
                </c:pt>
                <c:pt idx="37">
                  <c:v>-9.750706448210572</c:v>
                </c:pt>
                <c:pt idx="38">
                  <c:v>-11.31253626232545</c:v>
                </c:pt>
                <c:pt idx="39">
                  <c:v>-13.011259620778153</c:v>
                </c:pt>
                <c:pt idx="40">
                  <c:v>-14.809741971443891</c:v>
                </c:pt>
                <c:pt idx="41">
                  <c:v>-16.67757579690501</c:v>
                </c:pt>
                <c:pt idx="42">
                  <c:v>-18.592053746659634</c:v>
                </c:pt>
                <c:pt idx="43">
                  <c:v>-20.537208276722254</c:v>
                </c:pt>
                <c:pt idx="44">
                  <c:v>-22.50224127191528</c:v>
                </c:pt>
                <c:pt idx="45">
                  <c:v>-24.480032019943284</c:v>
                </c:pt>
                <c:pt idx="46">
                  <c:v>-26.465959937604282</c:v>
                </c:pt>
                <c:pt idx="47">
                  <c:v>-28.4570574049282</c:v>
                </c:pt>
                <c:pt idx="48">
                  <c:v>-30.451430830178154</c:v>
                </c:pt>
                <c:pt idx="49">
                  <c:v>-32.44787692637051</c:v>
                </c:pt>
                <c:pt idx="50">
                  <c:v>-34.44563305910377</c:v>
                </c:pt>
              </c:numCache>
            </c:numRef>
          </c:yVal>
          <c:smooth val="1"/>
        </c:ser>
        <c:ser>
          <c:idx val="1"/>
          <c:order val="1"/>
          <c:tx>
            <c:v>Total Closed  Loop Gain</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data!$H$114:$H$164</c:f>
              <c:numCache>
                <c:ptCount val="51"/>
                <c:pt idx="0">
                  <c:v>0.01</c:v>
                </c:pt>
                <c:pt idx="1">
                  <c:v>0.012589254117941664</c:v>
                </c:pt>
                <c:pt idx="2">
                  <c:v>0.015848931924611124</c:v>
                </c:pt>
                <c:pt idx="3">
                  <c:v>0.019952623149688792</c:v>
                </c:pt>
                <c:pt idx="4">
                  <c:v>0.02511886431509578</c:v>
                </c:pt>
                <c:pt idx="5">
                  <c:v>0.031622776601683784</c:v>
                </c:pt>
                <c:pt idx="6">
                  <c:v>0.03981071705534973</c:v>
                </c:pt>
                <c:pt idx="7">
                  <c:v>0.050118723362727206</c:v>
                </c:pt>
                <c:pt idx="8">
                  <c:v>0.06309573444801932</c:v>
                </c:pt>
                <c:pt idx="9">
                  <c:v>0.0794328234724281</c:v>
                </c:pt>
                <c:pt idx="10">
                  <c:v>0.1</c:v>
                </c:pt>
                <c:pt idx="11">
                  <c:v>0.12589254117941667</c:v>
                </c:pt>
                <c:pt idx="12">
                  <c:v>0.15848931924611132</c:v>
                </c:pt>
                <c:pt idx="13">
                  <c:v>0.19952623149688795</c:v>
                </c:pt>
                <c:pt idx="14">
                  <c:v>0.251188643150958</c:v>
                </c:pt>
                <c:pt idx="15">
                  <c:v>0.31622776601683794</c:v>
                </c:pt>
                <c:pt idx="16">
                  <c:v>0.3981071705534972</c:v>
                </c:pt>
                <c:pt idx="17">
                  <c:v>0.5011872336272722</c:v>
                </c:pt>
                <c:pt idx="18">
                  <c:v>0.6309573444801932</c:v>
                </c:pt>
                <c:pt idx="19">
                  <c:v>0.7943282347242815</c:v>
                </c:pt>
                <c:pt idx="20">
                  <c:v>1</c:v>
                </c:pt>
                <c:pt idx="21">
                  <c:v>1.2589254117941673</c:v>
                </c:pt>
                <c:pt idx="22">
                  <c:v>1.5848931924611136</c:v>
                </c:pt>
                <c:pt idx="23">
                  <c:v>1.9952623149688797</c:v>
                </c:pt>
                <c:pt idx="24">
                  <c:v>2.5118864315095806</c:v>
                </c:pt>
                <c:pt idx="25">
                  <c:v>3.1622776601683795</c:v>
                </c:pt>
                <c:pt idx="26">
                  <c:v>3.9810717055349727</c:v>
                </c:pt>
                <c:pt idx="27">
                  <c:v>5.011872336272723</c:v>
                </c:pt>
                <c:pt idx="28">
                  <c:v>6.309573444801934</c:v>
                </c:pt>
                <c:pt idx="29">
                  <c:v>7.943282347242818</c:v>
                </c:pt>
                <c:pt idx="30">
                  <c:v>10</c:v>
                </c:pt>
                <c:pt idx="31">
                  <c:v>12.58925411794168</c:v>
                </c:pt>
                <c:pt idx="32">
                  <c:v>15.848931924611136</c:v>
                </c:pt>
                <c:pt idx="33">
                  <c:v>19.952623149688804</c:v>
                </c:pt>
                <c:pt idx="34">
                  <c:v>25.1188643150958</c:v>
                </c:pt>
                <c:pt idx="35">
                  <c:v>31.622776601683803</c:v>
                </c:pt>
                <c:pt idx="36">
                  <c:v>39.810717055349755</c:v>
                </c:pt>
                <c:pt idx="37">
                  <c:v>50.11872336272724</c:v>
                </c:pt>
                <c:pt idx="38">
                  <c:v>63.095734448019364</c:v>
                </c:pt>
                <c:pt idx="39">
                  <c:v>79.4328234724282</c:v>
                </c:pt>
                <c:pt idx="40">
                  <c:v>100</c:v>
                </c:pt>
                <c:pt idx="41">
                  <c:v>125.89254117941677</c:v>
                </c:pt>
                <c:pt idx="42">
                  <c:v>158.48931924611153</c:v>
                </c:pt>
                <c:pt idx="43">
                  <c:v>199.52623149688802</c:v>
                </c:pt>
                <c:pt idx="44">
                  <c:v>251.18864315095806</c:v>
                </c:pt>
                <c:pt idx="45">
                  <c:v>316.22776601683825</c:v>
                </c:pt>
                <c:pt idx="46">
                  <c:v>398.1071705534976</c:v>
                </c:pt>
                <c:pt idx="47">
                  <c:v>501.1872336272727</c:v>
                </c:pt>
                <c:pt idx="48">
                  <c:v>630.9573444801932</c:v>
                </c:pt>
                <c:pt idx="49">
                  <c:v>794.3282347242821</c:v>
                </c:pt>
                <c:pt idx="50">
                  <c:v>1000</c:v>
                </c:pt>
              </c:numCache>
            </c:numRef>
          </c:xVal>
          <c:yVal>
            <c:numRef>
              <c:f>data!$S$114:$S$164</c:f>
              <c:numCache>
                <c:ptCount val="51"/>
                <c:pt idx="0">
                  <c:v>60.436266555705004</c:v>
                </c:pt>
                <c:pt idx="1">
                  <c:v>58.4361819164742</c:v>
                </c:pt>
                <c:pt idx="2">
                  <c:v>56.43604778399033</c:v>
                </c:pt>
                <c:pt idx="3">
                  <c:v>54.43583522760498</c:v>
                </c:pt>
                <c:pt idx="4">
                  <c:v>52.43549842195215</c:v>
                </c:pt>
                <c:pt idx="5">
                  <c:v>50.43496480554616</c:v>
                </c:pt>
                <c:pt idx="6">
                  <c:v>48.43411954385565</c:v>
                </c:pt>
                <c:pt idx="7">
                  <c:v>46.43278105686575</c:v>
                </c:pt>
                <c:pt idx="8">
                  <c:v>44.43066261289098</c:v>
                </c:pt>
                <c:pt idx="9">
                  <c:v>42.42731240704038</c:v>
                </c:pt>
                <c:pt idx="10">
                  <c:v>40.42202094844608</c:v>
                </c:pt>
                <c:pt idx="11">
                  <c:v>38.41368009894293</c:v>
                </c:pt>
                <c:pt idx="12">
                  <c:v>36.400573896979594</c:v>
                </c:pt>
                <c:pt idx="13">
                  <c:v>34.38008129576927</c:v>
                </c:pt>
                <c:pt idx="14">
                  <c:v>32.34828545224974</c:v>
                </c:pt>
                <c:pt idx="15">
                  <c:v>30.299535769302764</c:v>
                </c:pt>
                <c:pt idx="16">
                  <c:v>28.22613640355855</c:v>
                </c:pt>
                <c:pt idx="17">
                  <c:v>26.11857603295586</c:v>
                </c:pt>
                <c:pt idx="18">
                  <c:v>23.96701408760192</c:v>
                </c:pt>
                <c:pt idx="19">
                  <c:v>21.764746398742428</c:v>
                </c:pt>
                <c:pt idx="20">
                  <c:v>19.513341870430295</c:v>
                </c:pt>
                <c:pt idx="21">
                  <c:v>17.22675548587333</c:v>
                </c:pt>
                <c:pt idx="22">
                  <c:v>14.93002607175198</c:v>
                </c:pt>
                <c:pt idx="23">
                  <c:v>12.650951762693339</c:v>
                </c:pt>
                <c:pt idx="24">
                  <c:v>10.409513186017126</c:v>
                </c:pt>
                <c:pt idx="25">
                  <c:v>8.212102146238955</c:v>
                </c:pt>
                <c:pt idx="26">
                  <c:v>6.052587266850663</c:v>
                </c:pt>
                <c:pt idx="27">
                  <c:v>3.9166910611944026</c:v>
                </c:pt>
                <c:pt idx="28">
                  <c:v>1.7855984415286397</c:v>
                </c:pt>
                <c:pt idx="29">
                  <c:v>-0.36281063458740276</c:v>
                </c:pt>
                <c:pt idx="30">
                  <c:v>-2.55469046843674</c:v>
                </c:pt>
                <c:pt idx="31">
                  <c:v>-4.821683354543705</c:v>
                </c:pt>
                <c:pt idx="32">
                  <c:v>-7.201491950654394</c:v>
                </c:pt>
                <c:pt idx="33">
                  <c:v>-9.735688127271027</c:v>
                </c:pt>
                <c:pt idx="34">
                  <c:v>-12.463338942424155</c:v>
                </c:pt>
                <c:pt idx="35">
                  <c:v>-15.41132184902423</c:v>
                </c:pt>
                <c:pt idx="36">
                  <c:v>-18.58574423978093</c:v>
                </c:pt>
                <c:pt idx="37">
                  <c:v>-21.970004903309924</c:v>
                </c:pt>
                <c:pt idx="38">
                  <c:v>-25.530976170054032</c:v>
                </c:pt>
                <c:pt idx="39">
                  <c:v>-29.22915773439593</c:v>
                </c:pt>
                <c:pt idx="40">
                  <c:v>-33.02729820130754</c:v>
                </c:pt>
                <c:pt idx="41">
                  <c:v>-36.894916298854284</c:v>
                </c:pt>
                <c:pt idx="42">
                  <c:v>-40.809258127983114</c:v>
                </c:pt>
                <c:pt idx="43">
                  <c:v>-44.754326769541876</c:v>
                </c:pt>
                <c:pt idx="44">
                  <c:v>-48.71930557187855</c:v>
                </c:pt>
                <c:pt idx="45">
                  <c:v>-52.69706212617791</c:v>
                </c:pt>
                <c:pt idx="46">
                  <c:v>-56.68296846891619</c:v>
                </c:pt>
                <c:pt idx="47">
                  <c:v>-60.674052323328944</c:v>
                </c:pt>
                <c:pt idx="48">
                  <c:v>-64.66841715939067</c:v>
                </c:pt>
                <c:pt idx="49">
                  <c:v>-68.66485783616297</c:v>
                </c:pt>
                <c:pt idx="50">
                  <c:v>-72.66261054946975</c:v>
                </c:pt>
              </c:numCache>
            </c:numRef>
          </c:yVal>
          <c:smooth val="1"/>
        </c:ser>
        <c:axId val="66674774"/>
        <c:axId val="63202055"/>
      </c:scatterChart>
      <c:scatterChart>
        <c:scatterStyle val="lineMarker"/>
        <c:varyColors val="0"/>
        <c:ser>
          <c:idx val="2"/>
          <c:order val="2"/>
          <c:tx>
            <c:v>Total Closed Loop Phase Margin</c:v>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data!$H$114:$H$164</c:f>
              <c:numCache>
                <c:ptCount val="51"/>
                <c:pt idx="0">
                  <c:v>0.01</c:v>
                </c:pt>
                <c:pt idx="1">
                  <c:v>0.012589254117941664</c:v>
                </c:pt>
                <c:pt idx="2">
                  <c:v>0.015848931924611124</c:v>
                </c:pt>
                <c:pt idx="3">
                  <c:v>0.019952623149688792</c:v>
                </c:pt>
                <c:pt idx="4">
                  <c:v>0.02511886431509578</c:v>
                </c:pt>
                <c:pt idx="5">
                  <c:v>0.031622776601683784</c:v>
                </c:pt>
                <c:pt idx="6">
                  <c:v>0.03981071705534973</c:v>
                </c:pt>
                <c:pt idx="7">
                  <c:v>0.050118723362727206</c:v>
                </c:pt>
                <c:pt idx="8">
                  <c:v>0.06309573444801932</c:v>
                </c:pt>
                <c:pt idx="9">
                  <c:v>0.0794328234724281</c:v>
                </c:pt>
                <c:pt idx="10">
                  <c:v>0.1</c:v>
                </c:pt>
                <c:pt idx="11">
                  <c:v>0.12589254117941667</c:v>
                </c:pt>
                <c:pt idx="12">
                  <c:v>0.15848931924611132</c:v>
                </c:pt>
                <c:pt idx="13">
                  <c:v>0.19952623149688795</c:v>
                </c:pt>
                <c:pt idx="14">
                  <c:v>0.251188643150958</c:v>
                </c:pt>
                <c:pt idx="15">
                  <c:v>0.31622776601683794</c:v>
                </c:pt>
                <c:pt idx="16">
                  <c:v>0.3981071705534972</c:v>
                </c:pt>
                <c:pt idx="17">
                  <c:v>0.5011872336272722</c:v>
                </c:pt>
                <c:pt idx="18">
                  <c:v>0.6309573444801932</c:v>
                </c:pt>
                <c:pt idx="19">
                  <c:v>0.7943282347242815</c:v>
                </c:pt>
                <c:pt idx="20">
                  <c:v>1</c:v>
                </c:pt>
                <c:pt idx="21">
                  <c:v>1.2589254117941673</c:v>
                </c:pt>
                <c:pt idx="22">
                  <c:v>1.5848931924611136</c:v>
                </c:pt>
                <c:pt idx="23">
                  <c:v>1.9952623149688797</c:v>
                </c:pt>
                <c:pt idx="24">
                  <c:v>2.5118864315095806</c:v>
                </c:pt>
                <c:pt idx="25">
                  <c:v>3.1622776601683795</c:v>
                </c:pt>
                <c:pt idx="26">
                  <c:v>3.9810717055349727</c:v>
                </c:pt>
                <c:pt idx="27">
                  <c:v>5.011872336272723</c:v>
                </c:pt>
                <c:pt idx="28">
                  <c:v>6.309573444801934</c:v>
                </c:pt>
                <c:pt idx="29">
                  <c:v>7.943282347242818</c:v>
                </c:pt>
                <c:pt idx="30">
                  <c:v>10</c:v>
                </c:pt>
                <c:pt idx="31">
                  <c:v>12.58925411794168</c:v>
                </c:pt>
                <c:pt idx="32">
                  <c:v>15.848931924611136</c:v>
                </c:pt>
                <c:pt idx="33">
                  <c:v>19.952623149688804</c:v>
                </c:pt>
                <c:pt idx="34">
                  <c:v>25.1188643150958</c:v>
                </c:pt>
                <c:pt idx="35">
                  <c:v>31.622776601683803</c:v>
                </c:pt>
                <c:pt idx="36">
                  <c:v>39.810717055349755</c:v>
                </c:pt>
                <c:pt idx="37">
                  <c:v>50.11872336272724</c:v>
                </c:pt>
                <c:pt idx="38">
                  <c:v>63.095734448019364</c:v>
                </c:pt>
                <c:pt idx="39">
                  <c:v>79.4328234724282</c:v>
                </c:pt>
                <c:pt idx="40">
                  <c:v>100</c:v>
                </c:pt>
                <c:pt idx="41">
                  <c:v>125.89254117941677</c:v>
                </c:pt>
                <c:pt idx="42">
                  <c:v>158.48931924611153</c:v>
                </c:pt>
                <c:pt idx="43">
                  <c:v>199.52623149688802</c:v>
                </c:pt>
                <c:pt idx="44">
                  <c:v>251.18864315095806</c:v>
                </c:pt>
                <c:pt idx="45">
                  <c:v>316.22776601683825</c:v>
                </c:pt>
                <c:pt idx="46">
                  <c:v>398.1071705534976</c:v>
                </c:pt>
                <c:pt idx="47">
                  <c:v>501.1872336272727</c:v>
                </c:pt>
                <c:pt idx="48">
                  <c:v>630.9573444801932</c:v>
                </c:pt>
                <c:pt idx="49">
                  <c:v>794.3282347242821</c:v>
                </c:pt>
                <c:pt idx="50">
                  <c:v>1000</c:v>
                </c:pt>
              </c:numCache>
            </c:numRef>
          </c:xVal>
          <c:yVal>
            <c:numRef>
              <c:f>data!$T$114:$T$164</c:f>
              <c:numCache>
                <c:ptCount val="51"/>
                <c:pt idx="0">
                  <c:v>89.85413866689824</c:v>
                </c:pt>
                <c:pt idx="1">
                  <c:v>89.81637676310447</c:v>
                </c:pt>
                <c:pt idx="2">
                  <c:v>89.76884261871115</c:v>
                </c:pt>
                <c:pt idx="3">
                  <c:v>89.70901120117018</c:v>
                </c:pt>
                <c:pt idx="4">
                  <c:v>89.633708902478</c:v>
                </c:pt>
                <c:pt idx="5">
                  <c:v>89.53895079197802</c:v>
                </c:pt>
                <c:pt idx="6">
                  <c:v>89.4197408703055</c:v>
                </c:pt>
                <c:pt idx="7">
                  <c:v>89.2698308167854</c:v>
                </c:pt>
                <c:pt idx="8">
                  <c:v>89.08143650924153</c:v>
                </c:pt>
                <c:pt idx="9">
                  <c:v>88.84492109063446</c:v>
                </c:pt>
                <c:pt idx="10">
                  <c:v>88.54847431719094</c:v>
                </c:pt>
                <c:pt idx="11">
                  <c:v>88.17786095989456</c:v>
                </c:pt>
                <c:pt idx="12">
                  <c:v>87.71639442464222</c:v>
                </c:pt>
                <c:pt idx="13">
                  <c:v>87.14544315272333</c:v>
                </c:pt>
                <c:pt idx="14">
                  <c:v>86.44602674261868</c:v>
                </c:pt>
                <c:pt idx="15">
                  <c:v>85.60239991013073</c:v>
                </c:pt>
                <c:pt idx="16">
                  <c:v>84.60879306481202</c:v>
                </c:pt>
                <c:pt idx="17">
                  <c:v>83.48010294244946</c:v>
                </c:pt>
                <c:pt idx="18">
                  <c:v>82.26505759416362</c:v>
                </c:pt>
                <c:pt idx="19">
                  <c:v>81.05492024227964</c:v>
                </c:pt>
                <c:pt idx="20">
                  <c:v>79.97408046009106</c:v>
                </c:pt>
                <c:pt idx="21">
                  <c:v>79.14068967931911</c:v>
                </c:pt>
                <c:pt idx="22">
                  <c:v>78.60709954018711</c:v>
                </c:pt>
                <c:pt idx="23">
                  <c:v>78.31838534451994</c:v>
                </c:pt>
                <c:pt idx="24">
                  <c:v>78.12278443957646</c:v>
                </c:pt>
                <c:pt idx="25">
                  <c:v>77.82366880590702</c:v>
                </c:pt>
                <c:pt idx="26">
                  <c:v>77.2314396038432</c:v>
                </c:pt>
                <c:pt idx="27">
                  <c:v>76.18795990469907</c:v>
                </c:pt>
                <c:pt idx="28">
                  <c:v>74.56623082631873</c:v>
                </c:pt>
                <c:pt idx="29">
                  <c:v>72.26147555742871</c:v>
                </c:pt>
                <c:pt idx="30">
                  <c:v>69.18724257707547</c:v>
                </c:pt>
                <c:pt idx="31">
                  <c:v>65.28391085125592</c:v>
                </c:pt>
                <c:pt idx="32">
                  <c:v>60.54173276851995</c:v>
                </c:pt>
                <c:pt idx="33">
                  <c:v>55.03367709185554</c:v>
                </c:pt>
                <c:pt idx="34">
                  <c:v>48.94239615916737</c:v>
                </c:pt>
                <c:pt idx="35">
                  <c:v>42.55674328077802</c:v>
                </c:pt>
                <c:pt idx="36">
                  <c:v>36.22214975423222</c:v>
                </c:pt>
                <c:pt idx="37">
                  <c:v>30.26067029530526</c:v>
                </c:pt>
                <c:pt idx="38">
                  <c:v>24.90275548064878</c:v>
                </c:pt>
                <c:pt idx="39">
                  <c:v>20.26246737420206</c:v>
                </c:pt>
                <c:pt idx="40">
                  <c:v>16.35396412712936</c:v>
                </c:pt>
                <c:pt idx="41">
                  <c:v>13.126360871443012</c:v>
                </c:pt>
                <c:pt idx="42">
                  <c:v>10.496868326520797</c:v>
                </c:pt>
                <c:pt idx="43">
                  <c:v>8.37384999999955</c:v>
                </c:pt>
                <c:pt idx="44">
                  <c:v>6.66979927592746</c:v>
                </c:pt>
                <c:pt idx="45">
                  <c:v>5.307211082111252</c:v>
                </c:pt>
                <c:pt idx="46">
                  <c:v>4.220302387926239</c:v>
                </c:pt>
                <c:pt idx="47">
                  <c:v>3.3546356462046276</c:v>
                </c:pt>
                <c:pt idx="48">
                  <c:v>2.665852081802427</c:v>
                </c:pt>
                <c:pt idx="49">
                  <c:v>2.1181488495872145</c:v>
                </c:pt>
                <c:pt idx="50">
                  <c:v>1.682800006059182</c:v>
                </c:pt>
              </c:numCache>
            </c:numRef>
          </c:yVal>
          <c:smooth val="1"/>
        </c:ser>
        <c:axId val="31947584"/>
        <c:axId val="19092801"/>
      </c:scatterChart>
      <c:valAx>
        <c:axId val="66674774"/>
        <c:scaling>
          <c:logBase val="10"/>
          <c:orientation val="minMax"/>
          <c:max val="1000"/>
          <c:min val="0.01"/>
        </c:scaling>
        <c:axPos val="b"/>
        <c:title>
          <c:tx>
            <c:rich>
              <a:bodyPr vert="horz" rot="0" anchor="ctr"/>
              <a:lstStyle/>
              <a:p>
                <a:pPr algn="ctr">
                  <a:defRPr/>
                </a:pPr>
                <a:r>
                  <a:rPr lang="en-US" cap="none" sz="1150" b="1" i="0" u="none" baseline="0">
                    <a:solidFill>
                      <a:srgbClr val="000000"/>
                    </a:solidFill>
                    <a:latin typeface="Arial"/>
                    <a:ea typeface="Arial"/>
                    <a:cs typeface="Arial"/>
                  </a:rPr>
                  <a:t>Frequency (Hz)</a:t>
                </a:r>
              </a:p>
            </c:rich>
          </c:tx>
          <c:layout>
            <c:manualLayout>
              <c:xMode val="factor"/>
              <c:yMode val="factor"/>
              <c:x val="-0.00925"/>
              <c:y val="-0.0025"/>
            </c:manualLayout>
          </c:layout>
          <c:overlay val="0"/>
          <c:spPr>
            <a:noFill/>
            <a:ln>
              <a:noFill/>
            </a:ln>
          </c:spPr>
        </c:title>
        <c:majorGridlines>
          <c:spPr>
            <a:ln w="3175">
              <a:solidFill>
                <a:srgbClr val="000000"/>
              </a:solidFill>
            </a:ln>
          </c:spPr>
        </c:majorGridlines>
        <c:minorGridlines>
          <c:spPr>
            <a:ln w="3175">
              <a:solidFill>
                <a:srgbClr val="000000"/>
              </a:solidFill>
            </a:ln>
          </c:spPr>
        </c:minorGridlines>
        <c:delete val="0"/>
        <c:numFmt formatCode="General" sourceLinked="0"/>
        <c:majorTickMark val="out"/>
        <c:minorTickMark val="none"/>
        <c:tickLblPos val="nextTo"/>
        <c:spPr>
          <a:ln w="3175">
            <a:solidFill>
              <a:srgbClr val="000000"/>
            </a:solidFill>
          </a:ln>
        </c:spPr>
        <c:crossAx val="63202055"/>
        <c:crossesAt val="-150"/>
        <c:crossBetween val="midCat"/>
        <c:dispUnits/>
        <c:majorUnit val="10"/>
        <c:minorUnit val="10"/>
      </c:valAx>
      <c:valAx>
        <c:axId val="63202055"/>
        <c:scaling>
          <c:orientation val="minMax"/>
          <c:max val="100"/>
        </c:scaling>
        <c:axPos val="l"/>
        <c:title>
          <c:tx>
            <c:rich>
              <a:bodyPr vert="horz" rot="-5400000" anchor="ctr"/>
              <a:lstStyle/>
              <a:p>
                <a:pPr algn="ctr">
                  <a:defRPr/>
                </a:pPr>
                <a:r>
                  <a:rPr lang="en-US" cap="none" sz="1150" b="1" i="0" u="none" baseline="0">
                    <a:solidFill>
                      <a:srgbClr val="000000"/>
                    </a:solidFill>
                    <a:latin typeface="Arial"/>
                    <a:ea typeface="Arial"/>
                    <a:cs typeface="Arial"/>
                  </a:rPr>
                  <a:t>Gain (dB)</a:t>
                </a:r>
              </a:p>
            </c:rich>
          </c:tx>
          <c:layout>
            <c:manualLayout>
              <c:xMode val="factor"/>
              <c:yMode val="factor"/>
              <c:x val="-0.013"/>
              <c:y val="-0.001"/>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6674774"/>
        <c:crossesAt val="0.01"/>
        <c:crossBetween val="midCat"/>
        <c:dispUnits/>
      </c:valAx>
      <c:valAx>
        <c:axId val="31947584"/>
        <c:scaling>
          <c:logBase val="10"/>
          <c:orientation val="minMax"/>
        </c:scaling>
        <c:axPos val="b"/>
        <c:delete val="1"/>
        <c:majorTickMark val="out"/>
        <c:minorTickMark val="none"/>
        <c:tickLblPos val="nextTo"/>
        <c:crossAx val="19092801"/>
        <c:crosses val="max"/>
        <c:crossBetween val="midCat"/>
        <c:dispUnits/>
      </c:valAx>
      <c:valAx>
        <c:axId val="19092801"/>
        <c:scaling>
          <c:orientation val="minMax"/>
          <c:max val="100"/>
          <c:min val="0"/>
        </c:scaling>
        <c:axPos val="l"/>
        <c:title>
          <c:tx>
            <c:rich>
              <a:bodyPr vert="horz" rot="5400000" anchor="ctr"/>
              <a:lstStyle/>
              <a:p>
                <a:pPr algn="ctr">
                  <a:defRPr/>
                </a:pPr>
                <a:r>
                  <a:rPr lang="en-US" cap="none" sz="1125" b="1" i="0" u="none" baseline="0">
                    <a:solidFill>
                      <a:srgbClr val="000000"/>
                    </a:solidFill>
                    <a:latin typeface="Arial"/>
                    <a:ea typeface="Arial"/>
                    <a:cs typeface="Arial"/>
                  </a:rPr>
                  <a:t>Phase (degrees)</a:t>
                </a:r>
              </a:p>
            </c:rich>
          </c:tx>
          <c:layout>
            <c:manualLayout>
              <c:xMode val="factor"/>
              <c:yMode val="factor"/>
              <c:x val="-0.0075"/>
              <c:y val="0.001"/>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31947584"/>
        <c:crosses val="max"/>
        <c:crossBetween val="midCat"/>
        <c:dispUnits/>
        <c:majorUnit val="20"/>
      </c:valAx>
      <c:spPr>
        <a:gradFill rotWithShape="1">
          <a:gsLst>
            <a:gs pos="0">
              <a:srgbClr val="FFFFFF"/>
            </a:gs>
            <a:gs pos="100000">
              <a:srgbClr val="FFFFCC"/>
            </a:gs>
          </a:gsLst>
          <a:lin ang="5400000" scaled="1"/>
        </a:gradFill>
        <a:ln w="12700">
          <a:solidFill>
            <a:srgbClr val="808080"/>
          </a:solidFill>
        </a:ln>
      </c:spPr>
    </c:plotArea>
    <c:legend>
      <c:legendPos val="r"/>
      <c:layout>
        <c:manualLayout>
          <c:xMode val="edge"/>
          <c:yMode val="edge"/>
          <c:x val="0.15625"/>
          <c:y val="0.94475"/>
          <c:w val="0.684"/>
          <c:h val="0.04525"/>
        </c:manualLayout>
      </c:layout>
      <c:overlay val="0"/>
      <c:spPr>
        <a:solidFill>
          <a:srgbClr val="FFFFFF"/>
        </a:solidFill>
        <a:ln w="3175">
          <a:solidFill>
            <a:srgbClr val="000000"/>
          </a:solidFill>
        </a:ln>
      </c:spPr>
      <c:txPr>
        <a:bodyPr vert="horz" rot="0"/>
        <a:lstStyle/>
        <a:p>
          <a:pPr>
            <a:defRPr lang="en-US" cap="none" sz="81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VCOMP &amp; ICOMP at Full Load as a Function of Line Voltage</a:t>
            </a:r>
          </a:p>
        </c:rich>
      </c:tx>
      <c:layout>
        <c:manualLayout>
          <c:xMode val="factor"/>
          <c:yMode val="factor"/>
          <c:x val="-0.01325"/>
          <c:y val="-0.00425"/>
        </c:manualLayout>
      </c:layout>
      <c:spPr>
        <a:noFill/>
        <a:ln w="3175">
          <a:noFill/>
        </a:ln>
      </c:spPr>
    </c:title>
    <c:plotArea>
      <c:layout>
        <c:manualLayout>
          <c:xMode val="edge"/>
          <c:yMode val="edge"/>
          <c:x val="0.0395"/>
          <c:y val="0.0745"/>
          <c:w val="0.816"/>
          <c:h val="0.8625"/>
        </c:manualLayout>
      </c:layout>
      <c:scatterChart>
        <c:scatterStyle val="lineMarker"/>
        <c:varyColors val="0"/>
        <c:ser>
          <c:idx val="0"/>
          <c:order val="0"/>
          <c:tx>
            <c:strRef>
              <c:f>VCOMP!$W$6</c:f>
              <c:strCache>
                <c:ptCount val="1"/>
                <c:pt idx="0">
                  <c:v>VCOMP</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VCOMP!$G$7:$G$187</c:f>
              <c:numCache>
                <c:ptCount val="181"/>
                <c:pt idx="0">
                  <c:v>176</c:v>
                </c:pt>
                <c:pt idx="1">
                  <c:v>177</c:v>
                </c:pt>
                <c:pt idx="2">
                  <c:v>178</c:v>
                </c:pt>
                <c:pt idx="3">
                  <c:v>179</c:v>
                </c:pt>
                <c:pt idx="4">
                  <c:v>180</c:v>
                </c:pt>
                <c:pt idx="5">
                  <c:v>181</c:v>
                </c:pt>
                <c:pt idx="6">
                  <c:v>182</c:v>
                </c:pt>
                <c:pt idx="7">
                  <c:v>183</c:v>
                </c:pt>
                <c:pt idx="8">
                  <c:v>184</c:v>
                </c:pt>
                <c:pt idx="9">
                  <c:v>185</c:v>
                </c:pt>
                <c:pt idx="10">
                  <c:v>186</c:v>
                </c:pt>
                <c:pt idx="11">
                  <c:v>187</c:v>
                </c:pt>
                <c:pt idx="12">
                  <c:v>188</c:v>
                </c:pt>
                <c:pt idx="13">
                  <c:v>189</c:v>
                </c:pt>
                <c:pt idx="14">
                  <c:v>190</c:v>
                </c:pt>
                <c:pt idx="15">
                  <c:v>191</c:v>
                </c:pt>
                <c:pt idx="16">
                  <c:v>192</c:v>
                </c:pt>
                <c:pt idx="17">
                  <c:v>193</c:v>
                </c:pt>
                <c:pt idx="18">
                  <c:v>194</c:v>
                </c:pt>
                <c:pt idx="19">
                  <c:v>195</c:v>
                </c:pt>
                <c:pt idx="20">
                  <c:v>196</c:v>
                </c:pt>
                <c:pt idx="21">
                  <c:v>197</c:v>
                </c:pt>
                <c:pt idx="22">
                  <c:v>198</c:v>
                </c:pt>
                <c:pt idx="23">
                  <c:v>199</c:v>
                </c:pt>
                <c:pt idx="24">
                  <c:v>200</c:v>
                </c:pt>
                <c:pt idx="25">
                  <c:v>201</c:v>
                </c:pt>
                <c:pt idx="26">
                  <c:v>202</c:v>
                </c:pt>
                <c:pt idx="27">
                  <c:v>203</c:v>
                </c:pt>
                <c:pt idx="28">
                  <c:v>204</c:v>
                </c:pt>
                <c:pt idx="29">
                  <c:v>205</c:v>
                </c:pt>
                <c:pt idx="30">
                  <c:v>206</c:v>
                </c:pt>
                <c:pt idx="31">
                  <c:v>207</c:v>
                </c:pt>
                <c:pt idx="32">
                  <c:v>208</c:v>
                </c:pt>
                <c:pt idx="33">
                  <c:v>209</c:v>
                </c:pt>
                <c:pt idx="34">
                  <c:v>210</c:v>
                </c:pt>
                <c:pt idx="35">
                  <c:v>211</c:v>
                </c:pt>
                <c:pt idx="36">
                  <c:v>212</c:v>
                </c:pt>
                <c:pt idx="37">
                  <c:v>213</c:v>
                </c:pt>
                <c:pt idx="38">
                  <c:v>214</c:v>
                </c:pt>
                <c:pt idx="39">
                  <c:v>215</c:v>
                </c:pt>
                <c:pt idx="40">
                  <c:v>216</c:v>
                </c:pt>
                <c:pt idx="41">
                  <c:v>217</c:v>
                </c:pt>
                <c:pt idx="42">
                  <c:v>218</c:v>
                </c:pt>
                <c:pt idx="43">
                  <c:v>219</c:v>
                </c:pt>
                <c:pt idx="44">
                  <c:v>220</c:v>
                </c:pt>
                <c:pt idx="45">
                  <c:v>221</c:v>
                </c:pt>
                <c:pt idx="46">
                  <c:v>222</c:v>
                </c:pt>
                <c:pt idx="47">
                  <c:v>223</c:v>
                </c:pt>
                <c:pt idx="48">
                  <c:v>224</c:v>
                </c:pt>
                <c:pt idx="49">
                  <c:v>225</c:v>
                </c:pt>
                <c:pt idx="50">
                  <c:v>226</c:v>
                </c:pt>
                <c:pt idx="51">
                  <c:v>227</c:v>
                </c:pt>
                <c:pt idx="52">
                  <c:v>228</c:v>
                </c:pt>
                <c:pt idx="53">
                  <c:v>229</c:v>
                </c:pt>
                <c:pt idx="54">
                  <c:v>230</c:v>
                </c:pt>
                <c:pt idx="55">
                  <c:v>231</c:v>
                </c:pt>
                <c:pt idx="56">
                  <c:v>232</c:v>
                </c:pt>
                <c:pt idx="57">
                  <c:v>233</c:v>
                </c:pt>
                <c:pt idx="58">
                  <c:v>234</c:v>
                </c:pt>
                <c:pt idx="59">
                  <c:v>235</c:v>
                </c:pt>
                <c:pt idx="60">
                  <c:v>236</c:v>
                </c:pt>
                <c:pt idx="61">
                  <c:v>237</c:v>
                </c:pt>
                <c:pt idx="62">
                  <c:v>238</c:v>
                </c:pt>
                <c:pt idx="63">
                  <c:v>239</c:v>
                </c:pt>
                <c:pt idx="64">
                  <c:v>240</c:v>
                </c:pt>
                <c:pt idx="65">
                  <c:v>241</c:v>
                </c:pt>
                <c:pt idx="66">
                  <c:v>242</c:v>
                </c:pt>
                <c:pt idx="67">
                  <c:v>243</c:v>
                </c:pt>
                <c:pt idx="68">
                  <c:v>244</c:v>
                </c:pt>
                <c:pt idx="69">
                  <c:v>245</c:v>
                </c:pt>
                <c:pt idx="70">
                  <c:v>246</c:v>
                </c:pt>
                <c:pt idx="71">
                  <c:v>247</c:v>
                </c:pt>
                <c:pt idx="72">
                  <c:v>248</c:v>
                </c:pt>
                <c:pt idx="73">
                  <c:v>249</c:v>
                </c:pt>
                <c:pt idx="74">
                  <c:v>250</c:v>
                </c:pt>
                <c:pt idx="75">
                  <c:v>251</c:v>
                </c:pt>
                <c:pt idx="76">
                  <c:v>252</c:v>
                </c:pt>
                <c:pt idx="77">
                  <c:v>253</c:v>
                </c:pt>
                <c:pt idx="78">
                  <c:v>254</c:v>
                </c:pt>
                <c:pt idx="79">
                  <c:v>255</c:v>
                </c:pt>
                <c:pt idx="80">
                  <c:v>256</c:v>
                </c:pt>
                <c:pt idx="81">
                  <c:v>257</c:v>
                </c:pt>
                <c:pt idx="82">
                  <c:v>258</c:v>
                </c:pt>
                <c:pt idx="83">
                  <c:v>259</c:v>
                </c:pt>
                <c:pt idx="84">
                  <c:v>260</c:v>
                </c:pt>
                <c:pt idx="85">
                  <c:v>261</c:v>
                </c:pt>
                <c:pt idx="86">
                  <c:v>262</c:v>
                </c:pt>
                <c:pt idx="87">
                  <c:v>263</c:v>
                </c:pt>
                <c:pt idx="88">
                  <c:v>264</c:v>
                </c:pt>
                <c:pt idx="89">
                  <c:v>265</c:v>
                </c:pt>
                <c:pt idx="90">
                  <c:v>266</c:v>
                </c:pt>
                <c:pt idx="91">
                  <c:v>267</c:v>
                </c:pt>
                <c:pt idx="92">
                  <c:v>268</c:v>
                </c:pt>
                <c:pt idx="93">
                  <c:v>269</c:v>
                </c:pt>
                <c:pt idx="94">
                  <c:v>270</c:v>
                </c:pt>
                <c:pt idx="95">
                  <c:v>271</c:v>
                </c:pt>
                <c:pt idx="96">
                  <c:v>272</c:v>
                </c:pt>
                <c:pt idx="97">
                  <c:v>273</c:v>
                </c:pt>
                <c:pt idx="98">
                  <c:v>274</c:v>
                </c:pt>
                <c:pt idx="99">
                  <c:v>275</c:v>
                </c:pt>
                <c:pt idx="100">
                  <c:v>276</c:v>
                </c:pt>
                <c:pt idx="101">
                  <c:v>277</c:v>
                </c:pt>
                <c:pt idx="102">
                  <c:v>278</c:v>
                </c:pt>
                <c:pt idx="103">
                  <c:v>279</c:v>
                </c:pt>
                <c:pt idx="104">
                  <c:v>280</c:v>
                </c:pt>
                <c:pt idx="105">
                  <c:v>281</c:v>
                </c:pt>
                <c:pt idx="106">
                  <c:v>282</c:v>
                </c:pt>
                <c:pt idx="107">
                  <c:v>283</c:v>
                </c:pt>
                <c:pt idx="108">
                  <c:v>284</c:v>
                </c:pt>
                <c:pt idx="109">
                  <c:v>285</c:v>
                </c:pt>
                <c:pt idx="110">
                  <c:v>286</c:v>
                </c:pt>
                <c:pt idx="111">
                  <c:v>287</c:v>
                </c:pt>
                <c:pt idx="112">
                  <c:v>288</c:v>
                </c:pt>
                <c:pt idx="113">
                  <c:v>289</c:v>
                </c:pt>
                <c:pt idx="114">
                  <c:v>290</c:v>
                </c:pt>
                <c:pt idx="115">
                  <c:v>291</c:v>
                </c:pt>
                <c:pt idx="116">
                  <c:v>292</c:v>
                </c:pt>
                <c:pt idx="117">
                  <c:v>293</c:v>
                </c:pt>
                <c:pt idx="118">
                  <c:v>294</c:v>
                </c:pt>
                <c:pt idx="119">
                  <c:v>295</c:v>
                </c:pt>
                <c:pt idx="120">
                  <c:v>296</c:v>
                </c:pt>
                <c:pt idx="121">
                  <c:v>297</c:v>
                </c:pt>
                <c:pt idx="122">
                  <c:v>298</c:v>
                </c:pt>
                <c:pt idx="123">
                  <c:v>299</c:v>
                </c:pt>
                <c:pt idx="124">
                  <c:v>300</c:v>
                </c:pt>
                <c:pt idx="125">
                  <c:v>301</c:v>
                </c:pt>
                <c:pt idx="126">
                  <c:v>302</c:v>
                </c:pt>
                <c:pt idx="127">
                  <c:v>303</c:v>
                </c:pt>
                <c:pt idx="128">
                  <c:v>304</c:v>
                </c:pt>
                <c:pt idx="129">
                  <c:v>305</c:v>
                </c:pt>
                <c:pt idx="130">
                  <c:v>306</c:v>
                </c:pt>
                <c:pt idx="131">
                  <c:v>307</c:v>
                </c:pt>
                <c:pt idx="132">
                  <c:v>308</c:v>
                </c:pt>
                <c:pt idx="133">
                  <c:v>309</c:v>
                </c:pt>
                <c:pt idx="134">
                  <c:v>310</c:v>
                </c:pt>
                <c:pt idx="135">
                  <c:v>311</c:v>
                </c:pt>
                <c:pt idx="136">
                  <c:v>312</c:v>
                </c:pt>
                <c:pt idx="137">
                  <c:v>313</c:v>
                </c:pt>
                <c:pt idx="138">
                  <c:v>314</c:v>
                </c:pt>
                <c:pt idx="139">
                  <c:v>315</c:v>
                </c:pt>
                <c:pt idx="140">
                  <c:v>316</c:v>
                </c:pt>
                <c:pt idx="141">
                  <c:v>317</c:v>
                </c:pt>
                <c:pt idx="142">
                  <c:v>318</c:v>
                </c:pt>
                <c:pt idx="143">
                  <c:v>319</c:v>
                </c:pt>
                <c:pt idx="144">
                  <c:v>320</c:v>
                </c:pt>
                <c:pt idx="145">
                  <c:v>321</c:v>
                </c:pt>
                <c:pt idx="146">
                  <c:v>322</c:v>
                </c:pt>
                <c:pt idx="147">
                  <c:v>323</c:v>
                </c:pt>
                <c:pt idx="148">
                  <c:v>324</c:v>
                </c:pt>
                <c:pt idx="149">
                  <c:v>325</c:v>
                </c:pt>
                <c:pt idx="150">
                  <c:v>326</c:v>
                </c:pt>
                <c:pt idx="151">
                  <c:v>327</c:v>
                </c:pt>
                <c:pt idx="152">
                  <c:v>328</c:v>
                </c:pt>
                <c:pt idx="153">
                  <c:v>329</c:v>
                </c:pt>
                <c:pt idx="154">
                  <c:v>330</c:v>
                </c:pt>
                <c:pt idx="155">
                  <c:v>331</c:v>
                </c:pt>
                <c:pt idx="156">
                  <c:v>332</c:v>
                </c:pt>
                <c:pt idx="157">
                  <c:v>333</c:v>
                </c:pt>
                <c:pt idx="158">
                  <c:v>334</c:v>
                </c:pt>
                <c:pt idx="159">
                  <c:v>335</c:v>
                </c:pt>
                <c:pt idx="160">
                  <c:v>336</c:v>
                </c:pt>
                <c:pt idx="161">
                  <c:v>337</c:v>
                </c:pt>
                <c:pt idx="162">
                  <c:v>338</c:v>
                </c:pt>
                <c:pt idx="163">
                  <c:v>339</c:v>
                </c:pt>
                <c:pt idx="164">
                  <c:v>340</c:v>
                </c:pt>
                <c:pt idx="165">
                  <c:v>341</c:v>
                </c:pt>
                <c:pt idx="166">
                  <c:v>342</c:v>
                </c:pt>
                <c:pt idx="167">
                  <c:v>343</c:v>
                </c:pt>
                <c:pt idx="168">
                  <c:v>344</c:v>
                </c:pt>
                <c:pt idx="169">
                  <c:v>345</c:v>
                </c:pt>
                <c:pt idx="170">
                  <c:v>346</c:v>
                </c:pt>
                <c:pt idx="171">
                  <c:v>347</c:v>
                </c:pt>
                <c:pt idx="172">
                  <c:v>348</c:v>
                </c:pt>
                <c:pt idx="173">
                  <c:v>349</c:v>
                </c:pt>
                <c:pt idx="174">
                  <c:v>350</c:v>
                </c:pt>
                <c:pt idx="175">
                  <c:v>351</c:v>
                </c:pt>
                <c:pt idx="176">
                  <c:v>352</c:v>
                </c:pt>
                <c:pt idx="177">
                  <c:v>353</c:v>
                </c:pt>
                <c:pt idx="178">
                  <c:v>354</c:v>
                </c:pt>
                <c:pt idx="179">
                  <c:v>355</c:v>
                </c:pt>
                <c:pt idx="180">
                  <c:v>356</c:v>
                </c:pt>
              </c:numCache>
            </c:numRef>
          </c:xVal>
          <c:yVal>
            <c:numRef>
              <c:f>VCOMP!$W$7:$W$187</c:f>
              <c:numCache>
                <c:ptCount val="181"/>
                <c:pt idx="0">
                  <c:v>2.5136866576742007</c:v>
                </c:pt>
                <c:pt idx="1">
                  <c:v>2.5074197914792142</c:v>
                </c:pt>
                <c:pt idx="2">
                  <c:v>2.501213093385186</c:v>
                </c:pt>
                <c:pt idx="3">
                  <c:v>2.4950656644075755</c:v>
                </c:pt>
                <c:pt idx="4">
                  <c:v>2.488976623903271</c:v>
                </c:pt>
                <c:pt idx="5">
                  <c:v>2.482945109097085</c:v>
                </c:pt>
                <c:pt idx="6">
                  <c:v>2.4769702746230093</c:v>
                </c:pt>
                <c:pt idx="7">
                  <c:v>2.4710512920796894</c:v>
                </c:pt>
                <c:pt idx="8">
                  <c:v>2.4651873495996055</c:v>
                </c:pt>
                <c:pt idx="9">
                  <c:v>2.4593776514314643</c:v>
                </c:pt>
                <c:pt idx="10">
                  <c:v>2.453621417535329</c:v>
                </c:pt>
                <c:pt idx="11">
                  <c:v>2.4479178831900343</c:v>
                </c:pt>
                <c:pt idx="12">
                  <c:v>2.4422662986124384</c:v>
                </c:pt>
                <c:pt idx="13">
                  <c:v>2.4366659285881194</c:v>
                </c:pt>
                <c:pt idx="14">
                  <c:v>2.431116052113082</c:v>
                </c:pt>
                <c:pt idx="15">
                  <c:v>2.4256159620461197</c:v>
                </c:pt>
                <c:pt idx="16">
                  <c:v>2.4201649647714376</c:v>
                </c:pt>
                <c:pt idx="17">
                  <c:v>2.4147623798711995</c:v>
                </c:pt>
                <c:pt idx="18">
                  <c:v>2.409407539807648</c:v>
                </c:pt>
                <c:pt idx="19">
                  <c:v>2.404099789614472</c:v>
                </c:pt>
                <c:pt idx="20">
                  <c:v>2.398838486597106</c:v>
                </c:pt>
                <c:pt idx="21">
                  <c:v>2.3936230000416647</c:v>
                </c:pt>
                <c:pt idx="22">
                  <c:v>2.388452710932208</c:v>
                </c:pt>
                <c:pt idx="23">
                  <c:v>2.3833270116760765</c:v>
                </c:pt>
                <c:pt idx="24">
                  <c:v>2.378245305837009</c:v>
                </c:pt>
                <c:pt idx="25">
                  <c:v>2.3732070078757994</c:v>
                </c:pt>
                <c:pt idx="26">
                  <c:v>2.3682115428982287</c:v>
                </c:pt>
                <c:pt idx="27">
                  <c:v>2.3632583464100496</c:v>
                </c:pt>
                <c:pt idx="28">
                  <c:v>2.3583468640787775</c:v>
                </c:pt>
                <c:pt idx="29">
                  <c:v>2.3534765515020797</c:v>
                </c:pt>
                <c:pt idx="30">
                  <c:v>2.3486468739825344</c:v>
                </c:pt>
                <c:pt idx="31">
                  <c:v>2.343857306308572</c:v>
                </c:pt>
                <c:pt idx="32">
                  <c:v>2.3391073325413845</c:v>
                </c:pt>
                <c:pt idx="33">
                  <c:v>2.3343964458076174</c:v>
                </c:pt>
                <c:pt idx="34">
                  <c:v>2.3297241480976685</c:v>
                </c:pt>
                <c:pt idx="35">
                  <c:v>2.325089950069403</c:v>
                </c:pt>
                <c:pt idx="36">
                  <c:v>2.3204933708571227</c:v>
                </c:pt>
                <c:pt idx="37">
                  <c:v>2.315933937885627</c:v>
                </c:pt>
                <c:pt idx="38">
                  <c:v>2.3114111866891944</c:v>
                </c:pt>
                <c:pt idx="39">
                  <c:v>2.306924660735346</c:v>
                </c:pt>
                <c:pt idx="40">
                  <c:v>2.302473911253239</c:v>
                </c:pt>
                <c:pt idx="41">
                  <c:v>2.2980584970665405</c:v>
                </c:pt>
                <c:pt idx="42">
                  <c:v>2.293677984430653</c:v>
                </c:pt>
                <c:pt idx="43">
                  <c:v>2.2893319468741598</c:v>
                </c:pt>
                <c:pt idx="44">
                  <c:v>2.2850199650443486</c:v>
                </c:pt>
                <c:pt idx="45">
                  <c:v>2.280741626556713</c:v>
                </c:pt>
                <c:pt idx="46">
                  <c:v>2.276496525848291</c:v>
                </c:pt>
                <c:pt idx="47">
                  <c:v>2.2722842640347354</c:v>
                </c:pt>
                <c:pt idx="48">
                  <c:v>2.2681044487710054</c:v>
                </c:pt>
                <c:pt idx="49">
                  <c:v>2.2639566941155724</c:v>
                </c:pt>
                <c:pt idx="50">
                  <c:v>2.259840620398027</c:v>
                </c:pt>
                <c:pt idx="51">
                  <c:v>2.255755854090004</c:v>
                </c:pt>
                <c:pt idx="52">
                  <c:v>2.2517020276793103</c:v>
                </c:pt>
                <c:pt idx="53">
                  <c:v>2.2476787795471758</c:v>
                </c:pt>
                <c:pt idx="54">
                  <c:v>2.2436857538485313</c:v>
                </c:pt>
                <c:pt idx="55">
                  <c:v>2.239722600395223</c:v>
                </c:pt>
                <c:pt idx="56">
                  <c:v>2.2357889745420856</c:v>
                </c:pt>
                <c:pt idx="57">
                  <c:v>2.231884537075789</c:v>
                </c:pt>
                <c:pt idx="58">
                  <c:v>2.228008954106379</c:v>
                </c:pt>
                <c:pt idx="59">
                  <c:v>2.224161896961432</c:v>
                </c:pt>
                <c:pt idx="60">
                  <c:v>2.220343042082764</c:v>
                </c:pt>
                <c:pt idx="61">
                  <c:v>2.216552070925599</c:v>
                </c:pt>
                <c:pt idx="62">
                  <c:v>2.2127886698601515</c:v>
                </c:pt>
                <c:pt idx="63">
                  <c:v>2.209052530075538</c:v>
                </c:pt>
                <c:pt idx="64">
                  <c:v>2.205343347485962</c:v>
                </c:pt>
                <c:pt idx="65">
                  <c:v>2.2016608226391083</c:v>
                </c:pt>
                <c:pt idx="66">
                  <c:v>2.1980046606266823</c:v>
                </c:pt>
                <c:pt idx="67">
                  <c:v>2.1943745709970397</c:v>
                </c:pt>
                <c:pt idx="68">
                  <c:v>2.190770267669844</c:v>
                </c:pt>
                <c:pt idx="69">
                  <c:v>2.1871914688527063</c:v>
                </c:pt>
                <c:pt idx="70">
                  <c:v>2.1836378969597376</c:v>
                </c:pt>
                <c:pt idx="71">
                  <c:v>2.1801092785319827</c:v>
                </c:pt>
                <c:pt idx="72">
                  <c:v>2.1766053441596647</c:v>
                </c:pt>
                <c:pt idx="73">
                  <c:v>2.1731258284062065</c:v>
                </c:pt>
                <c:pt idx="74">
                  <c:v>2.169670469733974</c:v>
                </c:pt>
                <c:pt idx="75">
                  <c:v>2.1662390104316964</c:v>
                </c:pt>
                <c:pt idx="76">
                  <c:v>2.162831196543523</c:v>
                </c:pt>
                <c:pt idx="77">
                  <c:v>2.15944677779967</c:v>
                </c:pt>
                <c:pt idx="78">
                  <c:v>2.156085507548614</c:v>
                </c:pt>
                <c:pt idx="79">
                  <c:v>2.152747142690793</c:v>
                </c:pt>
                <c:pt idx="80">
                  <c:v>2.1494314436137847</c:v>
                </c:pt>
                <c:pt idx="81">
                  <c:v>2.146138174128903</c:v>
                </c:pt>
                <c:pt idx="82">
                  <c:v>2.1428671014091987</c:v>
                </c:pt>
                <c:pt idx="83">
                  <c:v>2.139617995928812</c:v>
                </c:pt>
                <c:pt idx="84">
                  <c:v>2.1363906314036534</c:v>
                </c:pt>
                <c:pt idx="85">
                  <c:v>2.133184784733366</c:v>
                </c:pt>
                <c:pt idx="86">
                  <c:v>2.1300002359445545</c:v>
                </c:pt>
                <c:pt idx="87">
                  <c:v>2.12683676813523</c:v>
                </c:pt>
                <c:pt idx="88">
                  <c:v>2.1236941674204513</c:v>
                </c:pt>
                <c:pt idx="89">
                  <c:v>2.120572222879133</c:v>
                </c:pt>
                <c:pt idx="90">
                  <c:v>2.117470726501982</c:v>
                </c:pt>
                <c:pt idx="91">
                  <c:v>2.114389473140545</c:v>
                </c:pt>
                <c:pt idx="92">
                  <c:v>2.1113282604573316</c:v>
                </c:pt>
                <c:pt idx="93">
                  <c:v>2.1082868888769903</c:v>
                </c:pt>
                <c:pt idx="94">
                  <c:v>2.1052651615385116</c:v>
                </c:pt>
                <c:pt idx="95">
                  <c:v>2.102262884248428</c:v>
                </c:pt>
                <c:pt idx="96">
                  <c:v>2.099279865434992</c:v>
                </c:pt>
                <c:pt idx="97">
                  <c:v>2.0963159161033067</c:v>
                </c:pt>
                <c:pt idx="98">
                  <c:v>2.093370849791386</c:v>
                </c:pt>
                <c:pt idx="99">
                  <c:v>2.090444482527118</c:v>
                </c:pt>
                <c:pt idx="100">
                  <c:v>2.0875366327861147</c:v>
                </c:pt>
                <c:pt idx="101">
                  <c:v>2.0846471214504265</c:v>
                </c:pt>
                <c:pt idx="102">
                  <c:v>2.081775771768096</c:v>
                </c:pt>
                <c:pt idx="103">
                  <c:v>2.0789224093135372</c:v>
                </c:pt>
                <c:pt idx="104">
                  <c:v>2.0760868619487125</c:v>
                </c:pt>
                <c:pt idx="105">
                  <c:v>2.073268959785101</c:v>
                </c:pt>
                <c:pt idx="106">
                  <c:v>2.0704685351464236</c:v>
                </c:pt>
                <c:pt idx="107">
                  <c:v>2.0676854225321213</c:v>
                </c:pt>
                <c:pt idx="108">
                  <c:v>2.0649194585815605</c:v>
                </c:pt>
                <c:pt idx="109">
                  <c:v>2.0621704820389493</c:v>
                </c:pt>
                <c:pt idx="110">
                  <c:v>2.0594383337189526</c:v>
                </c:pt>
                <c:pt idx="111">
                  <c:v>2.0567228564729856</c:v>
                </c:pt>
                <c:pt idx="112">
                  <c:v>2.0540238951561705</c:v>
                </c:pt>
                <c:pt idx="113">
                  <c:v>2.051341296594941</c:v>
                </c:pt>
                <c:pt idx="114">
                  <c:v>2.0486749095552845</c:v>
                </c:pt>
                <c:pt idx="115">
                  <c:v>2.0460245847115974</c:v>
                </c:pt>
                <c:pt idx="116">
                  <c:v>2.0433901746161514</c:v>
                </c:pt>
                <c:pt idx="117">
                  <c:v>2.040771533669145</c:v>
                </c:pt>
                <c:pt idx="118">
                  <c:v>2.03816851808934</c:v>
                </c:pt>
                <c:pt idx="119">
                  <c:v>2.035580985885253</c:v>
                </c:pt>
                <c:pt idx="120">
                  <c:v>2.033008796826909</c:v>
                </c:pt>
                <c:pt idx="121">
                  <c:v>2.0304518124181277</c:v>
                </c:pt>
                <c:pt idx="122">
                  <c:v>2.0279098958693407</c:v>
                </c:pt>
                <c:pt idx="123">
                  <c:v>2.025382912070922</c:v>
                </c:pt>
                <c:pt idx="124">
                  <c:v>2.0228707275670237</c:v>
                </c:pt>
                <c:pt idx="125">
                  <c:v>2.020373210529907</c:v>
                </c:pt>
                <c:pt idx="126">
                  <c:v>2.0178902307347517</c:v>
                </c:pt>
                <c:pt idx="127">
                  <c:v>2.015421659534939</c:v>
                </c:pt>
                <c:pt idx="128">
                  <c:v>2.0129673698377957</c:v>
                </c:pt>
                <c:pt idx="129">
                  <c:v>2.0105272360807893</c:v>
                </c:pt>
                <c:pt idx="130">
                  <c:v>2.008101134208165</c:v>
                </c:pt>
                <c:pt idx="131">
                  <c:v>2.005688941648011</c:v>
                </c:pt>
                <c:pt idx="132">
                  <c:v>2.003290537289752</c:v>
                </c:pt>
                <c:pt idx="133">
                  <c:v>2.000905801462051</c:v>
                </c:pt>
                <c:pt idx="134">
                  <c:v>0</c:v>
                </c:pt>
                <c:pt idx="135">
                  <c:v>1.9971392341687517</c:v>
                </c:pt>
                <c:pt idx="136">
                  <c:v>1.993985865657733</c:v>
                </c:pt>
                <c:pt idx="137">
                  <c:v>1.990849300789238</c:v>
                </c:pt>
                <c:pt idx="138">
                  <c:v>1.9877293967774206</c:v>
                </c:pt>
                <c:pt idx="139">
                  <c:v>1.9846260124993902</c:v>
                </c:pt>
                <c:pt idx="140">
                  <c:v>1.9815390084706395</c:v>
                </c:pt>
                <c:pt idx="141">
                  <c:v>1.9784682468209138</c:v>
                </c:pt>
                <c:pt idx="142">
                  <c:v>1.975413591270507</c:v>
                </c:pt>
                <c:pt idx="143">
                  <c:v>1.972374907106984</c:v>
                </c:pt>
                <c:pt idx="144">
                  <c:v>1.9693520611623097</c:v>
                </c:pt>
                <c:pt idx="145">
                  <c:v>1.966344921790386</c:v>
                </c:pt>
                <c:pt idx="146">
                  <c:v>1.9633533588449845</c:v>
                </c:pt>
                <c:pt idx="147">
                  <c:v>1.9603772436580627</c:v>
                </c:pt>
                <c:pt idx="148">
                  <c:v>1.957416449018465</c:v>
                </c:pt>
                <c:pt idx="149">
                  <c:v>1.9544708491509888</c:v>
                </c:pt>
                <c:pt idx="150">
                  <c:v>1.9515403196958225</c:v>
                </c:pt>
                <c:pt idx="151">
                  <c:v>1.9486247376883326</c:v>
                </c:pt>
                <c:pt idx="152">
                  <c:v>1.9457239815392047</c:v>
                </c:pt>
                <c:pt idx="153">
                  <c:v>1.9428379310149253</c:v>
                </c:pt>
                <c:pt idx="154">
                  <c:v>1.939966467218599</c:v>
                </c:pt>
                <c:pt idx="155">
                  <c:v>1.937109472571094</c:v>
                </c:pt>
                <c:pt idx="156">
                  <c:v>1.9342668307925104</c:v>
                </c:pt>
                <c:pt idx="157">
                  <c:v>1.9314384268839633</c:v>
                </c:pt>
                <c:pt idx="158">
                  <c:v>1.9286241471096752</c:v>
                </c:pt>
                <c:pt idx="159">
                  <c:v>1.9258238789793718</c:v>
                </c:pt>
                <c:pt idx="160">
                  <c:v>1.9230375112309743</c:v>
                </c:pt>
                <c:pt idx="161">
                  <c:v>1.920264933813584</c:v>
                </c:pt>
                <c:pt idx="162">
                  <c:v>1.9175060378707502</c:v>
                </c:pt>
                <c:pt idx="163">
                  <c:v>1.914760715724021</c:v>
                </c:pt>
                <c:pt idx="164">
                  <c:v>1.9120288608567648</c:v>
                </c:pt>
                <c:pt idx="165">
                  <c:v>1.9093103678982646</c:v>
                </c:pt>
                <c:pt idx="166">
                  <c:v>1.9066051326080717</c:v>
                </c:pt>
                <c:pt idx="167">
                  <c:v>1.9039130518606227</c:v>
                </c:pt>
                <c:pt idx="168">
                  <c:v>1.9012340236301057</c:v>
                </c:pt>
                <c:pt idx="169">
                  <c:v>1.8985679469755787</c:v>
                </c:pt>
                <c:pt idx="170">
                  <c:v>1.8959147220263286</c:v>
                </c:pt>
                <c:pt idx="171">
                  <c:v>1.8932742499674733</c:v>
                </c:pt>
                <c:pt idx="172">
                  <c:v>1.890646433025794</c:v>
                </c:pt>
                <c:pt idx="173">
                  <c:v>1.8880311744558005</c:v>
                </c:pt>
                <c:pt idx="174">
                  <c:v>1.885428378526023</c:v>
                </c:pt>
                <c:pt idx="175">
                  <c:v>1.8828379505055217</c:v>
                </c:pt>
                <c:pt idx="176">
                  <c:v>1.8802597966506172</c:v>
                </c:pt>
                <c:pt idx="177">
                  <c:v>1.8776938241918315</c:v>
                </c:pt>
                <c:pt idx="178">
                  <c:v>1.8751399413210406</c:v>
                </c:pt>
                <c:pt idx="179">
                  <c:v>1.8725980571788303</c:v>
                </c:pt>
                <c:pt idx="180">
                  <c:v>1.8700680818420536</c:v>
                </c:pt>
              </c:numCache>
            </c:numRef>
          </c:yVal>
          <c:smooth val="0"/>
        </c:ser>
        <c:ser>
          <c:idx val="1"/>
          <c:order val="1"/>
          <c:tx>
            <c:strRef>
              <c:f>VCOMP!$Z$6</c:f>
              <c:strCache>
                <c:ptCount val="1"/>
                <c:pt idx="0">
                  <c:v>ICOMP</c:v>
                </c:pt>
              </c:strCache>
            </c:strRef>
          </c:tx>
          <c:spPr>
            <a:ln w="381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VCOMP!$G$7:$G$187</c:f>
              <c:numCache>
                <c:ptCount val="181"/>
                <c:pt idx="0">
                  <c:v>176</c:v>
                </c:pt>
                <c:pt idx="1">
                  <c:v>177</c:v>
                </c:pt>
                <c:pt idx="2">
                  <c:v>178</c:v>
                </c:pt>
                <c:pt idx="3">
                  <c:v>179</c:v>
                </c:pt>
                <c:pt idx="4">
                  <c:v>180</c:v>
                </c:pt>
                <c:pt idx="5">
                  <c:v>181</c:v>
                </c:pt>
                <c:pt idx="6">
                  <c:v>182</c:v>
                </c:pt>
                <c:pt idx="7">
                  <c:v>183</c:v>
                </c:pt>
                <c:pt idx="8">
                  <c:v>184</c:v>
                </c:pt>
                <c:pt idx="9">
                  <c:v>185</c:v>
                </c:pt>
                <c:pt idx="10">
                  <c:v>186</c:v>
                </c:pt>
                <c:pt idx="11">
                  <c:v>187</c:v>
                </c:pt>
                <c:pt idx="12">
                  <c:v>188</c:v>
                </c:pt>
                <c:pt idx="13">
                  <c:v>189</c:v>
                </c:pt>
                <c:pt idx="14">
                  <c:v>190</c:v>
                </c:pt>
                <c:pt idx="15">
                  <c:v>191</c:v>
                </c:pt>
                <c:pt idx="16">
                  <c:v>192</c:v>
                </c:pt>
                <c:pt idx="17">
                  <c:v>193</c:v>
                </c:pt>
                <c:pt idx="18">
                  <c:v>194</c:v>
                </c:pt>
                <c:pt idx="19">
                  <c:v>195</c:v>
                </c:pt>
                <c:pt idx="20">
                  <c:v>196</c:v>
                </c:pt>
                <c:pt idx="21">
                  <c:v>197</c:v>
                </c:pt>
                <c:pt idx="22">
                  <c:v>198</c:v>
                </c:pt>
                <c:pt idx="23">
                  <c:v>199</c:v>
                </c:pt>
                <c:pt idx="24">
                  <c:v>200</c:v>
                </c:pt>
                <c:pt idx="25">
                  <c:v>201</c:v>
                </c:pt>
                <c:pt idx="26">
                  <c:v>202</c:v>
                </c:pt>
                <c:pt idx="27">
                  <c:v>203</c:v>
                </c:pt>
                <c:pt idx="28">
                  <c:v>204</c:v>
                </c:pt>
                <c:pt idx="29">
                  <c:v>205</c:v>
                </c:pt>
                <c:pt idx="30">
                  <c:v>206</c:v>
                </c:pt>
                <c:pt idx="31">
                  <c:v>207</c:v>
                </c:pt>
                <c:pt idx="32">
                  <c:v>208</c:v>
                </c:pt>
                <c:pt idx="33">
                  <c:v>209</c:v>
                </c:pt>
                <c:pt idx="34">
                  <c:v>210</c:v>
                </c:pt>
                <c:pt idx="35">
                  <c:v>211</c:v>
                </c:pt>
                <c:pt idx="36">
                  <c:v>212</c:v>
                </c:pt>
                <c:pt idx="37">
                  <c:v>213</c:v>
                </c:pt>
                <c:pt idx="38">
                  <c:v>214</c:v>
                </c:pt>
                <c:pt idx="39">
                  <c:v>215</c:v>
                </c:pt>
                <c:pt idx="40">
                  <c:v>216</c:v>
                </c:pt>
                <c:pt idx="41">
                  <c:v>217</c:v>
                </c:pt>
                <c:pt idx="42">
                  <c:v>218</c:v>
                </c:pt>
                <c:pt idx="43">
                  <c:v>219</c:v>
                </c:pt>
                <c:pt idx="44">
                  <c:v>220</c:v>
                </c:pt>
                <c:pt idx="45">
                  <c:v>221</c:v>
                </c:pt>
                <c:pt idx="46">
                  <c:v>222</c:v>
                </c:pt>
                <c:pt idx="47">
                  <c:v>223</c:v>
                </c:pt>
                <c:pt idx="48">
                  <c:v>224</c:v>
                </c:pt>
                <c:pt idx="49">
                  <c:v>225</c:v>
                </c:pt>
                <c:pt idx="50">
                  <c:v>226</c:v>
                </c:pt>
                <c:pt idx="51">
                  <c:v>227</c:v>
                </c:pt>
                <c:pt idx="52">
                  <c:v>228</c:v>
                </c:pt>
                <c:pt idx="53">
                  <c:v>229</c:v>
                </c:pt>
                <c:pt idx="54">
                  <c:v>230</c:v>
                </c:pt>
                <c:pt idx="55">
                  <c:v>231</c:v>
                </c:pt>
                <c:pt idx="56">
                  <c:v>232</c:v>
                </c:pt>
                <c:pt idx="57">
                  <c:v>233</c:v>
                </c:pt>
                <c:pt idx="58">
                  <c:v>234</c:v>
                </c:pt>
                <c:pt idx="59">
                  <c:v>235</c:v>
                </c:pt>
                <c:pt idx="60">
                  <c:v>236</c:v>
                </c:pt>
                <c:pt idx="61">
                  <c:v>237</c:v>
                </c:pt>
                <c:pt idx="62">
                  <c:v>238</c:v>
                </c:pt>
                <c:pt idx="63">
                  <c:v>239</c:v>
                </c:pt>
                <c:pt idx="64">
                  <c:v>240</c:v>
                </c:pt>
                <c:pt idx="65">
                  <c:v>241</c:v>
                </c:pt>
                <c:pt idx="66">
                  <c:v>242</c:v>
                </c:pt>
                <c:pt idx="67">
                  <c:v>243</c:v>
                </c:pt>
                <c:pt idx="68">
                  <c:v>244</c:v>
                </c:pt>
                <c:pt idx="69">
                  <c:v>245</c:v>
                </c:pt>
                <c:pt idx="70">
                  <c:v>246</c:v>
                </c:pt>
                <c:pt idx="71">
                  <c:v>247</c:v>
                </c:pt>
                <c:pt idx="72">
                  <c:v>248</c:v>
                </c:pt>
                <c:pt idx="73">
                  <c:v>249</c:v>
                </c:pt>
                <c:pt idx="74">
                  <c:v>250</c:v>
                </c:pt>
                <c:pt idx="75">
                  <c:v>251</c:v>
                </c:pt>
                <c:pt idx="76">
                  <c:v>252</c:v>
                </c:pt>
                <c:pt idx="77">
                  <c:v>253</c:v>
                </c:pt>
                <c:pt idx="78">
                  <c:v>254</c:v>
                </c:pt>
                <c:pt idx="79">
                  <c:v>255</c:v>
                </c:pt>
                <c:pt idx="80">
                  <c:v>256</c:v>
                </c:pt>
                <c:pt idx="81">
                  <c:v>257</c:v>
                </c:pt>
                <c:pt idx="82">
                  <c:v>258</c:v>
                </c:pt>
                <c:pt idx="83">
                  <c:v>259</c:v>
                </c:pt>
                <c:pt idx="84">
                  <c:v>260</c:v>
                </c:pt>
                <c:pt idx="85">
                  <c:v>261</c:v>
                </c:pt>
                <c:pt idx="86">
                  <c:v>262</c:v>
                </c:pt>
                <c:pt idx="87">
                  <c:v>263</c:v>
                </c:pt>
                <c:pt idx="88">
                  <c:v>264</c:v>
                </c:pt>
                <c:pt idx="89">
                  <c:v>265</c:v>
                </c:pt>
                <c:pt idx="90">
                  <c:v>266</c:v>
                </c:pt>
                <c:pt idx="91">
                  <c:v>267</c:v>
                </c:pt>
                <c:pt idx="92">
                  <c:v>268</c:v>
                </c:pt>
                <c:pt idx="93">
                  <c:v>269</c:v>
                </c:pt>
                <c:pt idx="94">
                  <c:v>270</c:v>
                </c:pt>
                <c:pt idx="95">
                  <c:v>271</c:v>
                </c:pt>
                <c:pt idx="96">
                  <c:v>272</c:v>
                </c:pt>
                <c:pt idx="97">
                  <c:v>273</c:v>
                </c:pt>
                <c:pt idx="98">
                  <c:v>274</c:v>
                </c:pt>
                <c:pt idx="99">
                  <c:v>275</c:v>
                </c:pt>
                <c:pt idx="100">
                  <c:v>276</c:v>
                </c:pt>
                <c:pt idx="101">
                  <c:v>277</c:v>
                </c:pt>
                <c:pt idx="102">
                  <c:v>278</c:v>
                </c:pt>
                <c:pt idx="103">
                  <c:v>279</c:v>
                </c:pt>
                <c:pt idx="104">
                  <c:v>280</c:v>
                </c:pt>
                <c:pt idx="105">
                  <c:v>281</c:v>
                </c:pt>
                <c:pt idx="106">
                  <c:v>282</c:v>
                </c:pt>
                <c:pt idx="107">
                  <c:v>283</c:v>
                </c:pt>
                <c:pt idx="108">
                  <c:v>284</c:v>
                </c:pt>
                <c:pt idx="109">
                  <c:v>285</c:v>
                </c:pt>
                <c:pt idx="110">
                  <c:v>286</c:v>
                </c:pt>
                <c:pt idx="111">
                  <c:v>287</c:v>
                </c:pt>
                <c:pt idx="112">
                  <c:v>288</c:v>
                </c:pt>
                <c:pt idx="113">
                  <c:v>289</c:v>
                </c:pt>
                <c:pt idx="114">
                  <c:v>290</c:v>
                </c:pt>
                <c:pt idx="115">
                  <c:v>291</c:v>
                </c:pt>
                <c:pt idx="116">
                  <c:v>292</c:v>
                </c:pt>
                <c:pt idx="117">
                  <c:v>293</c:v>
                </c:pt>
                <c:pt idx="118">
                  <c:v>294</c:v>
                </c:pt>
                <c:pt idx="119">
                  <c:v>295</c:v>
                </c:pt>
                <c:pt idx="120">
                  <c:v>296</c:v>
                </c:pt>
                <c:pt idx="121">
                  <c:v>297</c:v>
                </c:pt>
                <c:pt idx="122">
                  <c:v>298</c:v>
                </c:pt>
                <c:pt idx="123">
                  <c:v>299</c:v>
                </c:pt>
                <c:pt idx="124">
                  <c:v>300</c:v>
                </c:pt>
                <c:pt idx="125">
                  <c:v>301</c:v>
                </c:pt>
                <c:pt idx="126">
                  <c:v>302</c:v>
                </c:pt>
                <c:pt idx="127">
                  <c:v>303</c:v>
                </c:pt>
                <c:pt idx="128">
                  <c:v>304</c:v>
                </c:pt>
                <c:pt idx="129">
                  <c:v>305</c:v>
                </c:pt>
                <c:pt idx="130">
                  <c:v>306</c:v>
                </c:pt>
                <c:pt idx="131">
                  <c:v>307</c:v>
                </c:pt>
                <c:pt idx="132">
                  <c:v>308</c:v>
                </c:pt>
                <c:pt idx="133">
                  <c:v>309</c:v>
                </c:pt>
                <c:pt idx="134">
                  <c:v>310</c:v>
                </c:pt>
                <c:pt idx="135">
                  <c:v>311</c:v>
                </c:pt>
                <c:pt idx="136">
                  <c:v>312</c:v>
                </c:pt>
                <c:pt idx="137">
                  <c:v>313</c:v>
                </c:pt>
                <c:pt idx="138">
                  <c:v>314</c:v>
                </c:pt>
                <c:pt idx="139">
                  <c:v>315</c:v>
                </c:pt>
                <c:pt idx="140">
                  <c:v>316</c:v>
                </c:pt>
                <c:pt idx="141">
                  <c:v>317</c:v>
                </c:pt>
                <c:pt idx="142">
                  <c:v>318</c:v>
                </c:pt>
                <c:pt idx="143">
                  <c:v>319</c:v>
                </c:pt>
                <c:pt idx="144">
                  <c:v>320</c:v>
                </c:pt>
                <c:pt idx="145">
                  <c:v>321</c:v>
                </c:pt>
                <c:pt idx="146">
                  <c:v>322</c:v>
                </c:pt>
                <c:pt idx="147">
                  <c:v>323</c:v>
                </c:pt>
                <c:pt idx="148">
                  <c:v>324</c:v>
                </c:pt>
                <c:pt idx="149">
                  <c:v>325</c:v>
                </c:pt>
                <c:pt idx="150">
                  <c:v>326</c:v>
                </c:pt>
                <c:pt idx="151">
                  <c:v>327</c:v>
                </c:pt>
                <c:pt idx="152">
                  <c:v>328</c:v>
                </c:pt>
                <c:pt idx="153">
                  <c:v>329</c:v>
                </c:pt>
                <c:pt idx="154">
                  <c:v>330</c:v>
                </c:pt>
                <c:pt idx="155">
                  <c:v>331</c:v>
                </c:pt>
                <c:pt idx="156">
                  <c:v>332</c:v>
                </c:pt>
                <c:pt idx="157">
                  <c:v>333</c:v>
                </c:pt>
                <c:pt idx="158">
                  <c:v>334</c:v>
                </c:pt>
                <c:pt idx="159">
                  <c:v>335</c:v>
                </c:pt>
                <c:pt idx="160">
                  <c:v>336</c:v>
                </c:pt>
                <c:pt idx="161">
                  <c:v>337</c:v>
                </c:pt>
                <c:pt idx="162">
                  <c:v>338</c:v>
                </c:pt>
                <c:pt idx="163">
                  <c:v>339</c:v>
                </c:pt>
                <c:pt idx="164">
                  <c:v>340</c:v>
                </c:pt>
                <c:pt idx="165">
                  <c:v>341</c:v>
                </c:pt>
                <c:pt idx="166">
                  <c:v>342</c:v>
                </c:pt>
                <c:pt idx="167">
                  <c:v>343</c:v>
                </c:pt>
                <c:pt idx="168">
                  <c:v>344</c:v>
                </c:pt>
                <c:pt idx="169">
                  <c:v>345</c:v>
                </c:pt>
                <c:pt idx="170">
                  <c:v>346</c:v>
                </c:pt>
                <c:pt idx="171">
                  <c:v>347</c:v>
                </c:pt>
                <c:pt idx="172">
                  <c:v>348</c:v>
                </c:pt>
                <c:pt idx="173">
                  <c:v>349</c:v>
                </c:pt>
                <c:pt idx="174">
                  <c:v>350</c:v>
                </c:pt>
                <c:pt idx="175">
                  <c:v>351</c:v>
                </c:pt>
                <c:pt idx="176">
                  <c:v>352</c:v>
                </c:pt>
                <c:pt idx="177">
                  <c:v>353</c:v>
                </c:pt>
                <c:pt idx="178">
                  <c:v>354</c:v>
                </c:pt>
                <c:pt idx="179">
                  <c:v>355</c:v>
                </c:pt>
                <c:pt idx="180">
                  <c:v>356</c:v>
                </c:pt>
              </c:numCache>
            </c:numRef>
          </c:xVal>
          <c:yVal>
            <c:numRef>
              <c:f>VCOMP!$Z$7:$Z$187</c:f>
              <c:numCache>
                <c:ptCount val="181"/>
                <c:pt idx="0">
                  <c:v>5.154960887361159</c:v>
                </c:pt>
                <c:pt idx="1">
                  <c:v>5.150839588201032</c:v>
                </c:pt>
                <c:pt idx="2">
                  <c:v>5.1467619919304815</c:v>
                </c:pt>
                <c:pt idx="3">
                  <c:v>5.142727504105052</c:v>
                </c:pt>
                <c:pt idx="4">
                  <c:v>5.138735541490228</c:v>
                </c:pt>
                <c:pt idx="5">
                  <c:v>5.134785531789298</c:v>
                </c:pt>
                <c:pt idx="6">
                  <c:v>5.13087691337926</c:v>
                </c:pt>
                <c:pt idx="7">
                  <c:v>5.127009135054524</c:v>
                </c:pt>
                <c:pt idx="8">
                  <c:v>5.12318165577811</c:v>
                </c:pt>
                <c:pt idx="9">
                  <c:v>5.119393944440098</c:v>
                </c:pt>
                <c:pt idx="10">
                  <c:v>5.115645479623069</c:v>
                </c:pt>
                <c:pt idx="11">
                  <c:v>5.111935749374298</c:v>
                </c:pt>
                <c:pt idx="12">
                  <c:v>5.108264250984512</c:v>
                </c:pt>
                <c:pt idx="13">
                  <c:v>5.104630490772892</c:v>
                </c:pt>
                <c:pt idx="14">
                  <c:v>5.101033983878247</c:v>
                </c:pt>
                <c:pt idx="15">
                  <c:v>5.097474254056011</c:v>
                </c:pt>
                <c:pt idx="16">
                  <c:v>5.093950833480995</c:v>
                </c:pt>
                <c:pt idx="17">
                  <c:v>5.090463262555611</c:v>
                </c:pt>
                <c:pt idx="18">
                  <c:v>5.087011089723425</c:v>
                </c:pt>
                <c:pt idx="19">
                  <c:v>5.083593871287889</c:v>
                </c:pt>
                <c:pt idx="20">
                  <c:v>5.080211171236029</c:v>
                </c:pt>
                <c:pt idx="21">
                  <c:v>5.076862561066961</c:v>
                </c:pt>
                <c:pt idx="22">
                  <c:v>5.073547619625103</c:v>
                </c:pt>
                <c:pt idx="23">
                  <c:v>5.0702659329378585</c:v>
                </c:pt>
                <c:pt idx="24">
                  <c:v>5.067017094057718</c:v>
                </c:pt>
                <c:pt idx="25">
                  <c:v>5.063800702908557</c:v>
                </c:pt>
                <c:pt idx="26">
                  <c:v>5.060616366136069</c:v>
                </c:pt>
                <c:pt idx="27">
                  <c:v>5.057463696962141</c:v>
                </c:pt>
                <c:pt idx="28">
                  <c:v>5.054342315043107</c:v>
                </c:pt>
                <c:pt idx="29">
                  <c:v>5.051251846331691</c:v>
                </c:pt>
                <c:pt idx="30">
                  <c:v>5.048191922942606</c:v>
                </c:pt>
                <c:pt idx="31">
                  <c:v>5.045162183021607</c:v>
                </c:pt>
                <c:pt idx="32">
                  <c:v>5.042162270617979</c:v>
                </c:pt>
                <c:pt idx="33">
                  <c:v>5.039191835560293</c:v>
                </c:pt>
                <c:pt idx="34">
                  <c:v>5.036250533335351</c:v>
                </c:pt>
                <c:pt idx="35">
                  <c:v>5.033338024970229</c:v>
                </c:pt>
                <c:pt idx="36">
                  <c:v>5.030453976917325</c:v>
                </c:pt>
                <c:pt idx="37">
                  <c:v>5.027598060942294</c:v>
                </c:pt>
                <c:pt idx="38">
                  <c:v>5.024769954014848</c:v>
                </c:pt>
                <c:pt idx="39">
                  <c:v>5.021969338202249</c:v>
                </c:pt>
                <c:pt idx="40">
                  <c:v>5.019195900565484</c:v>
                </c:pt>
                <c:pt idx="41">
                  <c:v>5.016449333058029</c:v>
                </c:pt>
                <c:pt idx="42">
                  <c:v>5.013729332427088</c:v>
                </c:pt>
                <c:pt idx="43">
                  <c:v>5.011035600117291</c:v>
                </c:pt>
                <c:pt idx="44">
                  <c:v>5.008367842176742</c:v>
                </c:pt>
                <c:pt idx="45">
                  <c:v>5.005725769165356</c:v>
                </c:pt>
                <c:pt idx="46">
                  <c:v>5.003109096065423</c:v>
                </c:pt>
                <c:pt idx="47">
                  <c:v>5.000517542194344</c:v>
                </c:pt>
                <c:pt idx="48">
                  <c:v>4.997950831119458</c:v>
                </c:pt>
                <c:pt idx="49">
                  <c:v>4.995408690574911</c:v>
                </c:pt>
                <c:pt idx="50">
                  <c:v>4.992890852380525</c:v>
                </c:pt>
                <c:pt idx="51">
                  <c:v>4.9903970523625585</c:v>
                </c:pt>
                <c:pt idx="52">
                  <c:v>4.987927030276387</c:v>
                </c:pt>
                <c:pt idx="53">
                  <c:v>4.985480529730969</c:v>
                </c:pt>
                <c:pt idx="54">
                  <c:v>4.983057298115095</c:v>
                </c:pt>
                <c:pt idx="55">
                  <c:v>4.980657086525367</c:v>
                </c:pt>
                <c:pt idx="56">
                  <c:v>4.97827964969584</c:v>
                </c:pt>
                <c:pt idx="57">
                  <c:v>4.9759247459293015</c:v>
                </c:pt>
                <c:pt idx="58">
                  <c:v>4.973592137030123</c:v>
                </c:pt>
                <c:pt idx="59">
                  <c:v>4.971281588238669</c:v>
                </c:pt>
                <c:pt idx="60">
                  <c:v>4.968992868167187</c:v>
                </c:pt>
                <c:pt idx="61">
                  <c:v>4.966725748737187</c:v>
                </c:pt>
                <c:pt idx="62">
                  <c:v>4.964480005118187</c:v>
                </c:pt>
                <c:pt idx="63">
                  <c:v>4.962255415667906</c:v>
                </c:pt>
                <c:pt idx="64">
                  <c:v>4.960051761873754</c:v>
                </c:pt>
                <c:pt idx="65">
                  <c:v>4.957868828295647</c:v>
                </c:pt>
                <c:pt idx="66">
                  <c:v>4.9557064025101045</c:v>
                </c:pt>
                <c:pt idx="67">
                  <c:v>4.953564275055566</c:v>
                </c:pt>
                <c:pt idx="68">
                  <c:v>4.951442239378957</c:v>
                </c:pt>
                <c:pt idx="69">
                  <c:v>4.949340091783375</c:v>
                </c:pt>
                <c:pt idx="70">
                  <c:v>4.947257631376981</c:v>
                </c:pt>
                <c:pt idx="71">
                  <c:v>4.945194660022967</c:v>
                </c:pt>
                <c:pt idx="72">
                  <c:v>4.943150982290624</c:v>
                </c:pt>
                <c:pt idx="73">
                  <c:v>4.94112640540748</c:v>
                </c:pt>
                <c:pt idx="74">
                  <c:v>4.939120739212457</c:v>
                </c:pt>
                <c:pt idx="75">
                  <c:v>4.9371337961100465</c:v>
                </c:pt>
                <c:pt idx="76">
                  <c:v>4.9351653910254605</c:v>
                </c:pt>
                <c:pt idx="77">
                  <c:v>4.933215341360729</c:v>
                </c:pt>
                <c:pt idx="78">
                  <c:v>4.93128346695175</c:v>
                </c:pt>
                <c:pt idx="79">
                  <c:v>4.929369590026253</c:v>
                </c:pt>
                <c:pt idx="80">
                  <c:v>4.927473535162601</c:v>
                </c:pt>
                <c:pt idx="81">
                  <c:v>4.925595129249522</c:v>
                </c:pt>
                <c:pt idx="82">
                  <c:v>4.92373420144664</c:v>
                </c:pt>
                <c:pt idx="83">
                  <c:v>4.921890583145846</c:v>
                </c:pt>
                <c:pt idx="84">
                  <c:v>4.920064107933458</c:v>
                </c:pt>
                <c:pt idx="85">
                  <c:v>4.918254611553185</c:v>
                </c:pt>
                <c:pt idx="86">
                  <c:v>4.9164619318698195</c:v>
                </c:pt>
                <c:pt idx="87">
                  <c:v>4.914685908833723</c:v>
                </c:pt>
                <c:pt idx="88">
                  <c:v>4.912926384445991</c:v>
                </c:pt>
                <c:pt idx="89">
                  <c:v>4.91118320272435</c:v>
                </c:pt>
                <c:pt idx="90">
                  <c:v>4.909456209669754</c:v>
                </c:pt>
                <c:pt idx="91">
                  <c:v>4.90774525323364</c:v>
                </c:pt>
                <c:pt idx="92">
                  <c:v>4.906050183285847</c:v>
                </c:pt>
                <c:pt idx="93">
                  <c:v>4.904370851583192</c:v>
                </c:pt>
                <c:pt idx="94">
                  <c:v>4.902707111738642</c:v>
                </c:pt>
                <c:pt idx="95">
                  <c:v>4.901058819191148</c:v>
                </c:pt>
                <c:pt idx="96">
                  <c:v>4.899425831176035</c:v>
                </c:pt>
                <c:pt idx="97">
                  <c:v>4.897808006696004</c:v>
                </c:pt>
                <c:pt idx="98">
                  <c:v>4.896205206492689</c:v>
                </c:pt>
                <c:pt idx="99">
                  <c:v>4.894617293018774</c:v>
                </c:pt>
                <c:pt idx="100">
                  <c:v>4.893044130410683</c:v>
                </c:pt>
                <c:pt idx="101">
                  <c:v>4.891485584461751</c:v>
                </c:pt>
                <c:pt idx="102">
                  <c:v>4.889941522595966</c:v>
                </c:pt>
                <c:pt idx="103">
                  <c:v>4.888411813842187</c:v>
                </c:pt>
                <c:pt idx="104">
                  <c:v>4.886896328808886</c:v>
                </c:pt>
                <c:pt idx="105">
                  <c:v>4.885394939659338</c:v>
                </c:pt>
                <c:pt idx="106">
                  <c:v>4.883907520087321</c:v>
                </c:pt>
                <c:pt idx="107">
                  <c:v>4.882433945293273</c:v>
                </c:pt>
                <c:pt idx="108">
                  <c:v>4.880974091960883</c:v>
                </c:pt>
                <c:pt idx="109">
                  <c:v>4.879527838234142</c:v>
                </c:pt>
                <c:pt idx="110">
                  <c:v>4.878095063694837</c:v>
                </c:pt>
                <c:pt idx="111">
                  <c:v>4.876675649340436</c:v>
                </c:pt>
                <c:pt idx="112">
                  <c:v>4.875269477562422</c:v>
                </c:pt>
                <c:pt idx="113">
                  <c:v>4.873876432125017</c:v>
                </c:pt>
                <c:pt idx="114">
                  <c:v>4.872496398144286</c:v>
                </c:pt>
                <c:pt idx="115">
                  <c:v>4.871129262067678</c:v>
                </c:pt>
                <c:pt idx="116">
                  <c:v>4.869774911653875</c:v>
                </c:pt>
                <c:pt idx="117">
                  <c:v>4.868433235953083</c:v>
                </c:pt>
                <c:pt idx="118">
                  <c:v>4.867104125287627</c:v>
                </c:pt>
                <c:pt idx="119">
                  <c:v>4.865787471232956</c:v>
                </c:pt>
                <c:pt idx="120">
                  <c:v>4.8644831665989345</c:v>
                </c:pt>
                <c:pt idx="121">
                  <c:v>4.8631911054115315</c:v>
                </c:pt>
                <c:pt idx="122">
                  <c:v>4.861911182894796</c:v>
                </c:pt>
                <c:pt idx="123">
                  <c:v>4.86064329545319</c:v>
                </c:pt>
                <c:pt idx="124">
                  <c:v>4.859387340654232</c:v>
                </c:pt>
                <c:pt idx="125">
                  <c:v>4.8581432172114285</c:v>
                </c:pt>
                <c:pt idx="126">
                  <c:v>4.856910824967548</c:v>
                </c:pt>
                <c:pt idx="127">
                  <c:v>4.855690064878165</c:v>
                </c:pt>
                <c:pt idx="128">
                  <c:v>4.854480838995519</c:v>
                </c:pt>
                <c:pt idx="129">
                  <c:v>4.853283050452628</c:v>
                </c:pt>
                <c:pt idx="130">
                  <c:v>4.852096603447716</c:v>
                </c:pt>
                <c:pt idx="131">
                  <c:v>4.850921403228902</c:v>
                </c:pt>
                <c:pt idx="132">
                  <c:v>4.849757356079148</c:v>
                </c:pt>
                <c:pt idx="133">
                  <c:v>4.84860436930148</c:v>
                </c:pt>
                <c:pt idx="134">
                  <c:v>1.468813316589278</c:v>
                </c:pt>
                <c:pt idx="135">
                  <c:v>4.8318332130935895</c:v>
                </c:pt>
                <c:pt idx="136">
                  <c:v>4.826023728784335</c:v>
                </c:pt>
                <c:pt idx="137">
                  <c:v>4.8202360793933545</c:v>
                </c:pt>
                <c:pt idx="138">
                  <c:v>4.814470104703214</c:v>
                </c:pt>
                <c:pt idx="139">
                  <c:v>4.808725646184229</c:v>
                </c:pt>
                <c:pt idx="140">
                  <c:v>4.803002546971364</c:v>
                </c:pt>
                <c:pt idx="141">
                  <c:v>4.7973006518415175</c:v>
                </c:pt>
                <c:pt idx="142">
                  <c:v>4.7916198071912</c:v>
                </c:pt>
                <c:pt idx="143">
                  <c:v>4.785959861014555</c:v>
                </c:pt>
                <c:pt idx="144">
                  <c:v>4.780320662881789</c:v>
                </c:pt>
                <c:pt idx="145">
                  <c:v>4.774702063917927</c:v>
                </c:pt>
                <c:pt idx="146">
                  <c:v>4.769103916781918</c:v>
                </c:pt>
                <c:pt idx="147">
                  <c:v>4.763526075646122</c:v>
                </c:pt>
                <c:pt idx="148">
                  <c:v>4.7579683961760795</c:v>
                </c:pt>
                <c:pt idx="149">
                  <c:v>4.752430735510668</c:v>
                </c:pt>
                <c:pt idx="150">
                  <c:v>4.74691295224254</c:v>
                </c:pt>
                <c:pt idx="151">
                  <c:v>4.741414906398905</c:v>
                </c:pt>
                <c:pt idx="152">
                  <c:v>4.735936459422613</c:v>
                </c:pt>
                <c:pt idx="153">
                  <c:v>4.730477474153546</c:v>
                </c:pt>
                <c:pt idx="154">
                  <c:v>4.725037814810313</c:v>
                </c:pt>
                <c:pt idx="155">
                  <c:v>4.71961734697224</c:v>
                </c:pt>
                <c:pt idx="156">
                  <c:v>4.714215937561636</c:v>
                </c:pt>
                <c:pt idx="157">
                  <c:v>4.708833454826366</c:v>
                </c:pt>
                <c:pt idx="158">
                  <c:v>4.703469768322686</c:v>
                </c:pt>
                <c:pt idx="159">
                  <c:v>4.698124748898349</c:v>
                </c:pt>
                <c:pt idx="160">
                  <c:v>4.692798268675992</c:v>
                </c:pt>
                <c:pt idx="161">
                  <c:v>4.68749020103677</c:v>
                </c:pt>
                <c:pt idx="162">
                  <c:v>4.682200420604267</c:v>
                </c:pt>
                <c:pt idx="163">
                  <c:v>4.6769288032286385</c:v>
                </c:pt>
                <c:pt idx="164">
                  <c:v>4.6716752259710175</c:v>
                </c:pt>
                <c:pt idx="165">
                  <c:v>4.666439567088159</c:v>
                </c:pt>
                <c:pt idx="166">
                  <c:v>4.6612217060173275</c:v>
                </c:pt>
                <c:pt idx="167">
                  <c:v>4.656021523361412</c:v>
                </c:pt>
                <c:pt idx="168">
                  <c:v>4.650838900874278</c:v>
                </c:pt>
                <c:pt idx="169">
                  <c:v>4.645673721446337</c:v>
                </c:pt>
                <c:pt idx="170">
                  <c:v>4.640525869090363</c:v>
                </c:pt>
                <c:pt idx="171">
                  <c:v>4.635395228927483</c:v>
                </c:pt>
                <c:pt idx="172">
                  <c:v>4.630281687173426</c:v>
                </c:pt>
                <c:pt idx="173">
                  <c:v>4.625185131124961</c:v>
                </c:pt>
                <c:pt idx="174">
                  <c:v>4.620105449146531</c:v>
                </c:pt>
                <c:pt idx="175">
                  <c:v>4.61504253065712</c:v>
                </c:pt>
                <c:pt idx="176">
                  <c:v>4.6099962661172915</c:v>
                </c:pt>
                <c:pt idx="177">
                  <c:v>4.604966547016434</c:v>
                </c:pt>
                <c:pt idx="178">
                  <c:v>4.599953265860195</c:v>
                </c:pt>
                <c:pt idx="179">
                  <c:v>4.594956316158114</c:v>
                </c:pt>
                <c:pt idx="180">
                  <c:v>4.589975592411421</c:v>
                </c:pt>
              </c:numCache>
            </c:numRef>
          </c:yVal>
          <c:smooth val="0"/>
        </c:ser>
        <c:axId val="37617482"/>
        <c:axId val="3013019"/>
      </c:scatterChart>
      <c:valAx>
        <c:axId val="37617482"/>
        <c:scaling>
          <c:orientation val="minMax"/>
          <c:min val="50"/>
        </c:scaling>
        <c:axPos val="b"/>
        <c:title>
          <c:tx>
            <c:rich>
              <a:bodyPr vert="horz" rot="0" anchor="ctr"/>
              <a:lstStyle/>
              <a:p>
                <a:pPr algn="ctr">
                  <a:defRPr/>
                </a:pPr>
                <a:r>
                  <a:rPr lang="en-US" cap="none" sz="1075" b="1" i="0" u="none" baseline="0">
                    <a:solidFill>
                      <a:srgbClr val="000000"/>
                    </a:solidFill>
                    <a:latin typeface="Arial"/>
                    <a:ea typeface="Arial"/>
                    <a:cs typeface="Arial"/>
                  </a:rPr>
                  <a:t>Line Voltage (Vrms)</a:t>
                </a:r>
              </a:p>
            </c:rich>
          </c:tx>
          <c:layout>
            <c:manualLayout>
              <c:xMode val="factor"/>
              <c:yMode val="factor"/>
              <c:x val="-0.006"/>
              <c:y val="0.0002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3013019"/>
        <c:crossesAt val="0"/>
        <c:crossBetween val="midCat"/>
        <c:dispUnits/>
      </c:valAx>
      <c:valAx>
        <c:axId val="3013019"/>
        <c:scaling>
          <c:orientation val="minMax"/>
          <c:max val="6"/>
          <c:min val="0"/>
        </c:scaling>
        <c:axPos val="l"/>
        <c:title>
          <c:tx>
            <c:rich>
              <a:bodyPr vert="horz" rot="-5400000" anchor="ctr"/>
              <a:lstStyle/>
              <a:p>
                <a:pPr algn="ctr">
                  <a:defRPr/>
                </a:pPr>
                <a:r>
                  <a:rPr lang="en-US" cap="none" sz="1075" b="1" i="0" u="none" baseline="0">
                    <a:solidFill>
                      <a:srgbClr val="000000"/>
                    </a:solidFill>
                    <a:latin typeface="Arial"/>
                    <a:ea typeface="Arial"/>
                    <a:cs typeface="Arial"/>
                  </a:rPr>
                  <a:t>VCOMP (V)</a:t>
                </a:r>
              </a:p>
            </c:rich>
          </c:tx>
          <c:layout>
            <c:manualLayout>
              <c:xMode val="factor"/>
              <c:yMode val="factor"/>
              <c:x val="-0.001"/>
              <c:y val="0"/>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37617482"/>
        <c:crosses val="autoZero"/>
        <c:crossBetween val="midCat"/>
        <c:dispUnits/>
      </c:valAx>
      <c:spPr>
        <a:gradFill rotWithShape="1">
          <a:gsLst>
            <a:gs pos="0">
              <a:srgbClr val="FFFFFF"/>
            </a:gs>
            <a:gs pos="100000">
              <a:srgbClr val="FFFFCC"/>
            </a:gs>
          </a:gsLst>
          <a:lin ang="5400000" scaled="1"/>
        </a:gradFill>
        <a:ln w="12700">
          <a:solidFill>
            <a:srgbClr val="808080"/>
          </a:solidFill>
        </a:ln>
      </c:spPr>
    </c:plotArea>
    <c:legend>
      <c:legendPos val="r"/>
      <c:layout>
        <c:manualLayout>
          <c:xMode val="edge"/>
          <c:yMode val="edge"/>
          <c:x val="0.86875"/>
          <c:y val="0.47725"/>
          <c:w val="0.12675"/>
          <c:h val="0.12575"/>
        </c:manualLayout>
      </c:layout>
      <c:overlay val="0"/>
      <c:spPr>
        <a:noFill/>
        <a:ln w="3175">
          <a:noFill/>
        </a:ln>
      </c:spPr>
      <c:txPr>
        <a:bodyPr vert="horz" rot="0"/>
        <a:lstStyle/>
        <a:p>
          <a:pPr>
            <a:defRPr lang="en-US" cap="none" sz="9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solidFill>
                  <a:srgbClr val="000000"/>
                </a:solidFill>
                <a:latin typeface="Arial"/>
                <a:ea typeface="Arial"/>
                <a:cs typeface="Arial"/>
              </a:rPr>
              <a:t>VCOMP and ICOMP at Selected Line Voltage as a Function of Load</a:t>
            </a:r>
          </a:p>
        </c:rich>
      </c:tx>
      <c:layout>
        <c:manualLayout>
          <c:xMode val="factor"/>
          <c:yMode val="factor"/>
          <c:x val="-0.00225"/>
          <c:y val="-0.013"/>
        </c:manualLayout>
      </c:layout>
      <c:spPr>
        <a:noFill/>
        <a:ln w="3175">
          <a:noFill/>
        </a:ln>
      </c:spPr>
    </c:title>
    <c:plotArea>
      <c:layout>
        <c:manualLayout>
          <c:xMode val="edge"/>
          <c:yMode val="edge"/>
          <c:x val="0.0395"/>
          <c:y val="0.07225"/>
          <c:w val="0.81575"/>
          <c:h val="0.86475"/>
        </c:manualLayout>
      </c:layout>
      <c:scatterChart>
        <c:scatterStyle val="lineMarker"/>
        <c:varyColors val="0"/>
        <c:ser>
          <c:idx val="0"/>
          <c:order val="0"/>
          <c:tx>
            <c:strRef>
              <c:f>VCOMP!$W$190</c:f>
              <c:strCache>
                <c:ptCount val="1"/>
                <c:pt idx="0">
                  <c:v>VCOMP</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VCOMP!$G$191:$G$290</c:f>
              <c:numCach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VCOMP!$W$191:$W$290</c:f>
              <c:numCache>
                <c:ptCount val="100"/>
                <c:pt idx="0">
                  <c:v>0.883706789315985</c:v>
                </c:pt>
                <c:pt idx="1">
                  <c:v>1.0269446845583052</c:v>
                </c:pt>
                <c:pt idx="2">
                  <c:v>1.0998013716705062</c:v>
                </c:pt>
                <c:pt idx="3">
                  <c:v>1.157825178799156</c:v>
                </c:pt>
                <c:pt idx="4">
                  <c:v>1.2068358082369959</c:v>
                </c:pt>
                <c:pt idx="5">
                  <c:v>1.249683820043011</c:v>
                </c:pt>
                <c:pt idx="6">
                  <c:v>1.2880038979863706</c:v>
                </c:pt>
                <c:pt idx="7">
                  <c:v>1.3228309121872819</c:v>
                </c:pt>
                <c:pt idx="8">
                  <c:v>1.3548663750106507</c:v>
                </c:pt>
                <c:pt idx="9">
                  <c:v>1.3846103526083038</c:v>
                </c:pt>
                <c:pt idx="10">
                  <c:v>1.412433349968759</c:v>
                </c:pt>
                <c:pt idx="11">
                  <c:v>1.4386184173207095</c:v>
                </c:pt>
                <c:pt idx="12">
                  <c:v>1.463387246145476</c:v>
                </c:pt>
                <c:pt idx="13">
                  <c:v>1.48691709447679</c:v>
                </c:pt>
                <c:pt idx="14">
                  <c:v>1.5093521828380019</c:v>
                </c:pt>
                <c:pt idx="15">
                  <c:v>1.5308116117912483</c:v>
                </c:pt>
                <c:pt idx="16">
                  <c:v>1.5513950116934552</c:v>
                </c:pt>
                <c:pt idx="17">
                  <c:v>1.5711866680793232</c:v>
                </c:pt>
                <c:pt idx="18">
                  <c:v>1.5902585949660193</c:v>
                </c:pt>
                <c:pt idx="19">
                  <c:v>1.6086728650951827</c:v>
                </c:pt>
                <c:pt idx="20">
                  <c:v>1.62648340458055</c:v>
                </c:pt>
                <c:pt idx="21">
                  <c:v>1.6437373944641813</c:v>
                </c:pt>
                <c:pt idx="22">
                  <c:v>1.660476379068805</c:v>
                </c:pt>
                <c:pt idx="23">
                  <c:v>1.6767371524478984</c:v>
                </c:pt>
                <c:pt idx="24">
                  <c:v>1.6925524746715612</c:v>
                </c:pt>
                <c:pt idx="25">
                  <c:v>1.7079516560527501</c:v>
                </c:pt>
                <c:pt idx="26">
                  <c:v>1.7229610377599394</c:v>
                </c:pt>
                <c:pt idx="27">
                  <c:v>1.737604390316488</c:v>
                </c:pt>
                <c:pt idx="28">
                  <c:v>1.7519032464229438</c:v>
                </c:pt>
                <c:pt idx="29">
                  <c:v>1.765877180799507</c:v>
                </c:pt>
                <c:pt idx="30">
                  <c:v>1.7795440469528723</c:v>
                </c:pt>
                <c:pt idx="31">
                  <c:v>1.7929201786627131</c:v>
                </c:pt>
                <c:pt idx="32">
                  <c:v>1.8060205623746117</c:v>
                </c:pt>
                <c:pt idx="33">
                  <c:v>1.8188589854480448</c:v>
                </c:pt>
                <c:pt idx="34">
                  <c:v>1.8314481642465175</c:v>
                </c:pt>
                <c:pt idx="35">
                  <c:v>1.8437998553042265</c:v>
                </c:pt>
                <c:pt idx="36">
                  <c:v>1.8559249522098413</c:v>
                </c:pt>
                <c:pt idx="37">
                  <c:v>1.8678335703762092</c:v>
                </c:pt>
                <c:pt idx="38">
                  <c:v>1.879535121487437</c:v>
                </c:pt>
                <c:pt idx="39">
                  <c:v>1.8910383791110306</c:v>
                </c:pt>
                <c:pt idx="40">
                  <c:v>1.902351536716759</c:v>
                </c:pt>
                <c:pt idx="41">
                  <c:v>1.9134822591435854</c:v>
                </c:pt>
                <c:pt idx="42">
                  <c:v>1.9244377283919334</c:v>
                </c:pt>
                <c:pt idx="43">
                  <c:v>1.9352246844835657</c:v>
                </c:pt>
                <c:pt idx="44">
                  <c:v>1.9458494620196791</c:v>
                </c:pt>
                <c:pt idx="45">
                  <c:v>1.95631802297507</c:v>
                </c:pt>
                <c:pt idx="46">
                  <c:v>1.966635986188803</c:v>
                </c:pt>
                <c:pt idx="47">
                  <c:v>1.9768086539469518</c:v>
                </c:pt>
                <c:pt idx="48">
                  <c:v>1.986841035998409</c:v>
                </c:pt>
                <c:pt idx="49">
                  <c:v>1.996737871298665</c:v>
                </c:pt>
                <c:pt idx="50">
                  <c:v>2.0031431995264786</c:v>
                </c:pt>
                <c:pt idx="51">
                  <c:v>2.0103202110299967</c:v>
                </c:pt>
                <c:pt idx="52">
                  <c:v>2.017412083161102</c:v>
                </c:pt>
                <c:pt idx="53">
                  <c:v>2.0244213176225063</c:v>
                </c:pt>
                <c:pt idx="54">
                  <c:v>2.0313503000790223</c:v>
                </c:pt>
                <c:pt idx="55">
                  <c:v>2.038201307449257</c:v>
                </c:pt>
                <c:pt idx="56">
                  <c:v>2.044976514623015</c:v>
                </c:pt>
                <c:pt idx="57">
                  <c:v>2.0516780006584865</c:v>
                </c:pt>
                <c:pt idx="58">
                  <c:v>2.0583077545074033</c:v>
                </c:pt>
                <c:pt idx="59">
                  <c:v>2.064867680311166</c:v>
                </c:pt>
                <c:pt idx="60">
                  <c:v>2.0713596023064165</c:v>
                </c:pt>
                <c:pt idx="61">
                  <c:v>2.077785269374524</c:v>
                </c:pt>
                <c:pt idx="62">
                  <c:v>2.0841463592659206</c:v>
                </c:pt>
                <c:pt idx="63">
                  <c:v>2.090444482527118</c:v>
                </c:pt>
                <c:pt idx="64">
                  <c:v>2.096681186155467</c:v>
                </c:pt>
                <c:pt idx="65">
                  <c:v>2.102857957004261</c:v>
                </c:pt>
                <c:pt idx="66">
                  <c:v>2.1089762249586292</c:v>
                </c:pt>
                <c:pt idx="67">
                  <c:v>2.1150373659006974</c:v>
                </c:pt>
                <c:pt idx="68">
                  <c:v>2.1210427044807854</c:v>
                </c:pt>
                <c:pt idx="69">
                  <c:v>2.126993516709845</c:v>
                </c:pt>
                <c:pt idx="70">
                  <c:v>2.1328910323869694</c:v>
                </c:pt>
                <c:pt idx="71">
                  <c:v>2.1387364373745545</c:v>
                </c:pt>
                <c:pt idx="72">
                  <c:v>2.144530875732583</c:v>
                </c:pt>
                <c:pt idx="73">
                  <c:v>2.150275451722492</c:v>
                </c:pt>
                <c:pt idx="74">
                  <c:v>2.155971231690193</c:v>
                </c:pt>
                <c:pt idx="75">
                  <c:v>2.161619245836981</c:v>
                </c:pt>
                <c:pt idx="76">
                  <c:v>2.1672204898863554</c:v>
                </c:pt>
                <c:pt idx="77">
                  <c:v>2.1727759266540856</c:v>
                </c:pt>
                <c:pt idx="78">
                  <c:v>2.1782864875282737</c:v>
                </c:pt>
                <c:pt idx="79">
                  <c:v>2.183753073865602</c:v>
                </c:pt>
                <c:pt idx="80">
                  <c:v>2.189176558309473</c:v>
                </c:pt>
                <c:pt idx="81">
                  <c:v>2.194557786035283</c:v>
                </c:pt>
                <c:pt idx="82">
                  <c:v>2.1998975759276753</c:v>
                </c:pt>
                <c:pt idx="83">
                  <c:v>2.205196721694228</c:v>
                </c:pt>
                <c:pt idx="84">
                  <c:v>2.2104559929197105</c:v>
                </c:pt>
                <c:pt idx="85">
                  <c:v>2.215676136064713</c:v>
                </c:pt>
                <c:pt idx="86">
                  <c:v>2.220857875412177</c:v>
                </c:pt>
                <c:pt idx="87">
                  <c:v>2.2260019139651006</c:v>
                </c:pt>
                <c:pt idx="88">
                  <c:v>2.2311089342984363</c:v>
                </c:pt>
                <c:pt idx="89">
                  <c:v>2.2361795993680005</c:v>
                </c:pt>
                <c:pt idx="90">
                  <c:v>2.2412145532789998</c:v>
                </c:pt>
                <c:pt idx="91">
                  <c:v>2.246214422016595</c:v>
                </c:pt>
                <c:pt idx="92">
                  <c:v>2.251179814140765</c:v>
                </c:pt>
                <c:pt idx="93">
                  <c:v>2.2561113214475634</c:v>
                </c:pt>
                <c:pt idx="94">
                  <c:v>2.261009519598727</c:v>
                </c:pt>
                <c:pt idx="95">
                  <c:v>2.265874968721454</c:v>
                </c:pt>
                <c:pt idx="96">
                  <c:v>2.2707082139800585</c:v>
                </c:pt>
                <c:pt idx="97">
                  <c:v>2.2755097861210807</c:v>
                </c:pt>
                <c:pt idx="98">
                  <c:v>2.280280201993347</c:v>
                </c:pt>
                <c:pt idx="99">
                  <c:v>2.2850199650443486</c:v>
                </c:pt>
              </c:numCache>
            </c:numRef>
          </c:yVal>
          <c:smooth val="0"/>
        </c:ser>
        <c:ser>
          <c:idx val="1"/>
          <c:order val="1"/>
          <c:tx>
            <c:strRef>
              <c:f>VCOMP!$Z$190</c:f>
              <c:strCache>
                <c:ptCount val="1"/>
                <c:pt idx="0">
                  <c:v>ICOMP</c:v>
                </c:pt>
              </c:strCache>
            </c:strRef>
          </c:tx>
          <c:spPr>
            <a:ln w="381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VCOMP!$G$191:$G$290</c:f>
              <c:numCache>
                <c:ptCount val="1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numCache>
            </c:numRef>
          </c:xVal>
          <c:yVal>
            <c:numRef>
              <c:f>VCOMP!$Z$191:$Z$290</c:f>
              <c:numCache>
                <c:ptCount val="100"/>
                <c:pt idx="0">
                  <c:v>0.5</c:v>
                </c:pt>
                <c:pt idx="1">
                  <c:v>0.5</c:v>
                </c:pt>
                <c:pt idx="2">
                  <c:v>0.5</c:v>
                </c:pt>
                <c:pt idx="3">
                  <c:v>0.5</c:v>
                </c:pt>
                <c:pt idx="4">
                  <c:v>0.5</c:v>
                </c:pt>
                <c:pt idx="5">
                  <c:v>0.5</c:v>
                </c:pt>
                <c:pt idx="6">
                  <c:v>0.5504087271141327</c:v>
                </c:pt>
                <c:pt idx="7">
                  <c:v>0.6755790043203292</c:v>
                </c:pt>
                <c:pt idx="8">
                  <c:v>0.7908055771734253</c:v>
                </c:pt>
                <c:pt idx="9">
                  <c:v>0.8981837431935737</c:v>
                </c:pt>
                <c:pt idx="10">
                  <c:v>0.999189017629835</c:v>
                </c:pt>
                <c:pt idx="11">
                  <c:v>1.0949011003759388</c:v>
                </c:pt>
                <c:pt idx="12">
                  <c:v>1.1861349515940156</c:v>
                </c:pt>
                <c:pt idx="13">
                  <c:v>1.2735216579182613</c:v>
                </c:pt>
                <c:pt idx="14">
                  <c:v>1.35756053029934</c:v>
                </c:pt>
                <c:pt idx="15">
                  <c:v>1.438653905895292</c:v>
                </c:pt>
                <c:pt idx="16">
                  <c:v>1.5171311222524335</c:v>
                </c:pt>
                <c:pt idx="17">
                  <c:v>1.59326547522967</c:v>
                </c:pt>
                <c:pt idx="18">
                  <c:v>1.6672864930671925</c:v>
                </c:pt>
                <c:pt idx="19">
                  <c:v>1.7393890013784268</c:v>
                </c:pt>
                <c:pt idx="20">
                  <c:v>1.8097399386514608</c:v>
                </c:pt>
                <c:pt idx="21">
                  <c:v>1.8784835626056902</c:v>
                </c:pt>
                <c:pt idx="22">
                  <c:v>1.9457454844262918</c:v>
                </c:pt>
                <c:pt idx="23">
                  <c:v>2.0116358351963948</c:v>
                </c:pt>
                <c:pt idx="24">
                  <c:v>2.076251780314104</c:v>
                </c:pt>
                <c:pt idx="25">
                  <c:v>2.1396795374355726</c:v>
                </c:pt>
                <c:pt idx="26">
                  <c:v>2.201996011745413</c:v>
                </c:pt>
                <c:pt idx="27">
                  <c:v>2.2632701329600877</c:v>
                </c:pt>
                <c:pt idx="28">
                  <c:v>2.3235639574553906</c:v>
                </c:pt>
                <c:pt idx="29">
                  <c:v>2.38293358367812</c:v>
                </c:pt>
                <c:pt idx="30">
                  <c:v>2.4414299178218326</c:v>
                </c:pt>
                <c:pt idx="31">
                  <c:v>2.4990993184430783</c:v>
                </c:pt>
                <c:pt idx="32">
                  <c:v>2.5559841424600602</c:v>
                </c:pt>
                <c:pt idx="33">
                  <c:v>2.6121232102470047</c:v>
                </c:pt>
                <c:pt idx="34">
                  <c:v>2.667552203917158</c:v>
                </c:pt>
                <c:pt idx="35">
                  <c:v>2.7223040100906455</c:v>
                </c:pt>
                <c:pt idx="36">
                  <c:v>2.7764090162653967</c:v>
                </c:pt>
                <c:pt idx="37">
                  <c:v>2.829895368199694</c:v>
                </c:pt>
                <c:pt idx="38">
                  <c:v>2.88278919436319</c:v>
                </c:pt>
                <c:pt idx="39">
                  <c:v>2.935114802437092</c:v>
                </c:pt>
                <c:pt idx="40">
                  <c:v>2.986894851981961</c:v>
                </c:pt>
                <c:pt idx="41">
                  <c:v>3.0381505066963</c:v>
                </c:pt>
                <c:pt idx="42">
                  <c:v>3.0889015691254156</c:v>
                </c:pt>
                <c:pt idx="43">
                  <c:v>3.1391666002202863</c:v>
                </c:pt>
                <c:pt idx="44">
                  <c:v>3.1889630257694175</c:v>
                </c:pt>
                <c:pt idx="45">
                  <c:v>3.238307231416232</c:v>
                </c:pt>
                <c:pt idx="46">
                  <c:v>3.2872146477176405</c:v>
                </c:pt>
                <c:pt idx="47">
                  <c:v>3.335699826485889</c:v>
                </c:pt>
                <c:pt idx="48">
                  <c:v>3.3837765094773458</c:v>
                </c:pt>
                <c:pt idx="49">
                  <c:v>3.4314576903424205</c:v>
                </c:pt>
                <c:pt idx="50">
                  <c:v>3.4792038884160594</c:v>
                </c:pt>
                <c:pt idx="51">
                  <c:v>3.5163490457174955</c:v>
                </c:pt>
                <c:pt idx="52">
                  <c:v>3.553123075697049</c:v>
                </c:pt>
                <c:pt idx="53">
                  <c:v>3.5895388416613265</c:v>
                </c:pt>
                <c:pt idx="54">
                  <c:v>3.6256084817021876</c:v>
                </c:pt>
                <c:pt idx="55">
                  <c:v>3.6613434639133007</c:v>
                </c:pt>
                <c:pt idx="56">
                  <c:v>3.6967546363916055</c:v>
                </c:pt>
                <c:pt idx="57">
                  <c:v>3.7318522726058516</c:v>
                </c:pt>
                <c:pt idx="58">
                  <c:v>3.7666461126399025</c:v>
                </c:pt>
                <c:pt idx="59">
                  <c:v>3.80114540075472</c:v>
                </c:pt>
                <c:pt idx="60">
                  <c:v>3.835358919658171</c:v>
                </c:pt>
                <c:pt idx="61">
                  <c:v>3.8692950218245556</c:v>
                </c:pt>
                <c:pt idx="62">
                  <c:v>3.9029616581650677</c:v>
                </c:pt>
                <c:pt idx="63">
                  <c:v>3.9363664043149886</c:v>
                </c:pt>
                <c:pt idx="64">
                  <c:v>3.9695164847727993</c:v>
                </c:pt>
                <c:pt idx="65">
                  <c:v>4.002418795099734</c:v>
                </c:pt>
                <c:pt idx="66">
                  <c:v>4.035079922364977</c:v>
                </c:pt>
                <c:pt idx="67">
                  <c:v>4.067506164001358</c:v>
                </c:pt>
                <c:pt idx="68">
                  <c:v>4.0997035452185795</c:v>
                </c:pt>
                <c:pt idx="69">
                  <c:v>4.131677835105322</c:v>
                </c:pt>
                <c:pt idx="70">
                  <c:v>4.163434561537802</c:v>
                </c:pt>
                <c:pt idx="71">
                  <c:v>4.194979025000222</c:v>
                </c:pt>
                <c:pt idx="72">
                  <c:v>4.226316311411738</c:v>
                </c:pt>
                <c:pt idx="73">
                  <c:v>4.257451304045172</c:v>
                </c:pt>
                <c:pt idx="74">
                  <c:v>4.288388694614173</c:v>
                </c:pt>
                <c:pt idx="75">
                  <c:v>4.319132993598109</c:v>
                </c:pt>
                <c:pt idx="76">
                  <c:v>4.3496885398672624</c:v>
                </c:pt>
                <c:pt idx="77">
                  <c:v>4.380059509664988</c:v>
                </c:pt>
                <c:pt idx="78">
                  <c:v>4.410249924998181</c:v>
                </c:pt>
                <c:pt idx="79">
                  <c:v>4.440263661482681</c:v>
                </c:pt>
                <c:pt idx="80">
                  <c:v>4.47010445568594</c:v>
                </c:pt>
                <c:pt idx="81">
                  <c:v>4.49977591200553</c:v>
                </c:pt>
                <c:pt idx="82">
                  <c:v>4.529281509118609</c:v>
                </c:pt>
                <c:pt idx="83">
                  <c:v>4.558624606034392</c:v>
                </c:pt>
                <c:pt idx="84">
                  <c:v>4.5878084477789205</c:v>
                </c:pt>
                <c:pt idx="85">
                  <c:v>4.616836170738879</c:v>
                </c:pt>
                <c:pt idx="86">
                  <c:v>4.645710807689007</c:v>
                </c:pt>
                <c:pt idx="87">
                  <c:v>4.674435292525527</c:v>
                </c:pt>
                <c:pt idx="88">
                  <c:v>4.703012464726275</c:v>
                </c:pt>
                <c:pt idx="89">
                  <c:v>4.731445073556421</c:v>
                </c:pt>
                <c:pt idx="90">
                  <c:v>4.759735782037208</c:v>
                </c:pt>
                <c:pt idx="91">
                  <c:v>4.787887170693793</c:v>
                </c:pt>
                <c:pt idx="92">
                  <c:v>4.815901741096876</c:v>
                </c:pt>
                <c:pt idx="93">
                  <c:v>4.843781919211837</c:v>
                </c:pt>
                <c:pt idx="94">
                  <c:v>4.871530058567893</c:v>
                </c:pt>
                <c:pt idx="95">
                  <c:v>4.899148443258936</c:v>
                </c:pt>
                <c:pt idx="96">
                  <c:v>4.92663929078679</c:v>
                </c:pt>
                <c:pt idx="97">
                  <c:v>4.954004754756865</c:v>
                </c:pt>
                <c:pt idx="98">
                  <c:v>4.9812469274353735</c:v>
                </c:pt>
                <c:pt idx="99">
                  <c:v>5.008367842176742</c:v>
                </c:pt>
              </c:numCache>
            </c:numRef>
          </c:yVal>
          <c:smooth val="0"/>
        </c:ser>
        <c:axId val="27117172"/>
        <c:axId val="42727957"/>
      </c:scatterChart>
      <c:valAx>
        <c:axId val="27117172"/>
        <c:scaling>
          <c:orientation val="minMax"/>
          <c:max val="100"/>
        </c:scaling>
        <c:axPos val="b"/>
        <c:title>
          <c:tx>
            <c:rich>
              <a:bodyPr vert="horz" rot="0" anchor="ctr"/>
              <a:lstStyle/>
              <a:p>
                <a:pPr algn="ctr">
                  <a:defRPr/>
                </a:pPr>
                <a:r>
                  <a:rPr lang="en-US" cap="none" sz="1075" b="1" i="0" u="none" baseline="0">
                    <a:solidFill>
                      <a:srgbClr val="000000"/>
                    </a:solidFill>
                    <a:latin typeface="Arial"/>
                    <a:ea typeface="Arial"/>
                    <a:cs typeface="Arial"/>
                  </a:rPr>
                  <a:t>Percent of Full Load (%)</a:t>
                </a:r>
              </a:p>
            </c:rich>
          </c:tx>
          <c:layout>
            <c:manualLayout>
              <c:xMode val="factor"/>
              <c:yMode val="factor"/>
              <c:x val="-0.00675"/>
              <c:y val="0.00025"/>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42727957"/>
        <c:crossesAt val="0"/>
        <c:crossBetween val="midCat"/>
        <c:dispUnits/>
      </c:valAx>
      <c:valAx>
        <c:axId val="42727957"/>
        <c:scaling>
          <c:orientation val="minMax"/>
          <c:max val="6"/>
          <c:min val="0"/>
        </c:scaling>
        <c:axPos val="l"/>
        <c:title>
          <c:tx>
            <c:rich>
              <a:bodyPr vert="horz" rot="-5400000" anchor="ctr"/>
              <a:lstStyle/>
              <a:p>
                <a:pPr algn="ctr">
                  <a:defRPr/>
                </a:pPr>
                <a:r>
                  <a:rPr lang="en-US" cap="none" sz="1075" b="1" i="0" u="none" baseline="0">
                    <a:solidFill>
                      <a:srgbClr val="000000"/>
                    </a:solidFill>
                    <a:latin typeface="Arial"/>
                    <a:ea typeface="Arial"/>
                    <a:cs typeface="Arial"/>
                  </a:rPr>
                  <a:t>VCOMP (V)</a:t>
                </a:r>
              </a:p>
            </c:rich>
          </c:tx>
          <c:layout>
            <c:manualLayout>
              <c:xMode val="factor"/>
              <c:yMode val="factor"/>
              <c:x val="-0.001"/>
              <c:y val="0"/>
            </c:manualLayout>
          </c:layout>
          <c:overlay val="0"/>
          <c:spPr>
            <a:noFill/>
            <a:ln w="3175">
              <a:noFill/>
            </a:ln>
          </c:spPr>
        </c:title>
        <c:majorGridlines>
          <c:spPr>
            <a:ln w="3175">
              <a:solidFill>
                <a:srgbClr val="000000"/>
              </a:solidFill>
            </a:ln>
          </c:spPr>
        </c:majorGridlines>
        <c:delete val="0"/>
        <c:numFmt formatCode="General" sourceLinked="1"/>
        <c:majorTickMark val="none"/>
        <c:minorTickMark val="none"/>
        <c:tickLblPos val="nextTo"/>
        <c:spPr>
          <a:ln w="3175">
            <a:solidFill>
              <a:srgbClr val="000000"/>
            </a:solidFill>
          </a:ln>
        </c:spPr>
        <c:crossAx val="27117172"/>
        <c:crosses val="autoZero"/>
        <c:crossBetween val="midCat"/>
        <c:dispUnits/>
      </c:valAx>
      <c:spPr>
        <a:gradFill rotWithShape="1">
          <a:gsLst>
            <a:gs pos="0">
              <a:srgbClr val="FFFFFF"/>
            </a:gs>
            <a:gs pos="100000">
              <a:srgbClr val="FFFFCC"/>
            </a:gs>
          </a:gsLst>
          <a:lin ang="5400000" scaled="1"/>
        </a:gradFill>
        <a:ln w="12700">
          <a:solidFill>
            <a:srgbClr val="808080"/>
          </a:solidFill>
        </a:ln>
      </c:spPr>
    </c:plotArea>
    <c:legend>
      <c:legendPos val="r"/>
      <c:layout>
        <c:manualLayout>
          <c:xMode val="edge"/>
          <c:yMode val="edge"/>
          <c:x val="0.86775"/>
          <c:y val="0.475"/>
          <c:w val="0.12675"/>
          <c:h val="0.12575"/>
        </c:manualLayout>
      </c:layout>
      <c:overlay val="0"/>
      <c:spPr>
        <a:noFill/>
        <a:ln w="3175">
          <a:noFill/>
        </a:ln>
      </c:spPr>
      <c:txPr>
        <a:bodyPr vert="horz" rot="0"/>
        <a:lstStyle/>
        <a:p>
          <a:pPr>
            <a:defRPr lang="en-US" cap="none" sz="98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156</xdr:row>
      <xdr:rowOff>9525</xdr:rowOff>
    </xdr:from>
    <xdr:to>
      <xdr:col>3</xdr:col>
      <xdr:colOff>1019175</xdr:colOff>
      <xdr:row>178</xdr:row>
      <xdr:rowOff>152400</xdr:rowOff>
    </xdr:to>
    <xdr:graphicFrame>
      <xdr:nvGraphicFramePr>
        <xdr:cNvPr id="1" name="Chart 1"/>
        <xdr:cNvGraphicFramePr/>
      </xdr:nvGraphicFramePr>
      <xdr:xfrm>
        <a:off x="0" y="31089600"/>
        <a:ext cx="8296275" cy="434340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191</xdr:row>
      <xdr:rowOff>76200</xdr:rowOff>
    </xdr:from>
    <xdr:to>
      <xdr:col>3</xdr:col>
      <xdr:colOff>628650</xdr:colOff>
      <xdr:row>223</xdr:row>
      <xdr:rowOff>76200</xdr:rowOff>
    </xdr:to>
    <xdr:graphicFrame>
      <xdr:nvGraphicFramePr>
        <xdr:cNvPr id="2" name="Chart 2"/>
        <xdr:cNvGraphicFramePr/>
      </xdr:nvGraphicFramePr>
      <xdr:xfrm>
        <a:off x="28575" y="38233350"/>
        <a:ext cx="7877175" cy="518160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223</xdr:row>
      <xdr:rowOff>28575</xdr:rowOff>
    </xdr:from>
    <xdr:to>
      <xdr:col>3</xdr:col>
      <xdr:colOff>628650</xdr:colOff>
      <xdr:row>253</xdr:row>
      <xdr:rowOff>95250</xdr:rowOff>
    </xdr:to>
    <xdr:graphicFrame>
      <xdr:nvGraphicFramePr>
        <xdr:cNvPr id="3" name="Chart 7"/>
        <xdr:cNvGraphicFramePr/>
      </xdr:nvGraphicFramePr>
      <xdr:xfrm>
        <a:off x="38100" y="43367325"/>
        <a:ext cx="7867650" cy="49244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267</xdr:row>
      <xdr:rowOff>28575</xdr:rowOff>
    </xdr:from>
    <xdr:to>
      <xdr:col>3</xdr:col>
      <xdr:colOff>1019175</xdr:colOff>
      <xdr:row>299</xdr:row>
      <xdr:rowOff>142875</xdr:rowOff>
    </xdr:to>
    <xdr:graphicFrame>
      <xdr:nvGraphicFramePr>
        <xdr:cNvPr id="4" name="Chart 8"/>
        <xdr:cNvGraphicFramePr/>
      </xdr:nvGraphicFramePr>
      <xdr:xfrm>
        <a:off x="0" y="50815875"/>
        <a:ext cx="8296275" cy="5295900"/>
      </xdr:xfrm>
      <a:graphic>
        <a:graphicData uri="http://schemas.openxmlformats.org/drawingml/2006/chart">
          <c:chart xmlns:c="http://schemas.openxmlformats.org/drawingml/2006/chart" r:id="rId4"/>
        </a:graphicData>
      </a:graphic>
    </xdr:graphicFrame>
    <xdr:clientData/>
  </xdr:twoCellAnchor>
  <xdr:twoCellAnchor>
    <xdr:from>
      <xdr:col>5</xdr:col>
      <xdr:colOff>47625</xdr:colOff>
      <xdr:row>189</xdr:row>
      <xdr:rowOff>133350</xdr:rowOff>
    </xdr:from>
    <xdr:to>
      <xdr:col>12</xdr:col>
      <xdr:colOff>28575</xdr:colOff>
      <xdr:row>210</xdr:row>
      <xdr:rowOff>161925</xdr:rowOff>
    </xdr:to>
    <xdr:graphicFrame>
      <xdr:nvGraphicFramePr>
        <xdr:cNvPr id="5" name="Chart 2"/>
        <xdr:cNvGraphicFramePr/>
      </xdr:nvGraphicFramePr>
      <xdr:xfrm>
        <a:off x="10220325" y="37909500"/>
        <a:ext cx="6819900" cy="3486150"/>
      </xdr:xfrm>
      <a:graphic>
        <a:graphicData uri="http://schemas.openxmlformats.org/drawingml/2006/chart">
          <c:chart xmlns:c="http://schemas.openxmlformats.org/drawingml/2006/chart" r:id="rId5"/>
        </a:graphicData>
      </a:graphic>
    </xdr:graphicFrame>
    <xdr:clientData/>
  </xdr:twoCellAnchor>
  <xdr:twoCellAnchor>
    <xdr:from>
      <xdr:col>5</xdr:col>
      <xdr:colOff>0</xdr:colOff>
      <xdr:row>212</xdr:row>
      <xdr:rowOff>0</xdr:rowOff>
    </xdr:from>
    <xdr:to>
      <xdr:col>11</xdr:col>
      <xdr:colOff>600075</xdr:colOff>
      <xdr:row>233</xdr:row>
      <xdr:rowOff>85725</xdr:rowOff>
    </xdr:to>
    <xdr:graphicFrame>
      <xdr:nvGraphicFramePr>
        <xdr:cNvPr id="6" name="Chart 2"/>
        <xdr:cNvGraphicFramePr/>
      </xdr:nvGraphicFramePr>
      <xdr:xfrm>
        <a:off x="10172700" y="41557575"/>
        <a:ext cx="6829425" cy="348615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4</xdr:col>
      <xdr:colOff>4238625</xdr:colOff>
      <xdr:row>36</xdr:row>
      <xdr:rowOff>114300</xdr:rowOff>
    </xdr:to>
    <xdr:pic>
      <xdr:nvPicPr>
        <xdr:cNvPr id="1" name="Picture 2"/>
        <xdr:cNvPicPr preferRelativeResize="1">
          <a:picLocks noChangeAspect="1"/>
        </xdr:cNvPicPr>
      </xdr:nvPicPr>
      <xdr:blipFill>
        <a:blip r:embed="rId1"/>
        <a:stretch>
          <a:fillRect/>
        </a:stretch>
      </xdr:blipFill>
      <xdr:spPr>
        <a:xfrm>
          <a:off x="638175" y="457200"/>
          <a:ext cx="10953750" cy="5591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0741357\Documents\modified%20UCC28180_Konfi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INPUTS AND CALCULATIONS"/>
      <sheetName val="SCHEMATIC"/>
      <sheetName val="data"/>
      <sheetName val="VCOMP"/>
      <sheetName val="Open Loop Bench"/>
      <sheetName val="Ideal ICOMP_MH"/>
    </sheetNames>
    <sheetDataSet>
      <sheetData sheetId="5">
        <row r="309">
          <cell r="B309">
            <v>1</v>
          </cell>
        </row>
        <row r="310">
          <cell r="B310">
            <v>2</v>
          </cell>
        </row>
        <row r="311">
          <cell r="B311">
            <v>-0.4375</v>
          </cell>
        </row>
        <row r="313">
          <cell r="B313">
            <v>0.5</v>
          </cell>
        </row>
        <row r="314">
          <cell r="B314">
            <v>44.755</v>
          </cell>
        </row>
        <row r="315">
          <cell r="B315">
            <v>-2.5</v>
          </cell>
        </row>
        <row r="316">
          <cell r="B316">
            <v>-0.005737130488213602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T318"/>
  <sheetViews>
    <sheetView tabSelected="1" zoomScalePageLayoutView="0" workbookViewId="0" topLeftCell="A1">
      <selection activeCell="C134" sqref="C134"/>
    </sheetView>
  </sheetViews>
  <sheetFormatPr defaultColWidth="9.140625" defaultRowHeight="12.75"/>
  <cols>
    <col min="1" max="1" width="73.8515625" style="24" customWidth="1"/>
    <col min="2" max="2" width="18.8515625" style="24" customWidth="1"/>
    <col min="3" max="3" width="16.421875" style="24" customWidth="1"/>
    <col min="4" max="4" width="15.421875" style="24" customWidth="1"/>
    <col min="5" max="5" width="28.00390625" style="24" customWidth="1"/>
    <col min="6" max="6" width="9.140625" style="24" customWidth="1"/>
    <col min="7" max="7" width="24.421875" style="24" customWidth="1"/>
    <col min="8" max="8" width="19.00390625" style="24" customWidth="1"/>
    <col min="9" max="9" width="22.57421875" style="24" customWidth="1"/>
    <col min="10" max="16" width="9.140625" style="24" customWidth="1"/>
    <col min="17" max="17" width="11.8515625" style="24" customWidth="1"/>
    <col min="18" max="18" width="12.8515625" style="24" customWidth="1"/>
    <col min="19" max="16384" width="9.140625" style="24" customWidth="1"/>
  </cols>
  <sheetData>
    <row r="1" spans="1:12" ht="44.25" customHeight="1" thickBot="1">
      <c r="A1" s="206" t="s">
        <v>244</v>
      </c>
      <c r="B1" s="207"/>
      <c r="C1" s="207"/>
      <c r="D1" s="208"/>
      <c r="F1" s="23"/>
      <c r="G1" s="23"/>
      <c r="H1" s="23"/>
      <c r="I1" s="23"/>
      <c r="J1" s="23"/>
      <c r="K1" s="23"/>
      <c r="L1" s="23"/>
    </row>
    <row r="2" spans="1:9" ht="19.5" customHeight="1" thickBot="1">
      <c r="A2" s="98" t="s">
        <v>240</v>
      </c>
      <c r="B2" s="124" t="s">
        <v>250</v>
      </c>
      <c r="C2" s="124" t="s">
        <v>485</v>
      </c>
      <c r="D2" s="125"/>
      <c r="E2" s="38"/>
      <c r="F2" s="39"/>
      <c r="G2" s="40"/>
      <c r="H2" s="41"/>
      <c r="I2" s="42"/>
    </row>
    <row r="3" spans="1:9" ht="45" customHeight="1" thickBot="1">
      <c r="A3" s="209" t="s">
        <v>245</v>
      </c>
      <c r="B3" s="210"/>
      <c r="C3" s="210"/>
      <c r="D3" s="211"/>
      <c r="E3" s="23"/>
      <c r="F3" s="23"/>
      <c r="G3" s="23"/>
      <c r="H3" s="23"/>
      <c r="I3" s="23"/>
    </row>
    <row r="4" spans="1:9" ht="15">
      <c r="A4" s="96" t="s">
        <v>25</v>
      </c>
      <c r="B4" s="97" t="s">
        <v>23</v>
      </c>
      <c r="C4" s="212" t="s">
        <v>24</v>
      </c>
      <c r="D4" s="213"/>
      <c r="E4" s="23"/>
      <c r="F4" s="23"/>
      <c r="G4" s="23"/>
      <c r="H4" s="23"/>
      <c r="I4" s="23"/>
    </row>
    <row r="5" spans="1:9" ht="15">
      <c r="A5" s="214" t="s">
        <v>26</v>
      </c>
      <c r="B5" s="215"/>
      <c r="C5" s="215"/>
      <c r="D5" s="216"/>
      <c r="E5" s="23"/>
      <c r="F5" s="23"/>
      <c r="G5" s="23"/>
      <c r="H5" s="23"/>
      <c r="I5" s="23"/>
    </row>
    <row r="6" spans="1:9" ht="17.25">
      <c r="A6" s="183" t="s">
        <v>249</v>
      </c>
      <c r="B6" s="184"/>
      <c r="C6" s="184"/>
      <c r="D6" s="185"/>
      <c r="E6" s="23"/>
      <c r="F6" s="23"/>
      <c r="G6" s="23"/>
      <c r="H6" s="23"/>
      <c r="I6" s="23"/>
    </row>
    <row r="7" spans="1:9" ht="15" customHeight="1">
      <c r="A7" s="186" t="s">
        <v>251</v>
      </c>
      <c r="B7" s="187"/>
      <c r="C7" s="187"/>
      <c r="D7" s="188"/>
      <c r="E7" s="23"/>
      <c r="F7" s="23"/>
      <c r="G7" s="23"/>
      <c r="H7" s="23"/>
      <c r="I7" s="23"/>
    </row>
    <row r="8" spans="1:9" ht="14.25" customHeight="1">
      <c r="A8" s="186"/>
      <c r="B8" s="187"/>
      <c r="C8" s="187"/>
      <c r="D8" s="188"/>
      <c r="E8" s="23"/>
      <c r="F8" s="23"/>
      <c r="G8" s="23"/>
      <c r="H8" s="23"/>
      <c r="I8" s="23"/>
    </row>
    <row r="9" spans="1:9" ht="12.75" customHeight="1">
      <c r="A9" s="186"/>
      <c r="B9" s="187"/>
      <c r="C9" s="187"/>
      <c r="D9" s="188"/>
      <c r="E9" s="23"/>
      <c r="F9" s="23"/>
      <c r="G9" s="23"/>
      <c r="H9" s="23"/>
      <c r="I9" s="23"/>
    </row>
    <row r="10" spans="1:9" ht="13.5" customHeight="1">
      <c r="A10" s="186"/>
      <c r="B10" s="187"/>
      <c r="C10" s="187"/>
      <c r="D10" s="188"/>
      <c r="E10" s="23"/>
      <c r="F10" s="23"/>
      <c r="G10" s="23"/>
      <c r="H10" s="23"/>
      <c r="I10" s="23"/>
    </row>
    <row r="11" spans="1:9" ht="15" customHeight="1" thickBot="1">
      <c r="A11" s="186"/>
      <c r="B11" s="187"/>
      <c r="C11" s="187"/>
      <c r="D11" s="188"/>
      <c r="E11" s="23"/>
      <c r="F11" s="23"/>
      <c r="G11" s="23"/>
      <c r="H11" s="23"/>
      <c r="I11" s="23"/>
    </row>
    <row r="12" spans="1:9" ht="15" customHeight="1">
      <c r="A12" s="189" t="s">
        <v>243</v>
      </c>
      <c r="B12" s="190"/>
      <c r="C12" s="190"/>
      <c r="D12" s="191"/>
      <c r="E12" s="23"/>
      <c r="F12" s="23"/>
      <c r="G12" s="23"/>
      <c r="H12" s="23"/>
      <c r="I12" s="23"/>
    </row>
    <row r="13" spans="1:9" ht="12.75">
      <c r="A13" s="192"/>
      <c r="B13" s="193"/>
      <c r="C13" s="193"/>
      <c r="D13" s="194"/>
      <c r="E13" s="23"/>
      <c r="F13" s="23"/>
      <c r="G13" s="23"/>
      <c r="H13" s="23"/>
      <c r="I13" s="23"/>
    </row>
    <row r="14" spans="1:9" ht="12.75">
      <c r="A14" s="192"/>
      <c r="B14" s="193"/>
      <c r="C14" s="193"/>
      <c r="D14" s="194"/>
      <c r="E14" s="23"/>
      <c r="F14" s="23"/>
      <c r="G14" s="23"/>
      <c r="H14" s="23"/>
      <c r="I14" s="23"/>
    </row>
    <row r="15" spans="1:9" ht="12.75">
      <c r="A15" s="192"/>
      <c r="B15" s="193"/>
      <c r="C15" s="193"/>
      <c r="D15" s="194"/>
      <c r="E15" s="23"/>
      <c r="F15" s="23"/>
      <c r="G15" s="23"/>
      <c r="H15" s="23"/>
      <c r="I15" s="23"/>
    </row>
    <row r="16" spans="1:4" ht="13.5" thickBot="1">
      <c r="A16" s="195"/>
      <c r="B16" s="196"/>
      <c r="C16" s="196"/>
      <c r="D16" s="197"/>
    </row>
    <row r="17" spans="1:4" ht="12.75">
      <c r="A17" s="220" t="s">
        <v>241</v>
      </c>
      <c r="B17" s="221"/>
      <c r="C17" s="221"/>
      <c r="D17" s="222"/>
    </row>
    <row r="18" spans="1:4" ht="12.75">
      <c r="A18" s="177" t="s">
        <v>242</v>
      </c>
      <c r="B18" s="178"/>
      <c r="C18" s="178"/>
      <c r="D18" s="179"/>
    </row>
    <row r="19" spans="1:4" ht="12.75">
      <c r="A19" s="177"/>
      <c r="B19" s="178"/>
      <c r="C19" s="178"/>
      <c r="D19" s="179"/>
    </row>
    <row r="20" spans="1:4" ht="13.5" thickBot="1">
      <c r="A20" s="180"/>
      <c r="B20" s="181"/>
      <c r="C20" s="181"/>
      <c r="D20" s="182"/>
    </row>
    <row r="21" spans="1:4" ht="13.5" thickBot="1">
      <c r="A21" s="85"/>
      <c r="B21" s="85"/>
      <c r="C21" s="85"/>
      <c r="D21" s="85"/>
    </row>
    <row r="22" spans="1:4" ht="15">
      <c r="A22" s="201" t="s">
        <v>22</v>
      </c>
      <c r="B22" s="202"/>
      <c r="C22" s="202"/>
      <c r="D22" s="203"/>
    </row>
    <row r="23" spans="1:4" ht="15">
      <c r="A23" s="43" t="s">
        <v>0</v>
      </c>
      <c r="B23" s="51" t="s">
        <v>253</v>
      </c>
      <c r="C23" s="86">
        <v>176</v>
      </c>
      <c r="D23" s="45" t="s">
        <v>124</v>
      </c>
    </row>
    <row r="24" spans="1:4" ht="15">
      <c r="A24" s="43" t="s">
        <v>1</v>
      </c>
      <c r="B24" s="51" t="s">
        <v>254</v>
      </c>
      <c r="C24" s="86">
        <v>256</v>
      </c>
      <c r="D24" s="45" t="s">
        <v>124</v>
      </c>
    </row>
    <row r="25" spans="1:4" ht="15">
      <c r="A25" s="43" t="s">
        <v>4</v>
      </c>
      <c r="B25" s="44" t="s">
        <v>7</v>
      </c>
      <c r="C25" s="86">
        <v>50</v>
      </c>
      <c r="D25" s="45" t="s">
        <v>5</v>
      </c>
    </row>
    <row r="26" spans="1:4" ht="15">
      <c r="A26" s="43" t="s">
        <v>6</v>
      </c>
      <c r="B26" s="44" t="s">
        <v>8</v>
      </c>
      <c r="C26" s="86">
        <v>60</v>
      </c>
      <c r="D26" s="45" t="s">
        <v>5</v>
      </c>
    </row>
    <row r="27" spans="1:4" ht="15">
      <c r="A27" s="43" t="s">
        <v>3</v>
      </c>
      <c r="B27" s="51" t="s">
        <v>252</v>
      </c>
      <c r="C27" s="46">
        <f>SQRT(2)*Vacin_min</f>
        <v>248.90158697766475</v>
      </c>
      <c r="D27" s="45" t="s">
        <v>11</v>
      </c>
    </row>
    <row r="28" spans="1:4" ht="15.75" thickBot="1">
      <c r="A28" s="47" t="s">
        <v>2</v>
      </c>
      <c r="B28" s="68" t="s">
        <v>255</v>
      </c>
      <c r="C28" s="49">
        <f>SQRT(2)*Vacin_max</f>
        <v>362.03867196751236</v>
      </c>
      <c r="D28" s="50" t="s">
        <v>11</v>
      </c>
    </row>
    <row r="29" spans="1:4" ht="12.75">
      <c r="A29" s="217"/>
      <c r="B29" s="217"/>
      <c r="C29" s="217"/>
      <c r="D29" s="217"/>
    </row>
    <row r="30" spans="1:4" ht="13.5" thickBot="1">
      <c r="A30" s="218"/>
      <c r="B30" s="218"/>
      <c r="C30" s="218"/>
      <c r="D30" s="218"/>
    </row>
    <row r="31" spans="1:4" ht="15">
      <c r="A31" s="201" t="s">
        <v>21</v>
      </c>
      <c r="B31" s="202"/>
      <c r="C31" s="202"/>
      <c r="D31" s="203"/>
    </row>
    <row r="32" spans="1:4" ht="15">
      <c r="A32" s="43" t="s">
        <v>34</v>
      </c>
      <c r="B32" s="44" t="s">
        <v>13</v>
      </c>
      <c r="C32" s="86">
        <v>1550</v>
      </c>
      <c r="D32" s="45" t="s">
        <v>12</v>
      </c>
    </row>
    <row r="33" spans="1:5" ht="31.5" customHeight="1">
      <c r="A33" s="43" t="s">
        <v>237</v>
      </c>
      <c r="B33" s="44" t="s">
        <v>121</v>
      </c>
      <c r="C33" s="86">
        <v>385</v>
      </c>
      <c r="D33" s="45" t="s">
        <v>11</v>
      </c>
      <c r="E33" s="157" t="str">
        <f>IF(Vout&lt;=Vin_peak_max,"OUTPUT VOLTAGE MUST BE GREATER THAN RECTIFIED MAXIMUM INPUT VOLTAGE"," ")</f>
        <v> </v>
      </c>
    </row>
    <row r="34" spans="1:5" ht="15.75" customHeight="1">
      <c r="A34" s="43" t="s">
        <v>192</v>
      </c>
      <c r="B34" s="44" t="s">
        <v>14</v>
      </c>
      <c r="C34" s="86">
        <v>0.99</v>
      </c>
      <c r="D34" s="45"/>
      <c r="E34" s="158" t="str">
        <f>IF(PF&gt;=0.999,"ENTER VALUE LESS THAN 0.999"," ")</f>
        <v> </v>
      </c>
    </row>
    <row r="35" spans="1:5" ht="12.75">
      <c r="A35" s="43" t="s">
        <v>10</v>
      </c>
      <c r="B35" s="53" t="s">
        <v>9</v>
      </c>
      <c r="C35" s="86">
        <v>0.92</v>
      </c>
      <c r="D35" s="45"/>
      <c r="E35" s="158" t="str">
        <f>IF(eff&gt;=0.97,"ENTER VALUE LESS THAN 0.97"," ")</f>
        <v> </v>
      </c>
    </row>
    <row r="36" spans="1:4" ht="15">
      <c r="A36" s="43" t="s">
        <v>41</v>
      </c>
      <c r="B36" s="44" t="s">
        <v>44</v>
      </c>
      <c r="C36" s="86">
        <v>50</v>
      </c>
      <c r="D36" s="54" t="s">
        <v>40</v>
      </c>
    </row>
    <row r="37" spans="1:4" ht="15">
      <c r="A37" s="76" t="s">
        <v>282</v>
      </c>
      <c r="B37" s="51" t="s">
        <v>393</v>
      </c>
      <c r="C37" s="46">
        <f>Pout/Vout</f>
        <v>4.025974025974026</v>
      </c>
      <c r="D37" s="52" t="s">
        <v>18</v>
      </c>
    </row>
    <row r="38" spans="1:5" ht="15">
      <c r="A38" s="61" t="s">
        <v>246</v>
      </c>
      <c r="B38" s="57" t="s">
        <v>389</v>
      </c>
      <c r="C38" s="104">
        <v>120</v>
      </c>
      <c r="D38" s="59" t="s">
        <v>139</v>
      </c>
      <c r="E38" s="158">
        <f>IF(fSW_target&lt;18,"fsw must not be less than 18 kHz",IF(fSW_target&gt;250,"fsw must not be greater than 250 kHz",""))</f>
      </c>
    </row>
    <row r="39" spans="1:4" ht="15">
      <c r="A39" s="76" t="s">
        <v>247</v>
      </c>
      <c r="B39" s="51" t="s">
        <v>295</v>
      </c>
      <c r="C39" s="46">
        <f>data!F233</f>
        <v>17.8</v>
      </c>
      <c r="D39" s="52" t="s">
        <v>281</v>
      </c>
    </row>
    <row r="40" spans="1:4" ht="15">
      <c r="A40" s="61" t="s">
        <v>287</v>
      </c>
      <c r="B40" s="57" t="s">
        <v>391</v>
      </c>
      <c r="C40" s="104">
        <v>17.4</v>
      </c>
      <c r="D40" s="59" t="s">
        <v>390</v>
      </c>
    </row>
    <row r="41" spans="1:4" ht="15.75" thickBot="1">
      <c r="A41" s="67" t="s">
        <v>380</v>
      </c>
      <c r="B41" s="68" t="s">
        <v>392</v>
      </c>
      <c r="C41" s="106">
        <f>((32.7*kOhms*65*kHz*(1*MegOhm+Rfreq*kOhms))/(Rfreq*kOhms*(1*MegOhm+32.7*kOhms)))/kHz</f>
        <v>120.34537853567652</v>
      </c>
      <c r="D41" s="70" t="s">
        <v>139</v>
      </c>
    </row>
    <row r="42" spans="1:4" ht="12.75">
      <c r="A42" s="92">
        <f>IF(Vout&gt;=Vin_peak_max,IF(PF&lt;1,IF(eff&lt;0.97,"","DO NOT PROCEED. ENTER EFFICIENCY LESS &lt; 0.97"),"DO NOT PROCEED. ENTER PF &lt; 1"),"DO NOT PROCEED. OUTPUT VOLTAGE MUST BE &gt; RECTIFIED MAXIMUM INPUT VOLTAGE")</f>
      </c>
      <c r="B42" s="92"/>
      <c r="C42" s="92"/>
      <c r="D42" s="92"/>
    </row>
    <row r="43" spans="1:4" ht="13.5" thickBot="1">
      <c r="A43" s="92"/>
      <c r="B43" s="92"/>
      <c r="C43" s="92"/>
      <c r="D43" s="92"/>
    </row>
    <row r="44" spans="1:4" ht="15">
      <c r="A44" s="201" t="s">
        <v>290</v>
      </c>
      <c r="B44" s="202"/>
      <c r="C44" s="202"/>
      <c r="D44" s="203"/>
    </row>
    <row r="45" spans="1:4" ht="15">
      <c r="A45" s="43" t="s">
        <v>15</v>
      </c>
      <c r="B45" s="44" t="s">
        <v>16</v>
      </c>
      <c r="C45" s="46">
        <f>Pout/eff</f>
        <v>1684.782608695652</v>
      </c>
      <c r="D45" s="45" t="s">
        <v>12</v>
      </c>
    </row>
    <row r="46" spans="1:4" ht="15">
      <c r="A46" s="43" t="s">
        <v>17</v>
      </c>
      <c r="B46" s="44" t="s">
        <v>45</v>
      </c>
      <c r="C46" s="46">
        <f>Pout/(eff*Vacin_min*PF)</f>
        <v>9.669321675250528</v>
      </c>
      <c r="D46" s="45" t="s">
        <v>18</v>
      </c>
    </row>
    <row r="47" spans="1:4" ht="15">
      <c r="A47" s="43" t="s">
        <v>19</v>
      </c>
      <c r="B47" s="44" t="s">
        <v>46</v>
      </c>
      <c r="C47" s="46">
        <f>SQRT(2)*Iin_rms_max</f>
        <v>13.674485852087432</v>
      </c>
      <c r="D47" s="45" t="s">
        <v>18</v>
      </c>
    </row>
    <row r="48" spans="1:4" ht="15">
      <c r="A48" s="43" t="s">
        <v>20</v>
      </c>
      <c r="B48" s="44" t="s">
        <v>47</v>
      </c>
      <c r="C48" s="46">
        <f>(2*Iin_peak_max)/PI()</f>
        <v>8.705448070399614</v>
      </c>
      <c r="D48" s="45" t="s">
        <v>18</v>
      </c>
    </row>
    <row r="49" spans="1:4" ht="15.75" thickBot="1">
      <c r="A49" s="47" t="s">
        <v>164</v>
      </c>
      <c r="B49" s="48" t="s">
        <v>48</v>
      </c>
      <c r="C49" s="49">
        <f>1.5*Iin_rms_max</f>
        <v>14.50398251287579</v>
      </c>
      <c r="D49" s="50" t="s">
        <v>18</v>
      </c>
    </row>
    <row r="50" spans="1:4" ht="12.75">
      <c r="A50" s="219"/>
      <c r="B50" s="219"/>
      <c r="C50" s="219"/>
      <c r="D50" s="219"/>
    </row>
    <row r="51" spans="1:4" ht="13.5" thickBot="1">
      <c r="A51" s="218"/>
      <c r="B51" s="218"/>
      <c r="C51" s="218"/>
      <c r="D51" s="218"/>
    </row>
    <row r="52" spans="1:4" ht="15">
      <c r="A52" s="201" t="s">
        <v>87</v>
      </c>
      <c r="B52" s="202"/>
      <c r="C52" s="202"/>
      <c r="D52" s="203"/>
    </row>
    <row r="53" spans="1:4" ht="15">
      <c r="A53" s="76" t="s">
        <v>383</v>
      </c>
      <c r="B53" s="51" t="s">
        <v>384</v>
      </c>
      <c r="C53" s="105">
        <v>1.05</v>
      </c>
      <c r="D53" s="52" t="s">
        <v>11</v>
      </c>
    </row>
    <row r="54" spans="1:4" ht="15">
      <c r="A54" s="76" t="s">
        <v>42</v>
      </c>
      <c r="B54" s="51" t="s">
        <v>385</v>
      </c>
      <c r="C54" s="105">
        <v>0.6</v>
      </c>
      <c r="D54" s="54" t="s">
        <v>386</v>
      </c>
    </row>
    <row r="55" spans="1:4" ht="15">
      <c r="A55" s="76" t="s">
        <v>304</v>
      </c>
      <c r="B55" s="51" t="s">
        <v>387</v>
      </c>
      <c r="C55" s="105">
        <v>0.7</v>
      </c>
      <c r="D55" s="54" t="s">
        <v>386</v>
      </c>
    </row>
    <row r="56" spans="1:4" ht="15">
      <c r="A56" s="76" t="s">
        <v>43</v>
      </c>
      <c r="B56" s="51" t="s">
        <v>39</v>
      </c>
      <c r="C56" s="105">
        <v>125</v>
      </c>
      <c r="D56" s="54" t="s">
        <v>388</v>
      </c>
    </row>
    <row r="57" spans="1:4" ht="15">
      <c r="A57" s="43" t="s">
        <v>94</v>
      </c>
      <c r="B57" s="51" t="s">
        <v>293</v>
      </c>
      <c r="C57" s="46">
        <f>1.5*Iin_avg_max</f>
        <v>13.058172105599422</v>
      </c>
      <c r="D57" s="45" t="s">
        <v>18</v>
      </c>
    </row>
    <row r="58" spans="1:4" ht="15">
      <c r="A58" s="43" t="s">
        <v>93</v>
      </c>
      <c r="B58" s="51" t="s">
        <v>294</v>
      </c>
      <c r="C58" s="46">
        <f>Vin_peak_max*1.1</f>
        <v>398.24253916426363</v>
      </c>
      <c r="D58" s="45" t="s">
        <v>11</v>
      </c>
    </row>
    <row r="59" spans="1:4" ht="15">
      <c r="A59" s="43" t="s">
        <v>32</v>
      </c>
      <c r="B59" s="44" t="s">
        <v>33</v>
      </c>
      <c r="C59" s="46">
        <f>2*Vf_bridge*Iin_avg_max</f>
        <v>18.28144094783919</v>
      </c>
      <c r="D59" s="45" t="s">
        <v>12</v>
      </c>
    </row>
    <row r="60" spans="1:4" ht="15.75" thickBot="1">
      <c r="A60" s="47" t="s">
        <v>49</v>
      </c>
      <c r="B60" s="48" t="s">
        <v>50</v>
      </c>
      <c r="C60" s="49">
        <f>((Tj_bridge-Tamb)/Pbridge)-Rjc_bridge-Rchs_bridge</f>
        <v>2.8025212516885754</v>
      </c>
      <c r="D60" s="55" t="s">
        <v>38</v>
      </c>
    </row>
    <row r="61" spans="1:4" ht="12.75">
      <c r="A61" s="217"/>
      <c r="B61" s="217"/>
      <c r="C61" s="217"/>
      <c r="D61" s="217"/>
    </row>
    <row r="62" spans="1:4" ht="13.5" thickBot="1">
      <c r="A62" s="219"/>
      <c r="B62" s="219"/>
      <c r="C62" s="219"/>
      <c r="D62" s="219"/>
    </row>
    <row r="63" spans="1:4" ht="15">
      <c r="A63" s="201" t="s">
        <v>27</v>
      </c>
      <c r="B63" s="202"/>
      <c r="C63" s="202"/>
      <c r="D63" s="203"/>
    </row>
    <row r="64" spans="1:5" ht="51.75" customHeight="1">
      <c r="A64" s="102" t="s">
        <v>363</v>
      </c>
      <c r="B64" s="57" t="s">
        <v>364</v>
      </c>
      <c r="C64" s="104">
        <v>0.4</v>
      </c>
      <c r="D64" s="107">
        <f>IF(L_I_ripple_factor&gt;0.4,"Lower ripple current factor is recommended","")</f>
      </c>
      <c r="E64" s="25"/>
    </row>
    <row r="65" spans="1:4" ht="15">
      <c r="A65" s="61" t="s">
        <v>154</v>
      </c>
      <c r="B65" s="57" t="s">
        <v>365</v>
      </c>
      <c r="C65" s="86">
        <v>0.08</v>
      </c>
      <c r="D65" s="45"/>
    </row>
    <row r="66" spans="1:4" ht="15">
      <c r="A66" s="76" t="s">
        <v>284</v>
      </c>
      <c r="B66" s="51" t="s">
        <v>285</v>
      </c>
      <c r="C66" s="46">
        <f>L_I_ripple_factor*Iin_peak_max</f>
        <v>5.469794340834973</v>
      </c>
      <c r="D66" s="45" t="s">
        <v>18</v>
      </c>
    </row>
    <row r="67" spans="1:4" ht="15">
      <c r="A67" s="43" t="s">
        <v>28</v>
      </c>
      <c r="B67" s="44" t="s">
        <v>37</v>
      </c>
      <c r="C67" s="46">
        <f>V_ripplefactor*Vin_peak_min</f>
        <v>19.91212695821318</v>
      </c>
      <c r="D67" s="45" t="s">
        <v>11</v>
      </c>
    </row>
    <row r="68" spans="1:4" ht="15.75" customHeight="1">
      <c r="A68" s="76" t="s">
        <v>283</v>
      </c>
      <c r="B68" s="94" t="s">
        <v>296</v>
      </c>
      <c r="C68" s="46">
        <f>data!F228</f>
        <v>0.26999999999999996</v>
      </c>
      <c r="D68" s="54" t="s">
        <v>288</v>
      </c>
    </row>
    <row r="69" spans="1:4" ht="15.75" customHeight="1">
      <c r="A69" s="61" t="s">
        <v>286</v>
      </c>
      <c r="B69" s="95" t="s">
        <v>366</v>
      </c>
      <c r="C69" s="108">
        <v>0.22</v>
      </c>
      <c r="D69" s="59" t="str">
        <f>data!G228</f>
        <v>µF</v>
      </c>
    </row>
    <row r="70" spans="1:4" ht="15.75" customHeight="1" thickBot="1">
      <c r="A70" s="67" t="s">
        <v>291</v>
      </c>
      <c r="B70" s="93" t="s">
        <v>289</v>
      </c>
      <c r="C70" s="49">
        <f>Vrated</f>
        <v>398.24253916426363</v>
      </c>
      <c r="D70" s="70" t="s">
        <v>11</v>
      </c>
    </row>
    <row r="71" spans="1:4" ht="12.75">
      <c r="A71" s="200"/>
      <c r="B71" s="200"/>
      <c r="C71" s="200"/>
      <c r="D71" s="200"/>
    </row>
    <row r="72" spans="1:4" ht="13.5" thickBot="1">
      <c r="A72" s="200"/>
      <c r="B72" s="200"/>
      <c r="C72" s="200"/>
      <c r="D72" s="200"/>
    </row>
    <row r="73" spans="1:4" ht="15">
      <c r="A73" s="201" t="s">
        <v>29</v>
      </c>
      <c r="B73" s="202"/>
      <c r="C73" s="202"/>
      <c r="D73" s="203"/>
    </row>
    <row r="74" spans="1:4" ht="15">
      <c r="A74" s="43" t="s">
        <v>30</v>
      </c>
      <c r="B74" s="44" t="s">
        <v>52</v>
      </c>
      <c r="C74" s="46">
        <f>(Vout-Vin_peak_min)/Vout</f>
        <v>0.3535023714865851</v>
      </c>
      <c r="D74" s="45"/>
    </row>
    <row r="75" spans="1:4" ht="15">
      <c r="A75" s="43" t="s">
        <v>31</v>
      </c>
      <c r="B75" s="44" t="s">
        <v>51</v>
      </c>
      <c r="C75" s="46">
        <f>Iin_peak_max+(Iripple/2)</f>
        <v>16.40938302250492</v>
      </c>
      <c r="D75" s="45" t="s">
        <v>18</v>
      </c>
    </row>
    <row r="76" spans="1:4" ht="15">
      <c r="A76" s="76" t="s">
        <v>292</v>
      </c>
      <c r="B76" s="51" t="s">
        <v>297</v>
      </c>
      <c r="C76" s="58">
        <f>((Vout*0.5*(1-0.5))/(fsw*kHz*Iripple))/mH</f>
        <v>0.14621782629818564</v>
      </c>
      <c r="D76" s="52" t="s">
        <v>35</v>
      </c>
    </row>
    <row r="77" spans="1:5" ht="21" customHeight="1">
      <c r="A77" s="61" t="s">
        <v>36</v>
      </c>
      <c r="B77" s="57" t="s">
        <v>350</v>
      </c>
      <c r="C77" s="104">
        <v>0.15</v>
      </c>
      <c r="D77" s="59" t="s">
        <v>35</v>
      </c>
      <c r="E77" s="25"/>
    </row>
    <row r="78" spans="1:5" ht="18.75" customHeight="1">
      <c r="A78" s="43" t="s">
        <v>193</v>
      </c>
      <c r="B78" s="51" t="s">
        <v>194</v>
      </c>
      <c r="C78" s="46">
        <f>(Vout*0.5*(1-0.5))/((fsw*kHz)*(Lbst*mH))</f>
        <v>5.331876258766712</v>
      </c>
      <c r="D78" s="45" t="s">
        <v>18</v>
      </c>
      <c r="E78" s="25"/>
    </row>
    <row r="79" spans="1:4" ht="15">
      <c r="A79" s="43" t="s">
        <v>195</v>
      </c>
      <c r="B79" s="44" t="s">
        <v>196</v>
      </c>
      <c r="C79" s="46">
        <f>Iin_peak_max+(Iripple_actual/2)</f>
        <v>16.34042398147079</v>
      </c>
      <c r="D79" s="45" t="s">
        <v>18</v>
      </c>
    </row>
    <row r="80" spans="1:4" ht="15.75" thickBot="1">
      <c r="A80" s="67" t="s">
        <v>299</v>
      </c>
      <c r="B80" s="68" t="s">
        <v>300</v>
      </c>
      <c r="C80" s="49">
        <f>Iripple_actual/(SQRT(2)*Iin_rms_max)</f>
        <v>0.38991420346182837</v>
      </c>
      <c r="D80" s="50"/>
    </row>
    <row r="81" spans="1:4" ht="12.75">
      <c r="A81" s="200"/>
      <c r="B81" s="200"/>
      <c r="C81" s="200"/>
      <c r="D81" s="200"/>
    </row>
    <row r="82" spans="1:4" ht="13.5" thickBot="1">
      <c r="A82" s="200"/>
      <c r="B82" s="200"/>
      <c r="C82" s="200"/>
      <c r="D82" s="200"/>
    </row>
    <row r="83" spans="1:4" ht="15">
      <c r="A83" s="201" t="s">
        <v>67</v>
      </c>
      <c r="B83" s="202"/>
      <c r="C83" s="202"/>
      <c r="D83" s="203"/>
    </row>
    <row r="84" spans="1:4" ht="15">
      <c r="A84" s="76" t="s">
        <v>381</v>
      </c>
      <c r="B84" s="44" t="s">
        <v>69</v>
      </c>
      <c r="C84" s="86">
        <v>1.8</v>
      </c>
      <c r="D84" s="45" t="s">
        <v>11</v>
      </c>
    </row>
    <row r="85" spans="1:4" ht="15">
      <c r="A85" s="43" t="s">
        <v>70</v>
      </c>
      <c r="B85" s="44" t="s">
        <v>71</v>
      </c>
      <c r="C85" s="86">
        <v>34</v>
      </c>
      <c r="D85" s="45" t="s">
        <v>56</v>
      </c>
    </row>
    <row r="86" spans="1:4" ht="15">
      <c r="A86" s="43" t="s">
        <v>77</v>
      </c>
      <c r="B86" s="44" t="s">
        <v>39</v>
      </c>
      <c r="C86" s="86">
        <v>125</v>
      </c>
      <c r="D86" s="54" t="s">
        <v>40</v>
      </c>
    </row>
    <row r="87" spans="1:4" ht="15">
      <c r="A87" s="43" t="s">
        <v>78</v>
      </c>
      <c r="B87" s="44" t="s">
        <v>79</v>
      </c>
      <c r="C87" s="86">
        <v>1.2</v>
      </c>
      <c r="D87" s="54" t="s">
        <v>38</v>
      </c>
    </row>
    <row r="88" spans="1:4" ht="15">
      <c r="A88" s="43" t="s">
        <v>81</v>
      </c>
      <c r="B88" s="51" t="s">
        <v>305</v>
      </c>
      <c r="C88" s="86">
        <v>0.7</v>
      </c>
      <c r="D88" s="54" t="s">
        <v>38</v>
      </c>
    </row>
    <row r="89" spans="1:4" ht="15">
      <c r="A89" s="43" t="s">
        <v>74</v>
      </c>
      <c r="B89" s="44" t="s">
        <v>72</v>
      </c>
      <c r="C89" s="46">
        <f>Vf*Iout</f>
        <v>7.246753246753247</v>
      </c>
      <c r="D89" s="45" t="s">
        <v>12</v>
      </c>
    </row>
    <row r="90" spans="1:4" ht="15">
      <c r="A90" s="76" t="s">
        <v>382</v>
      </c>
      <c r="B90" s="44" t="s">
        <v>73</v>
      </c>
      <c r="C90" s="46">
        <f>(65*10^3)*Vout*(Qrr*10^-9)</f>
        <v>0.85085</v>
      </c>
      <c r="D90" s="45" t="s">
        <v>12</v>
      </c>
    </row>
    <row r="91" spans="1:4" ht="15">
      <c r="A91" s="43" t="s">
        <v>75</v>
      </c>
      <c r="B91" s="44" t="s">
        <v>76</v>
      </c>
      <c r="C91" s="46">
        <f>Pdiode_cond+(Pdiode_reverse/2)</f>
        <v>7.672178246753247</v>
      </c>
      <c r="D91" s="45" t="s">
        <v>12</v>
      </c>
    </row>
    <row r="92" spans="1:4" ht="15">
      <c r="A92" s="43" t="s">
        <v>49</v>
      </c>
      <c r="B92" s="44" t="s">
        <v>80</v>
      </c>
      <c r="C92" s="46">
        <f>((Tj_diode-Tamb)/Pdiode)-Rth_diode-Rth_case_hs</f>
        <v>7.87558101335027</v>
      </c>
      <c r="D92" s="54" t="s">
        <v>38</v>
      </c>
    </row>
    <row r="93" spans="1:4" ht="15.75" thickBot="1">
      <c r="A93" s="47" t="s">
        <v>302</v>
      </c>
      <c r="B93" s="68" t="s">
        <v>303</v>
      </c>
      <c r="C93" s="49">
        <f>Vout*1.1</f>
        <v>423.50000000000006</v>
      </c>
      <c r="D93" s="70" t="s">
        <v>11</v>
      </c>
    </row>
    <row r="94" spans="1:4" ht="12.75">
      <c r="A94" s="219"/>
      <c r="B94" s="219"/>
      <c r="C94" s="219"/>
      <c r="D94" s="219"/>
    </row>
    <row r="95" spans="1:4" ht="13.5" thickBot="1">
      <c r="A95" s="218"/>
      <c r="B95" s="218"/>
      <c r="C95" s="218"/>
      <c r="D95" s="218"/>
    </row>
    <row r="96" spans="1:4" ht="15">
      <c r="A96" s="201" t="s">
        <v>68</v>
      </c>
      <c r="B96" s="202"/>
      <c r="C96" s="202"/>
      <c r="D96" s="203"/>
    </row>
    <row r="97" spans="1:5" ht="21" customHeight="1">
      <c r="A97" s="76" t="s">
        <v>301</v>
      </c>
      <c r="B97" s="44" t="s">
        <v>53</v>
      </c>
      <c r="C97" s="86">
        <v>15</v>
      </c>
      <c r="D97" s="45" t="s">
        <v>11</v>
      </c>
      <c r="E97" s="157">
        <f>IF(VCC&lt;12,"Bias voltage should be &gt;12V","")</f>
      </c>
    </row>
    <row r="98" spans="1:4" ht="15">
      <c r="A98" s="43" t="s">
        <v>58</v>
      </c>
      <c r="B98" s="44" t="s">
        <v>54</v>
      </c>
      <c r="C98" s="60">
        <f>IF(VCC&gt;=15.2,15.2,VCC-1.25)</f>
        <v>13.75</v>
      </c>
      <c r="D98" s="45" t="s">
        <v>11</v>
      </c>
    </row>
    <row r="99" spans="1:4" ht="15">
      <c r="A99" s="43" t="s">
        <v>61</v>
      </c>
      <c r="B99" s="44" t="s">
        <v>62</v>
      </c>
      <c r="C99" s="46">
        <f>(Pout/Vin_peak_min)*SQRT((2-(16*Vin_peak_min/(3*PI()*Vout))))</f>
        <v>5.915899528895074</v>
      </c>
      <c r="D99" s="45" t="s">
        <v>18</v>
      </c>
    </row>
    <row r="100" spans="1:4" ht="15">
      <c r="A100" s="43" t="s">
        <v>125</v>
      </c>
      <c r="B100" s="44" t="s">
        <v>60</v>
      </c>
      <c r="C100" s="86">
        <v>0.65</v>
      </c>
      <c r="D100" s="54" t="s">
        <v>12</v>
      </c>
    </row>
    <row r="101" spans="1:4" ht="15">
      <c r="A101" s="43" t="s">
        <v>59</v>
      </c>
      <c r="B101" s="44" t="s">
        <v>55</v>
      </c>
      <c r="C101" s="86">
        <v>64</v>
      </c>
      <c r="D101" s="45" t="s">
        <v>56</v>
      </c>
    </row>
    <row r="102" spans="1:4" ht="15">
      <c r="A102" s="43" t="s">
        <v>126</v>
      </c>
      <c r="B102" s="44" t="s">
        <v>127</v>
      </c>
      <c r="C102" s="86">
        <v>15</v>
      </c>
      <c r="D102" s="45" t="s">
        <v>128</v>
      </c>
    </row>
    <row r="103" spans="1:4" ht="15">
      <c r="A103" s="43" t="s">
        <v>228</v>
      </c>
      <c r="B103" s="44" t="s">
        <v>229</v>
      </c>
      <c r="C103" s="86">
        <v>10</v>
      </c>
      <c r="D103" s="45" t="s">
        <v>128</v>
      </c>
    </row>
    <row r="104" spans="1:4" ht="15">
      <c r="A104" s="43" t="s">
        <v>65</v>
      </c>
      <c r="B104" s="44" t="s">
        <v>66</v>
      </c>
      <c r="C104" s="86">
        <v>48</v>
      </c>
      <c r="D104" s="45" t="s">
        <v>82</v>
      </c>
    </row>
    <row r="105" spans="1:4" ht="15">
      <c r="A105" s="43" t="s">
        <v>89</v>
      </c>
      <c r="B105" s="44" t="s">
        <v>39</v>
      </c>
      <c r="C105" s="86">
        <v>125</v>
      </c>
      <c r="D105" s="54" t="s">
        <v>40</v>
      </c>
    </row>
    <row r="106" spans="1:4" ht="15">
      <c r="A106" s="43" t="s">
        <v>90</v>
      </c>
      <c r="B106" s="44" t="s">
        <v>91</v>
      </c>
      <c r="C106" s="86">
        <v>0.73</v>
      </c>
      <c r="D106" s="54" t="s">
        <v>38</v>
      </c>
    </row>
    <row r="107" spans="1:4" ht="15">
      <c r="A107" s="76" t="s">
        <v>306</v>
      </c>
      <c r="B107" s="51" t="s">
        <v>307</v>
      </c>
      <c r="C107" s="86">
        <v>0.7</v>
      </c>
      <c r="D107" s="54" t="s">
        <v>38</v>
      </c>
    </row>
    <row r="108" spans="1:4" ht="15">
      <c r="A108" s="43" t="s">
        <v>197</v>
      </c>
      <c r="B108" s="44" t="s">
        <v>57</v>
      </c>
      <c r="C108" s="46">
        <f>Vgs*Qg*(nC)*fsw*kHz</f>
        <v>0.10590393311139534</v>
      </c>
      <c r="D108" s="45" t="s">
        <v>12</v>
      </c>
    </row>
    <row r="109" spans="1:4" ht="15">
      <c r="A109" s="43" t="s">
        <v>63</v>
      </c>
      <c r="B109" s="44" t="s">
        <v>64</v>
      </c>
      <c r="C109" s="46">
        <f>(Ids_rms^2)*(Rds_on)</f>
        <v>22.748613703387623</v>
      </c>
      <c r="D109" s="45" t="s">
        <v>12</v>
      </c>
    </row>
    <row r="110" spans="1:4" ht="15">
      <c r="A110" s="43" t="s">
        <v>83</v>
      </c>
      <c r="B110" s="44" t="s">
        <v>84</v>
      </c>
      <c r="C110" s="46">
        <f>((fsw*kHz)/2)*(((tr_FET+tf_FET)*ns*Vout*Iin_peak_max)+(Coss*picoF*Vout^2))</f>
        <v>8.347861059825725</v>
      </c>
      <c r="D110" s="45" t="s">
        <v>12</v>
      </c>
    </row>
    <row r="111" spans="1:4" ht="15">
      <c r="A111" s="43" t="s">
        <v>85</v>
      </c>
      <c r="B111" s="44" t="s">
        <v>86</v>
      </c>
      <c r="C111" s="46">
        <f>P_FETcond+P_FETsw</f>
        <v>31.096474763213347</v>
      </c>
      <c r="D111" s="45" t="s">
        <v>12</v>
      </c>
    </row>
    <row r="112" spans="1:4" ht="15.75" thickBot="1">
      <c r="A112" s="47" t="s">
        <v>49</v>
      </c>
      <c r="B112" s="48" t="s">
        <v>88</v>
      </c>
      <c r="C112" s="49">
        <f>((Tj_FET-Tamb)/P_FET)-Rth_jc_FET-Rth_CHS_FET</f>
        <v>0.981848949795552</v>
      </c>
      <c r="D112" s="55" t="s">
        <v>38</v>
      </c>
    </row>
    <row r="113" spans="1:9" ht="12.75">
      <c r="A113" s="217"/>
      <c r="B113" s="217"/>
      <c r="C113" s="217"/>
      <c r="D113" s="217"/>
      <c r="F113" s="27"/>
      <c r="G113" s="27"/>
      <c r="H113" s="27"/>
      <c r="I113" s="27"/>
    </row>
    <row r="114" spans="1:9" ht="13.5" thickBot="1">
      <c r="A114" s="218"/>
      <c r="B114" s="218"/>
      <c r="C114" s="218"/>
      <c r="D114" s="218"/>
      <c r="F114" s="27"/>
      <c r="G114" s="28"/>
      <c r="H114" s="28"/>
      <c r="I114" s="27"/>
    </row>
    <row r="115" spans="1:9" ht="15">
      <c r="A115" s="201" t="s">
        <v>92</v>
      </c>
      <c r="B115" s="202"/>
      <c r="C115" s="202"/>
      <c r="D115" s="203"/>
      <c r="F115" s="27"/>
      <c r="G115" s="28"/>
      <c r="H115" s="28"/>
      <c r="I115" s="27"/>
    </row>
    <row r="116" spans="1:9" ht="15">
      <c r="A116" s="76" t="s">
        <v>394</v>
      </c>
      <c r="B116" s="51" t="s">
        <v>395</v>
      </c>
      <c r="C116" s="46">
        <f>0.259/(Il_peak_actual*1.1)</f>
        <v>0.014409329018729192</v>
      </c>
      <c r="D116" s="54" t="s">
        <v>12</v>
      </c>
      <c r="F116" s="27"/>
      <c r="G116" s="28"/>
      <c r="H116" s="28"/>
      <c r="I116" s="27"/>
    </row>
    <row r="117" spans="1:9" ht="15">
      <c r="A117" s="61" t="s">
        <v>396</v>
      </c>
      <c r="B117" s="57" t="s">
        <v>397</v>
      </c>
      <c r="C117" s="108">
        <v>0.008</v>
      </c>
      <c r="D117" s="62" t="s">
        <v>12</v>
      </c>
      <c r="E117" s="26">
        <f>IF(Rsense&gt;0.259/I_Lpeak,"DECREASE Rsense","")</f>
      </c>
      <c r="F117" s="27"/>
      <c r="G117" s="28"/>
      <c r="H117" s="28"/>
      <c r="I117" s="27"/>
    </row>
    <row r="118" spans="1:9" ht="12.75">
      <c r="A118" s="176" t="s">
        <v>490</v>
      </c>
      <c r="B118" s="51" t="s">
        <v>484</v>
      </c>
      <c r="C118" s="175">
        <f>VCOMP!Z7</f>
        <v>5.154960887361159</v>
      </c>
      <c r="D118" s="45" t="s">
        <v>11</v>
      </c>
      <c r="E118" s="26">
        <f>IF(C118&gt;5.7,"DECREASE Rsense","")</f>
      </c>
      <c r="F118" s="27"/>
      <c r="G118" s="28"/>
      <c r="H118" s="28"/>
      <c r="I118" s="27"/>
    </row>
    <row r="119" spans="1:9" ht="15">
      <c r="A119" s="76" t="s">
        <v>308</v>
      </c>
      <c r="B119" s="44" t="s">
        <v>95</v>
      </c>
      <c r="C119" s="46">
        <f>0.259/Rsense</f>
        <v>32.375</v>
      </c>
      <c r="D119" s="45" t="s">
        <v>18</v>
      </c>
      <c r="F119" s="27"/>
      <c r="G119" s="28"/>
      <c r="H119" s="28"/>
      <c r="I119" s="27"/>
    </row>
    <row r="120" spans="1:9" ht="15">
      <c r="A120" s="43" t="s">
        <v>96</v>
      </c>
      <c r="B120" s="44" t="s">
        <v>97</v>
      </c>
      <c r="C120" s="46">
        <f>(Iin_rms_max^2)*Rsense</f>
        <v>0.7479662532757574</v>
      </c>
      <c r="D120" s="45" t="s">
        <v>12</v>
      </c>
      <c r="F120" s="27"/>
      <c r="G120" s="28"/>
      <c r="H120" s="28"/>
      <c r="I120" s="27"/>
    </row>
    <row r="121" spans="1:9" ht="15">
      <c r="A121" s="76" t="s">
        <v>309</v>
      </c>
      <c r="B121" s="44" t="s">
        <v>99</v>
      </c>
      <c r="C121" s="46">
        <f>(((Isoc-((Vout*Dmax*(1-Dmax))/(fsw*kHz*Lbst*mH)/2))*Vacin_min*PF)/(SQRT(2))*eff)/Vout</f>
        <v>8.814174076923868</v>
      </c>
      <c r="D121" s="45" t="s">
        <v>18</v>
      </c>
      <c r="F121" s="27"/>
      <c r="G121" s="28"/>
      <c r="H121" s="28"/>
      <c r="I121" s="27"/>
    </row>
    <row r="122" spans="1:9" ht="15">
      <c r="A122" s="76" t="s">
        <v>310</v>
      </c>
      <c r="B122" s="44" t="s">
        <v>98</v>
      </c>
      <c r="C122" s="46">
        <f>0.438/Rsense</f>
        <v>54.75</v>
      </c>
      <c r="D122" s="45" t="s">
        <v>18</v>
      </c>
      <c r="F122" s="27"/>
      <c r="G122" s="28"/>
      <c r="H122" s="28"/>
      <c r="I122" s="27"/>
    </row>
    <row r="123" spans="1:9" ht="15">
      <c r="A123" s="176" t="s">
        <v>491</v>
      </c>
      <c r="B123" s="44" t="s">
        <v>102</v>
      </c>
      <c r="C123" s="86">
        <v>47</v>
      </c>
      <c r="D123" s="54" t="s">
        <v>12</v>
      </c>
      <c r="F123" s="27"/>
      <c r="G123" s="28"/>
      <c r="H123" s="28"/>
      <c r="I123" s="27"/>
    </row>
    <row r="124" spans="1:9" ht="15">
      <c r="A124" s="43" t="s">
        <v>100</v>
      </c>
      <c r="B124" s="44" t="s">
        <v>101</v>
      </c>
      <c r="C124" s="46">
        <f>Vin_peak_max/C123</f>
        <v>7.70295046739388</v>
      </c>
      <c r="D124" s="45" t="s">
        <v>18</v>
      </c>
      <c r="F124" s="27"/>
      <c r="G124" s="28"/>
      <c r="H124" s="28"/>
      <c r="I124" s="27"/>
    </row>
    <row r="125" spans="1:9" ht="15">
      <c r="A125" s="61" t="s">
        <v>429</v>
      </c>
      <c r="B125" s="57" t="s">
        <v>165</v>
      </c>
      <c r="C125" s="63">
        <v>220</v>
      </c>
      <c r="D125" s="62" t="s">
        <v>12</v>
      </c>
      <c r="F125" s="27"/>
      <c r="G125" s="28"/>
      <c r="H125" s="28"/>
      <c r="I125" s="27"/>
    </row>
    <row r="126" spans="1:9" ht="15.75" thickBot="1">
      <c r="A126" s="56" t="s">
        <v>430</v>
      </c>
      <c r="B126" s="64" t="s">
        <v>166</v>
      </c>
      <c r="C126" s="65">
        <f>data!F276</f>
        <v>819.9999999999999</v>
      </c>
      <c r="D126" s="66" t="str">
        <f>data!G276</f>
        <v>pF</v>
      </c>
      <c r="F126" s="27"/>
      <c r="G126" s="28"/>
      <c r="H126" s="28"/>
      <c r="I126" s="27"/>
    </row>
    <row r="127" spans="1:9" ht="12.75">
      <c r="A127" s="204"/>
      <c r="B127" s="204"/>
      <c r="C127" s="204"/>
      <c r="D127" s="204"/>
      <c r="F127" s="27"/>
      <c r="G127" s="28"/>
      <c r="H127" s="28"/>
      <c r="I127" s="27"/>
    </row>
    <row r="128" spans="1:9" ht="13.5" thickBot="1">
      <c r="A128" s="205"/>
      <c r="B128" s="205"/>
      <c r="C128" s="205"/>
      <c r="D128" s="205"/>
      <c r="F128" s="27"/>
      <c r="G128" s="28"/>
      <c r="H128" s="28"/>
      <c r="I128" s="27"/>
    </row>
    <row r="129" spans="1:9" ht="15">
      <c r="A129" s="201" t="s">
        <v>103</v>
      </c>
      <c r="B129" s="202"/>
      <c r="C129" s="202"/>
      <c r="D129" s="203"/>
      <c r="F129" s="27"/>
      <c r="G129" s="28"/>
      <c r="H129" s="28"/>
      <c r="I129" s="27"/>
    </row>
    <row r="130" spans="1:9" ht="15">
      <c r="A130" s="43" t="s">
        <v>105</v>
      </c>
      <c r="B130" s="44" t="s">
        <v>106</v>
      </c>
      <c r="C130" s="86">
        <v>320</v>
      </c>
      <c r="D130" s="45" t="s">
        <v>11</v>
      </c>
      <c r="E130" s="158">
        <f>IF(Vout_holdup&gt;Vout,"ENTER A LOWER VALUE FOR THE MINIMUM HOLDUP VOLTAGE","")</f>
      </c>
      <c r="F130" s="27"/>
      <c r="G130" s="28"/>
      <c r="H130" s="28"/>
      <c r="I130" s="27"/>
    </row>
    <row r="131" spans="1:9" ht="15">
      <c r="A131" s="43" t="s">
        <v>189</v>
      </c>
      <c r="B131" s="44" t="s">
        <v>190</v>
      </c>
      <c r="C131" s="86">
        <v>1</v>
      </c>
      <c r="D131" s="45"/>
      <c r="F131" s="27"/>
      <c r="G131" s="28"/>
      <c r="H131" s="28"/>
      <c r="I131" s="27"/>
    </row>
    <row r="132" spans="1:9" ht="15">
      <c r="A132" s="76" t="s">
        <v>404</v>
      </c>
      <c r="B132" s="44" t="s">
        <v>191</v>
      </c>
      <c r="C132" s="46">
        <f>Nholdup*((1/fline_min)/ms)</f>
        <v>20</v>
      </c>
      <c r="D132" s="45" t="s">
        <v>104</v>
      </c>
      <c r="F132" s="27"/>
      <c r="G132" s="28"/>
      <c r="H132" s="28"/>
      <c r="I132" s="27"/>
    </row>
    <row r="133" spans="1:9" ht="15">
      <c r="A133" s="76" t="s">
        <v>230</v>
      </c>
      <c r="B133" s="51" t="s">
        <v>399</v>
      </c>
      <c r="C133" s="46">
        <f>data!F236</f>
        <v>1500</v>
      </c>
      <c r="D133" s="52" t="str">
        <f>data!G236</f>
        <v>µF</v>
      </c>
      <c r="F133" s="27"/>
      <c r="G133" s="28"/>
      <c r="H133" s="28"/>
      <c r="I133" s="27"/>
    </row>
    <row r="134" spans="1:9" ht="30.75" customHeight="1">
      <c r="A134" s="61" t="s">
        <v>115</v>
      </c>
      <c r="B134" s="57" t="s">
        <v>398</v>
      </c>
      <c r="C134" s="109">
        <v>1500</v>
      </c>
      <c r="D134" s="59" t="str">
        <f>data!G236</f>
        <v>µF</v>
      </c>
      <c r="E134" s="157">
        <f>IF(Cout&lt;C133,"INCREASE OUTPUT CAPACITANCE TO AT LEAST MINIMUM RECOMMENDED VALUE","")</f>
      </c>
      <c r="F134" s="27"/>
      <c r="G134" s="28"/>
      <c r="H134" s="28"/>
      <c r="I134" s="27"/>
    </row>
    <row r="135" spans="1:9" ht="15">
      <c r="A135" s="43" t="s">
        <v>107</v>
      </c>
      <c r="B135" s="44" t="s">
        <v>108</v>
      </c>
      <c r="C135" s="46">
        <f>Iout/(PI()*2*2*fline_min*Cout*uF)</f>
        <v>4.271691113288966</v>
      </c>
      <c r="D135" s="45" t="s">
        <v>11</v>
      </c>
      <c r="F135" s="27"/>
      <c r="G135" s="28"/>
      <c r="H135" s="28"/>
      <c r="I135" s="27"/>
    </row>
    <row r="136" spans="1:9" ht="12.75">
      <c r="A136" s="235" t="str">
        <f>IF(Vout_ripplepp&gt;=0.04*Vout,"OUTPUT CAPACITOR must be sized larger so OVP/UVD is not triggered","Good! Output voltage peak-peak ripple is less than 5% VOUT")</f>
        <v>Good! Output voltage peak-peak ripple is less than 5% VOUT</v>
      </c>
      <c r="B136" s="236"/>
      <c r="C136" s="236"/>
      <c r="D136" s="237"/>
      <c r="F136" s="27"/>
      <c r="G136" s="28"/>
      <c r="H136" s="28"/>
      <c r="I136" s="27"/>
    </row>
    <row r="137" spans="1:9" ht="15">
      <c r="A137" s="43" t="s">
        <v>113</v>
      </c>
      <c r="B137" s="44" t="s">
        <v>109</v>
      </c>
      <c r="C137" s="46">
        <f>Iout/SQRT(2)</f>
        <v>2.8467935346471394</v>
      </c>
      <c r="D137" s="45" t="s">
        <v>111</v>
      </c>
      <c r="F137" s="27"/>
      <c r="G137" s="28"/>
      <c r="H137" s="28"/>
      <c r="I137" s="27"/>
    </row>
    <row r="138" spans="1:9" ht="15">
      <c r="A138" s="43" t="s">
        <v>112</v>
      </c>
      <c r="B138" s="44" t="s">
        <v>110</v>
      </c>
      <c r="C138" s="46">
        <f>Iout*SQRT(((16*Vout)/(3*PI()*Vin_peak_min))-1.5)</f>
        <v>4.2719408896772055</v>
      </c>
      <c r="D138" s="45" t="s">
        <v>111</v>
      </c>
      <c r="F138" s="27"/>
      <c r="G138" s="28"/>
      <c r="H138" s="28"/>
      <c r="I138" s="27"/>
    </row>
    <row r="139" spans="1:9" ht="15.75" thickBot="1">
      <c r="A139" s="47" t="s">
        <v>152</v>
      </c>
      <c r="B139" s="48" t="s">
        <v>114</v>
      </c>
      <c r="C139" s="49">
        <f>SQRT((Icout_2fline^2)+(Icout_HF^2))</f>
        <v>5.133586698771613</v>
      </c>
      <c r="D139" s="50" t="s">
        <v>111</v>
      </c>
      <c r="F139" s="27"/>
      <c r="G139" s="28"/>
      <c r="H139" s="28"/>
      <c r="I139" s="27"/>
    </row>
    <row r="140" spans="1:9" ht="12.75">
      <c r="A140" s="204">
        <f>IF(Vout_ripplepp&gt;0.04*Vout,"OUTPUT CAPACITOR MUST BE INCREASED TO PREVENT OVP DURING NORMAL OPERATING RANGE","")</f>
      </c>
      <c r="B140" s="204"/>
      <c r="C140" s="204"/>
      <c r="D140" s="204"/>
      <c r="F140" s="27"/>
      <c r="G140" s="28"/>
      <c r="H140" s="28"/>
      <c r="I140" s="27"/>
    </row>
    <row r="141" spans="1:9" ht="13.5" thickBot="1">
      <c r="A141" s="205"/>
      <c r="B141" s="205"/>
      <c r="C141" s="205"/>
      <c r="D141" s="205"/>
      <c r="F141" s="27"/>
      <c r="G141" s="28"/>
      <c r="H141" s="28"/>
      <c r="I141" s="27"/>
    </row>
    <row r="142" spans="1:9" ht="15">
      <c r="A142" s="201" t="s">
        <v>122</v>
      </c>
      <c r="B142" s="202"/>
      <c r="C142" s="202"/>
      <c r="D142" s="203"/>
      <c r="F142" s="27"/>
      <c r="G142" s="28"/>
      <c r="H142" s="28"/>
      <c r="I142" s="27"/>
    </row>
    <row r="143" spans="1:9" ht="15">
      <c r="A143" s="51" t="s">
        <v>116</v>
      </c>
      <c r="B143" s="51" t="s">
        <v>400</v>
      </c>
      <c r="C143" s="60">
        <v>1</v>
      </c>
      <c r="D143" s="52" t="s">
        <v>117</v>
      </c>
      <c r="F143" s="27"/>
      <c r="G143" s="28"/>
      <c r="H143" s="28"/>
      <c r="I143" s="27"/>
    </row>
    <row r="144" spans="1:9" ht="15">
      <c r="A144" s="57" t="s">
        <v>118</v>
      </c>
      <c r="B144" s="57" t="s">
        <v>401</v>
      </c>
      <c r="C144" s="104">
        <v>0.99</v>
      </c>
      <c r="D144" s="59" t="s">
        <v>174</v>
      </c>
      <c r="E144" s="158">
        <f>IF(R_fb1&lt;0.953,"RECOMMENDED VALUE IS GREATER THAN OR EQUAL TO 1M","")</f>
      </c>
      <c r="F144" s="27"/>
      <c r="G144" s="28"/>
      <c r="H144" s="28"/>
      <c r="I144" s="27"/>
    </row>
    <row r="145" spans="1:4" ht="15">
      <c r="A145" s="51" t="s">
        <v>319</v>
      </c>
      <c r="B145" s="51" t="s">
        <v>402</v>
      </c>
      <c r="C145" s="46">
        <f>data!F242</f>
        <v>13.3</v>
      </c>
      <c r="D145" s="52" t="s">
        <v>119</v>
      </c>
    </row>
    <row r="146" spans="1:9" ht="15">
      <c r="A146" s="57" t="s">
        <v>239</v>
      </c>
      <c r="B146" s="57" t="s">
        <v>403</v>
      </c>
      <c r="C146" s="110">
        <v>13</v>
      </c>
      <c r="D146" s="59" t="s">
        <v>173</v>
      </c>
      <c r="F146" s="27"/>
      <c r="G146" s="28"/>
      <c r="H146" s="28"/>
      <c r="I146" s="27"/>
    </row>
    <row r="147" spans="1:9" ht="31.5" customHeight="1">
      <c r="A147" s="57" t="s">
        <v>120</v>
      </c>
      <c r="B147" s="57" t="s">
        <v>351</v>
      </c>
      <c r="C147" s="58">
        <f>VREF*((R_fb1*MegOhm)+(R_fb2*kOhms))/(R_fb2*kOhms)</f>
        <v>385.7692307692308</v>
      </c>
      <c r="D147" s="59" t="s">
        <v>11</v>
      </c>
      <c r="E147" s="230">
        <f>IF(Vout_min&lt;Vin_peak_max,"DO NOT PROCEED WITHOUT ADJUSTING THE RESISTOR DIVIDER IN ORDER TO ACHIEVE THE DESIRED OUTPUT VOLTAGE",IF(Vout_nom&gt;1.1*Vout,"ADJUST BOTTOM DIVIDER RESISTOR FOR DESIRED OUTPUT VOLTAGE",""))</f>
      </c>
      <c r="F147" s="231"/>
      <c r="G147" s="28"/>
      <c r="H147" s="28"/>
      <c r="I147" s="27"/>
    </row>
    <row r="148" spans="1:9" ht="15">
      <c r="A148" s="94" t="s">
        <v>405</v>
      </c>
      <c r="B148" s="51" t="s">
        <v>352</v>
      </c>
      <c r="C148" s="46">
        <f>VREFmin*((R_fb1*MegOhm)+(R_fb2*kOhms))/(R_fb2*kOhms)</f>
        <v>380.36846153846153</v>
      </c>
      <c r="D148" s="45" t="s">
        <v>11</v>
      </c>
      <c r="F148" s="27"/>
      <c r="G148" s="28"/>
      <c r="H148" s="28"/>
      <c r="I148" s="27"/>
    </row>
    <row r="149" spans="1:9" ht="15">
      <c r="A149" s="94" t="s">
        <v>406</v>
      </c>
      <c r="B149" s="51" t="s">
        <v>353</v>
      </c>
      <c r="C149" s="46">
        <f>VREFmax*((R_fb1*MegOhm)+(R_fb2*kOhms))/(R_fb2*kOhms)</f>
        <v>391.17</v>
      </c>
      <c r="D149" s="45" t="s">
        <v>11</v>
      </c>
      <c r="F149" s="27"/>
      <c r="G149" s="28"/>
      <c r="H149" s="28"/>
      <c r="I149" s="27"/>
    </row>
    <row r="150" spans="1:9" ht="15">
      <c r="A150" s="51" t="s">
        <v>407</v>
      </c>
      <c r="B150" s="44" t="s">
        <v>123</v>
      </c>
      <c r="C150" s="46">
        <f>(VREF*1.09)*((R_fb1*MegOhm)+(R_fb2*kOhms))/(R_fb2*kOhms)</f>
        <v>420.48846153846154</v>
      </c>
      <c r="D150" s="45" t="s">
        <v>11</v>
      </c>
      <c r="F150" s="27"/>
      <c r="G150" s="28"/>
      <c r="H150" s="28"/>
      <c r="I150" s="27"/>
    </row>
    <row r="151" spans="1:9" ht="15">
      <c r="A151" s="51" t="s">
        <v>408</v>
      </c>
      <c r="B151" s="44" t="s">
        <v>198</v>
      </c>
      <c r="C151" s="46">
        <f>(VREF*0.95)*((R_fb1*MegOhm)+(R_fb2*kOhms))/(R_fb2*kOhms)</f>
        <v>366.4807692307692</v>
      </c>
      <c r="D151" s="45" t="s">
        <v>11</v>
      </c>
      <c r="F151" s="27"/>
      <c r="G151" s="28"/>
      <c r="H151" s="28"/>
      <c r="I151" s="27"/>
    </row>
    <row r="152" spans="1:9" ht="15">
      <c r="A152" s="61" t="s">
        <v>167</v>
      </c>
      <c r="B152" s="57" t="s">
        <v>168</v>
      </c>
      <c r="C152" s="58">
        <f>data!F245</f>
        <v>819.9999999999999</v>
      </c>
      <c r="D152" s="59" t="str">
        <f>data!G245</f>
        <v>pF</v>
      </c>
      <c r="F152" s="27"/>
      <c r="G152" s="28"/>
      <c r="H152" s="28"/>
      <c r="I152" s="27"/>
    </row>
    <row r="153" spans="1:9" ht="15.75" thickBot="1">
      <c r="A153" s="67" t="s">
        <v>187</v>
      </c>
      <c r="B153" s="68" t="s">
        <v>188</v>
      </c>
      <c r="C153" s="69">
        <f>(Vout_nom^2)/((R_fb1*MegOhm)+(R_fb2*kOhms))</f>
        <v>0.14837278106508875</v>
      </c>
      <c r="D153" s="70" t="s">
        <v>12</v>
      </c>
      <c r="F153" s="27"/>
      <c r="G153" s="28"/>
      <c r="H153" s="28"/>
      <c r="I153" s="27"/>
    </row>
    <row r="154" spans="1:9" ht="12.75">
      <c r="A154" s="198">
        <f>IF(Vout_min&lt;Vin_peak_max,"DO NOT PROCEED UNTIL RFB2 IS DECREASED SO MINIMUM OUTPUT VOLTAGE &gt; MAXIMUM RECTIFIED INPUT VOLTAGE","")</f>
      </c>
      <c r="B154" s="198"/>
      <c r="C154" s="198"/>
      <c r="D154" s="198"/>
      <c r="F154" s="27"/>
      <c r="G154" s="28"/>
      <c r="H154" s="28"/>
      <c r="I154" s="27"/>
    </row>
    <row r="155" spans="1:9" ht="13.5" thickBot="1">
      <c r="A155" s="199"/>
      <c r="B155" s="199"/>
      <c r="C155" s="199"/>
      <c r="D155" s="199"/>
      <c r="F155" s="27"/>
      <c r="G155" s="28"/>
      <c r="H155" s="28"/>
      <c r="I155" s="27"/>
    </row>
    <row r="156" spans="1:9" ht="15">
      <c r="A156" s="201" t="s">
        <v>129</v>
      </c>
      <c r="B156" s="202"/>
      <c r="C156" s="202"/>
      <c r="D156" s="203"/>
      <c r="F156" s="27"/>
      <c r="G156" s="28"/>
      <c r="H156" s="28"/>
      <c r="I156" s="27"/>
    </row>
    <row r="157" spans="6:9" ht="15.75" customHeight="1">
      <c r="F157" s="27"/>
      <c r="G157" s="28"/>
      <c r="H157" s="28"/>
      <c r="I157" s="27"/>
    </row>
    <row r="158" spans="1:9" ht="15" customHeight="1">
      <c r="A158" s="35"/>
      <c r="B158" s="1"/>
      <c r="C158" s="1"/>
      <c r="D158" s="34"/>
      <c r="F158" s="27"/>
      <c r="G158" s="28"/>
      <c r="H158" s="28"/>
      <c r="I158" s="27"/>
    </row>
    <row r="159" spans="1:9" ht="15" customHeight="1">
      <c r="A159" s="35"/>
      <c r="B159" s="1"/>
      <c r="C159" s="1"/>
      <c r="D159" s="34"/>
      <c r="F159" s="27"/>
      <c r="G159" s="28"/>
      <c r="H159" s="28"/>
      <c r="I159" s="27"/>
    </row>
    <row r="160" spans="1:9" ht="15" customHeight="1">
      <c r="A160" s="35"/>
      <c r="B160" s="1"/>
      <c r="C160" s="1"/>
      <c r="D160" s="34"/>
      <c r="F160" s="27"/>
      <c r="G160" s="28"/>
      <c r="H160" s="28"/>
      <c r="I160" s="27"/>
    </row>
    <row r="161" spans="1:9" ht="15" customHeight="1">
      <c r="A161" s="35"/>
      <c r="B161" s="1"/>
      <c r="C161" s="1"/>
      <c r="D161" s="34"/>
      <c r="F161" s="27"/>
      <c r="G161" s="28"/>
      <c r="H161" s="28"/>
      <c r="I161" s="27"/>
    </row>
    <row r="162" spans="1:9" ht="15" customHeight="1">
      <c r="A162" s="71"/>
      <c r="B162" s="72"/>
      <c r="C162" s="72"/>
      <c r="D162" s="73"/>
      <c r="F162" s="27"/>
      <c r="G162" s="28"/>
      <c r="H162" s="28"/>
      <c r="I162" s="27"/>
    </row>
    <row r="163" spans="1:9" ht="15" customHeight="1">
      <c r="A163" s="71"/>
      <c r="B163" s="72"/>
      <c r="C163" s="72"/>
      <c r="D163" s="73"/>
      <c r="F163" s="27"/>
      <c r="G163" s="28"/>
      <c r="H163" s="28"/>
      <c r="I163" s="27"/>
    </row>
    <row r="164" spans="1:9" ht="15" customHeight="1">
      <c r="A164" s="71"/>
      <c r="B164" s="72"/>
      <c r="C164" s="72"/>
      <c r="D164" s="73"/>
      <c r="F164" s="27"/>
      <c r="G164" s="28"/>
      <c r="H164" s="28"/>
      <c r="I164" s="27"/>
    </row>
    <row r="165" spans="1:9" ht="15" customHeight="1">
      <c r="A165" s="71"/>
      <c r="B165" s="72"/>
      <c r="C165" s="72"/>
      <c r="D165" s="73"/>
      <c r="F165" s="27"/>
      <c r="G165" s="28"/>
      <c r="H165" s="28"/>
      <c r="I165" s="27"/>
    </row>
    <row r="166" spans="1:9" ht="15" customHeight="1">
      <c r="A166" s="35"/>
      <c r="B166" s="1"/>
      <c r="C166" s="1"/>
      <c r="D166" s="34"/>
      <c r="F166" s="27"/>
      <c r="G166" s="28"/>
      <c r="H166" s="28"/>
      <c r="I166" s="27"/>
    </row>
    <row r="167" spans="1:9" ht="15" customHeight="1">
      <c r="A167" s="35"/>
      <c r="B167" s="1"/>
      <c r="C167" s="1"/>
      <c r="D167" s="34"/>
      <c r="F167" s="27"/>
      <c r="G167" s="28"/>
      <c r="H167" s="28"/>
      <c r="I167" s="27"/>
    </row>
    <row r="168" spans="1:9" ht="15" customHeight="1">
      <c r="A168" s="35"/>
      <c r="B168" s="1"/>
      <c r="C168" s="1"/>
      <c r="D168" s="34"/>
      <c r="F168" s="27"/>
      <c r="G168" s="28"/>
      <c r="H168" s="28"/>
      <c r="I168" s="27"/>
    </row>
    <row r="169" spans="1:9" ht="15" customHeight="1">
      <c r="A169" s="35"/>
      <c r="B169" s="1"/>
      <c r="C169" s="1"/>
      <c r="D169" s="34"/>
      <c r="F169" s="27"/>
      <c r="G169" s="28"/>
      <c r="H169" s="28"/>
      <c r="I169" s="27"/>
    </row>
    <row r="170" spans="1:9" ht="15" customHeight="1">
      <c r="A170" s="71"/>
      <c r="B170" s="72"/>
      <c r="C170" s="72"/>
      <c r="D170" s="74"/>
      <c r="F170" s="27"/>
      <c r="G170" s="28"/>
      <c r="H170" s="28"/>
      <c r="I170" s="27"/>
    </row>
    <row r="171" spans="1:9" ht="15" customHeight="1">
      <c r="A171" s="71"/>
      <c r="B171" s="72"/>
      <c r="C171" s="72"/>
      <c r="D171" s="74"/>
      <c r="F171" s="27"/>
      <c r="G171" s="28"/>
      <c r="H171" s="28"/>
      <c r="I171" s="27"/>
    </row>
    <row r="172" spans="1:9" ht="15" customHeight="1">
      <c r="A172" s="71"/>
      <c r="B172" s="72"/>
      <c r="C172" s="72"/>
      <c r="D172" s="74"/>
      <c r="F172" s="27"/>
      <c r="G172" s="28"/>
      <c r="H172" s="28"/>
      <c r="I172" s="27"/>
    </row>
    <row r="173" spans="1:9" ht="15" customHeight="1">
      <c r="A173" s="71"/>
      <c r="B173" s="72"/>
      <c r="C173" s="72"/>
      <c r="D173" s="74"/>
      <c r="F173" s="27"/>
      <c r="G173" s="28"/>
      <c r="H173" s="28"/>
      <c r="I173" s="27"/>
    </row>
    <row r="174" spans="1:9" ht="15" customHeight="1">
      <c r="A174" s="71"/>
      <c r="B174" s="72"/>
      <c r="C174" s="72"/>
      <c r="D174" s="74"/>
      <c r="F174" s="27"/>
      <c r="G174" s="28"/>
      <c r="H174" s="28"/>
      <c r="I174" s="27"/>
    </row>
    <row r="175" spans="1:9" ht="15" customHeight="1">
      <c r="A175" s="71"/>
      <c r="B175" s="72"/>
      <c r="C175" s="72"/>
      <c r="D175" s="74"/>
      <c r="F175" s="27"/>
      <c r="G175" s="28"/>
      <c r="H175" s="28"/>
      <c r="I175" s="27"/>
    </row>
    <row r="176" spans="1:9" ht="15" customHeight="1">
      <c r="A176" s="71"/>
      <c r="B176" s="72"/>
      <c r="C176" s="72"/>
      <c r="D176" s="74"/>
      <c r="F176" s="27"/>
      <c r="G176" s="28"/>
      <c r="H176" s="28"/>
      <c r="I176" s="27"/>
    </row>
    <row r="177" spans="1:9" ht="15" customHeight="1">
      <c r="A177" s="71"/>
      <c r="B177" s="72"/>
      <c r="C177" s="72"/>
      <c r="D177" s="74"/>
      <c r="F177" s="27"/>
      <c r="G177" s="28"/>
      <c r="H177" s="28"/>
      <c r="I177" s="27"/>
    </row>
    <row r="178" spans="1:9" ht="15" customHeight="1">
      <c r="A178" s="71"/>
      <c r="B178" s="72"/>
      <c r="C178" s="72"/>
      <c r="D178" s="74"/>
      <c r="F178" s="27"/>
      <c r="G178" s="28"/>
      <c r="H178" s="28"/>
      <c r="I178" s="27"/>
    </row>
    <row r="179" spans="1:9" ht="15" customHeight="1">
      <c r="A179" s="71"/>
      <c r="B179" s="72"/>
      <c r="C179" s="72"/>
      <c r="D179" s="74"/>
      <c r="F179" s="27"/>
      <c r="G179" s="28"/>
      <c r="H179" s="28"/>
      <c r="I179" s="27"/>
    </row>
    <row r="180" spans="1:20" ht="45" customHeight="1">
      <c r="A180" s="232" t="s">
        <v>487</v>
      </c>
      <c r="B180" s="233"/>
      <c r="C180" s="233"/>
      <c r="D180" s="234"/>
      <c r="F180" s="242" t="s">
        <v>486</v>
      </c>
      <c r="G180" s="242"/>
      <c r="H180" s="242"/>
      <c r="I180" s="242"/>
      <c r="J180" s="242"/>
      <c r="K180" s="242"/>
      <c r="L180" s="242"/>
      <c r="O180" s="121"/>
      <c r="P180" s="121"/>
      <c r="Q180" s="121"/>
      <c r="R180" s="121"/>
      <c r="S180" s="121"/>
      <c r="T180" s="121"/>
    </row>
    <row r="181" spans="1:14" ht="15" customHeight="1">
      <c r="A181" s="116" t="s">
        <v>489</v>
      </c>
      <c r="B181" s="89" t="s">
        <v>274</v>
      </c>
      <c r="C181" s="159">
        <v>220</v>
      </c>
      <c r="D181" s="115" t="s">
        <v>11</v>
      </c>
      <c r="G181" s="240" t="s">
        <v>470</v>
      </c>
      <c r="H181" s="241"/>
      <c r="I181" s="118" t="s">
        <v>465</v>
      </c>
      <c r="J181" s="160">
        <v>220</v>
      </c>
      <c r="K181" s="45" t="s">
        <v>124</v>
      </c>
      <c r="N181" s="32"/>
    </row>
    <row r="182" spans="1:11" ht="15" customHeight="1">
      <c r="A182" s="226" t="s">
        <v>149</v>
      </c>
      <c r="B182" s="227"/>
      <c r="C182" s="227"/>
      <c r="D182" s="228"/>
      <c r="G182" s="238" t="s">
        <v>464</v>
      </c>
      <c r="H182" s="239"/>
      <c r="I182" s="119" t="s">
        <v>466</v>
      </c>
      <c r="J182" s="120">
        <f>VCOMP!B44</f>
        <v>2.2850199650443486</v>
      </c>
      <c r="K182" s="52" t="s">
        <v>11</v>
      </c>
    </row>
    <row r="183" spans="1:12" ht="15.75" customHeight="1">
      <c r="A183" s="43" t="s">
        <v>130</v>
      </c>
      <c r="B183" s="51" t="s">
        <v>248</v>
      </c>
      <c r="C183" s="46">
        <f>M1M2</f>
        <v>0.22669941673161698</v>
      </c>
      <c r="D183" s="75" t="s">
        <v>135</v>
      </c>
      <c r="F183" s="27"/>
      <c r="G183" s="238" t="s">
        <v>483</v>
      </c>
      <c r="H183" s="239"/>
      <c r="I183" s="119" t="s">
        <v>466</v>
      </c>
      <c r="J183" s="120">
        <f>VCOMP!B45</f>
        <v>5.008367842176743</v>
      </c>
      <c r="K183" s="52" t="s">
        <v>11</v>
      </c>
      <c r="L183" s="26">
        <f>IF(J183&gt;5.7,"DECREASE Rsense","")</f>
      </c>
    </row>
    <row r="184" spans="1:11" ht="15.75" customHeight="1">
      <c r="A184" s="61" t="s">
        <v>463</v>
      </c>
      <c r="B184" s="51" t="s">
        <v>132</v>
      </c>
      <c r="C184" s="101">
        <f>data!H69</f>
        <v>2.2850199650443486</v>
      </c>
      <c r="D184" s="75" t="s">
        <v>11</v>
      </c>
      <c r="F184" s="229" t="s">
        <v>488</v>
      </c>
      <c r="G184" s="229"/>
      <c r="H184" s="229"/>
      <c r="I184" s="229"/>
      <c r="J184" s="229"/>
      <c r="K184" s="229"/>
    </row>
    <row r="185" spans="1:11" ht="15">
      <c r="A185" s="76" t="s">
        <v>409</v>
      </c>
      <c r="B185" s="51" t="s">
        <v>133</v>
      </c>
      <c r="C185" s="77">
        <f>IF(Vcomp&lt;1,(0.068),IF(Vcomp&lt;2,(0.156*Vcomp-0.0088),IF(Vcomp&lt;4.5,(0.313*Vcomp-0.401),IF(Vcomp&lt;5,1.007,"VCOMP MUST BE &lt;5"))))</f>
        <v>0.3142112490588811</v>
      </c>
      <c r="D185" s="78"/>
      <c r="F185" s="229"/>
      <c r="G185" s="229"/>
      <c r="H185" s="229"/>
      <c r="I185" s="229"/>
      <c r="J185" s="229"/>
      <c r="K185" s="229"/>
    </row>
    <row r="186" spans="1:11" ht="15">
      <c r="A186" s="76" t="s">
        <v>410</v>
      </c>
      <c r="B186" s="51" t="s">
        <v>134</v>
      </c>
      <c r="C186" s="77">
        <f>IF(Vcomp&lt;=0.5,0,IF(Vcomp&lt;4.6,(((fsw*kHz)/ftyp)*0.1223*(Vcomp-0.5)^2),IF(Vcomp&lt;5,(((fsw*kHz)/ftyp)*2.056),"VCOMP MUST BE &lt;5")))</f>
        <v>0.7214872714157188</v>
      </c>
      <c r="D186" s="75" t="s">
        <v>135</v>
      </c>
      <c r="F186" s="27"/>
      <c r="G186" s="51" t="s">
        <v>471</v>
      </c>
      <c r="H186" s="122"/>
      <c r="I186" s="51" t="s">
        <v>472</v>
      </c>
      <c r="J186" s="104">
        <v>100</v>
      </c>
      <c r="K186" s="51" t="s">
        <v>473</v>
      </c>
    </row>
    <row r="187" spans="1:11" ht="15">
      <c r="A187" s="76" t="s">
        <v>411</v>
      </c>
      <c r="B187" s="44" t="s">
        <v>138</v>
      </c>
      <c r="C187" s="79">
        <f>IF(Vcomp&lt;0.5,(0),IF(Vcomp&lt;1,((fsw*kHz)/ftyp)*(0.0166328*Vcomp-0.0083164),IF(Vcomp&lt;2,((fsw*kHz)/ftyp)*(0.0572364*Vcomp^2-0.0596824*Vcomp+0.0155321),IF(Vcomp&lt;4.5,((fsw*kHz)/ftyp)*(0.1148397*Vcomp^2-0.1746444*Vcomp+0.058612275),IF(Vcomp&lt;4.6,((fsw*kHz)/ftyp)*(0.24631222*Vcomp-0.1231561),IF(Vcomp&lt;5,0,"VCOMP MUST BE &lt;5"))))))</f>
        <v>0.47982762368414983</v>
      </c>
      <c r="D187" s="75" t="s">
        <v>135</v>
      </c>
      <c r="E187" s="29"/>
      <c r="G187" s="44" t="s">
        <v>474</v>
      </c>
      <c r="H187" s="44"/>
      <c r="I187" s="44" t="s">
        <v>475</v>
      </c>
      <c r="J187" s="123">
        <f>VCOMP!E45</f>
        <v>2.2850199650443486</v>
      </c>
      <c r="K187" s="44" t="s">
        <v>11</v>
      </c>
    </row>
    <row r="188" spans="1:5" ht="15">
      <c r="A188" s="76" t="s">
        <v>412</v>
      </c>
      <c r="B188" s="51" t="s">
        <v>354</v>
      </c>
      <c r="C188" s="79">
        <f>data!F252</f>
        <v>2200</v>
      </c>
      <c r="D188" s="52" t="str">
        <f>data!G252</f>
        <v>pF</v>
      </c>
      <c r="E188" s="31"/>
    </row>
    <row r="189" spans="1:5" ht="15">
      <c r="A189" s="76" t="s">
        <v>413</v>
      </c>
      <c r="B189" s="51" t="s">
        <v>358</v>
      </c>
      <c r="C189" s="79">
        <f>data!F257</f>
        <v>1200</v>
      </c>
      <c r="D189" s="52" t="str">
        <f>data!G257</f>
        <v>pF</v>
      </c>
      <c r="E189" s="31"/>
    </row>
    <row r="190" spans="1:4" ht="15">
      <c r="A190" s="61" t="s">
        <v>140</v>
      </c>
      <c r="B190" s="57" t="s">
        <v>367</v>
      </c>
      <c r="C190" s="104">
        <v>1000</v>
      </c>
      <c r="D190" s="59" t="s">
        <v>82</v>
      </c>
    </row>
    <row r="191" spans="1:5" ht="15">
      <c r="A191" s="43" t="s">
        <v>162</v>
      </c>
      <c r="B191" s="51" t="s">
        <v>163</v>
      </c>
      <c r="C191" s="79">
        <f>((gmi*M_1)/(K_1*2*PI()*Cicomp*picoF))/kHz</f>
        <v>6.786837112808514</v>
      </c>
      <c r="D191" s="45" t="s">
        <v>139</v>
      </c>
      <c r="E191" s="26"/>
    </row>
    <row r="192" spans="1:4" ht="12.75">
      <c r="A192" s="35"/>
      <c r="B192" s="1"/>
      <c r="C192" s="1"/>
      <c r="D192" s="34"/>
    </row>
    <row r="193" spans="1:4" ht="12.75">
      <c r="A193" s="35"/>
      <c r="B193" s="1"/>
      <c r="C193" s="1"/>
      <c r="D193" s="34"/>
    </row>
    <row r="194" spans="1:4" ht="12.75">
      <c r="A194" s="36"/>
      <c r="B194" s="33"/>
      <c r="C194" s="33"/>
      <c r="D194" s="37"/>
    </row>
    <row r="195" spans="1:4" ht="12.75">
      <c r="A195" s="35"/>
      <c r="B195" s="1"/>
      <c r="C195" s="1"/>
      <c r="D195" s="34"/>
    </row>
    <row r="196" spans="1:4" ht="12.75">
      <c r="A196" s="35"/>
      <c r="B196" s="1"/>
      <c r="C196" s="1"/>
      <c r="D196" s="34"/>
    </row>
    <row r="197" spans="1:4" ht="12.75">
      <c r="A197" s="35"/>
      <c r="B197" s="1"/>
      <c r="C197" s="1"/>
      <c r="D197" s="34"/>
    </row>
    <row r="198" spans="1:4" ht="12.75">
      <c r="A198" s="35"/>
      <c r="B198" s="1"/>
      <c r="C198" s="1"/>
      <c r="D198" s="34"/>
    </row>
    <row r="199" spans="1:4" ht="12.75">
      <c r="A199" s="35"/>
      <c r="B199" s="1"/>
      <c r="C199" s="1"/>
      <c r="D199" s="34"/>
    </row>
    <row r="200" spans="1:4" ht="12.75">
      <c r="A200" s="35"/>
      <c r="B200" s="1"/>
      <c r="C200" s="1"/>
      <c r="D200" s="34"/>
    </row>
    <row r="201" spans="1:4" ht="12.75">
      <c r="A201" s="35"/>
      <c r="B201" s="1"/>
      <c r="C201" s="1"/>
      <c r="D201" s="34"/>
    </row>
    <row r="202" spans="1:4" ht="12.75">
      <c r="A202" s="35"/>
      <c r="B202" s="1"/>
      <c r="C202" s="1"/>
      <c r="D202" s="34"/>
    </row>
    <row r="203" spans="1:4" ht="12.75">
      <c r="A203" s="35"/>
      <c r="B203" s="1"/>
      <c r="C203" s="1"/>
      <c r="D203" s="34"/>
    </row>
    <row r="204" spans="1:4" ht="12.75">
      <c r="A204" s="35"/>
      <c r="B204" s="1"/>
      <c r="C204" s="1"/>
      <c r="D204" s="34"/>
    </row>
    <row r="205" spans="1:4" ht="12.75">
      <c r="A205" s="35"/>
      <c r="B205" s="1"/>
      <c r="C205" s="1"/>
      <c r="D205" s="34"/>
    </row>
    <row r="206" spans="1:4" ht="12.75">
      <c r="A206" s="35"/>
      <c r="B206" s="1"/>
      <c r="C206" s="1"/>
      <c r="D206" s="34"/>
    </row>
    <row r="207" spans="1:4" ht="12.75">
      <c r="A207" s="35"/>
      <c r="B207" s="1"/>
      <c r="C207" s="1"/>
      <c r="D207" s="34"/>
    </row>
    <row r="208" spans="1:4" ht="12.75">
      <c r="A208" s="35"/>
      <c r="B208" s="1"/>
      <c r="C208" s="1"/>
      <c r="D208" s="34"/>
    </row>
    <row r="209" spans="1:4" ht="12.75">
      <c r="A209" s="35"/>
      <c r="B209" s="1"/>
      <c r="C209" s="1"/>
      <c r="D209" s="34"/>
    </row>
    <row r="210" spans="1:4" ht="12.75">
      <c r="A210" s="35"/>
      <c r="B210" s="1"/>
      <c r="C210" s="1"/>
      <c r="D210" s="34"/>
    </row>
    <row r="211" spans="1:4" ht="12.75">
      <c r="A211" s="35"/>
      <c r="B211" s="1"/>
      <c r="C211" s="1"/>
      <c r="D211" s="34"/>
    </row>
    <row r="212" spans="1:4" ht="12.75">
      <c r="A212" s="35"/>
      <c r="B212" s="1"/>
      <c r="C212" s="1"/>
      <c r="D212" s="34"/>
    </row>
    <row r="213" spans="1:4" ht="12.75">
      <c r="A213" s="35"/>
      <c r="B213" s="1"/>
      <c r="C213" s="1"/>
      <c r="D213" s="34"/>
    </row>
    <row r="214" spans="1:4" ht="12.75">
      <c r="A214" s="35"/>
      <c r="B214" s="1"/>
      <c r="C214" s="1"/>
      <c r="D214" s="34"/>
    </row>
    <row r="215" spans="1:4" ht="12.75">
      <c r="A215" s="35"/>
      <c r="B215" s="1"/>
      <c r="C215" s="1"/>
      <c r="D215" s="34"/>
    </row>
    <row r="216" spans="1:4" ht="12.75">
      <c r="A216" s="35"/>
      <c r="B216" s="1"/>
      <c r="C216" s="1"/>
      <c r="D216" s="34"/>
    </row>
    <row r="217" spans="1:4" ht="12.75">
      <c r="A217" s="35"/>
      <c r="B217" s="1"/>
      <c r="C217" s="1"/>
      <c r="D217" s="34"/>
    </row>
    <row r="218" spans="1:4" ht="12.75">
      <c r="A218" s="35"/>
      <c r="B218" s="1"/>
      <c r="C218" s="1"/>
      <c r="D218" s="34"/>
    </row>
    <row r="219" spans="1:4" ht="12.75">
      <c r="A219" s="35"/>
      <c r="B219" s="1"/>
      <c r="C219" s="1"/>
      <c r="D219" s="34"/>
    </row>
    <row r="220" spans="1:4" ht="12.75">
      <c r="A220" s="35"/>
      <c r="B220" s="1"/>
      <c r="C220" s="1"/>
      <c r="D220" s="34"/>
    </row>
    <row r="221" spans="1:4" ht="12.75">
      <c r="A221" s="35"/>
      <c r="B221" s="1"/>
      <c r="C221" s="1"/>
      <c r="D221" s="34"/>
    </row>
    <row r="222" spans="1:4" ht="12.75">
      <c r="A222" s="35"/>
      <c r="B222" s="1"/>
      <c r="C222" s="1"/>
      <c r="D222" s="34"/>
    </row>
    <row r="223" spans="1:4" ht="12.75">
      <c r="A223" s="35"/>
      <c r="B223" s="1"/>
      <c r="C223" s="1"/>
      <c r="D223" s="34"/>
    </row>
    <row r="224" spans="1:4" ht="12.75">
      <c r="A224" s="35"/>
      <c r="B224" s="1"/>
      <c r="C224" s="1"/>
      <c r="D224" s="34"/>
    </row>
    <row r="225" spans="1:4" ht="12.75">
      <c r="A225" s="35"/>
      <c r="B225" s="1"/>
      <c r="C225" s="1"/>
      <c r="D225" s="34"/>
    </row>
    <row r="226" spans="1:4" ht="12.75">
      <c r="A226" s="35"/>
      <c r="B226" s="1"/>
      <c r="C226" s="1"/>
      <c r="D226" s="34"/>
    </row>
    <row r="227" spans="1:4" ht="12.75">
      <c r="A227" s="35"/>
      <c r="B227" s="1"/>
      <c r="C227" s="1"/>
      <c r="D227" s="34"/>
    </row>
    <row r="228" spans="1:4" ht="12.75">
      <c r="A228" s="35"/>
      <c r="B228" s="1"/>
      <c r="C228" s="1"/>
      <c r="D228" s="34"/>
    </row>
    <row r="229" spans="1:4" ht="12.75">
      <c r="A229" s="35"/>
      <c r="B229" s="1"/>
      <c r="C229" s="1"/>
      <c r="D229" s="34"/>
    </row>
    <row r="230" spans="1:4" ht="12.75">
      <c r="A230" s="35"/>
      <c r="B230" s="1"/>
      <c r="C230" s="1"/>
      <c r="D230" s="34"/>
    </row>
    <row r="231" spans="1:4" ht="12.75">
      <c r="A231" s="35"/>
      <c r="B231" s="1"/>
      <c r="C231" s="1"/>
      <c r="D231" s="34"/>
    </row>
    <row r="232" spans="1:4" ht="12.75">
      <c r="A232" s="35"/>
      <c r="B232" s="1"/>
      <c r="C232" s="1"/>
      <c r="D232" s="34"/>
    </row>
    <row r="233" spans="1:4" ht="12.75">
      <c r="A233" s="35"/>
      <c r="B233" s="1"/>
      <c r="C233" s="1"/>
      <c r="D233" s="34"/>
    </row>
    <row r="234" spans="1:4" ht="12.75">
      <c r="A234" s="35"/>
      <c r="B234" s="1"/>
      <c r="C234" s="1"/>
      <c r="D234" s="34"/>
    </row>
    <row r="235" spans="1:4" ht="12.75">
      <c r="A235" s="35"/>
      <c r="B235" s="1"/>
      <c r="C235" s="1"/>
      <c r="D235" s="34"/>
    </row>
    <row r="236" spans="1:4" ht="12.75">
      <c r="A236" s="35"/>
      <c r="B236" s="1"/>
      <c r="C236" s="1"/>
      <c r="D236" s="34"/>
    </row>
    <row r="237" spans="1:4" ht="12.75">
      <c r="A237" s="35"/>
      <c r="B237" s="1"/>
      <c r="C237" s="1"/>
      <c r="D237" s="34"/>
    </row>
    <row r="238" spans="1:4" ht="12.75">
      <c r="A238" s="35"/>
      <c r="B238" s="1"/>
      <c r="C238" s="1"/>
      <c r="D238" s="34"/>
    </row>
    <row r="239" spans="1:4" ht="12.75">
      <c r="A239" s="35"/>
      <c r="B239" s="1"/>
      <c r="C239" s="1"/>
      <c r="D239" s="34"/>
    </row>
    <row r="240" spans="1:4" ht="12.75">
      <c r="A240" s="35"/>
      <c r="B240" s="1"/>
      <c r="C240" s="1"/>
      <c r="D240" s="34"/>
    </row>
    <row r="241" spans="1:4" ht="12.75">
      <c r="A241" s="35"/>
      <c r="B241" s="1"/>
      <c r="C241" s="1"/>
      <c r="D241" s="34"/>
    </row>
    <row r="242" spans="1:4" ht="12.75">
      <c r="A242" s="35"/>
      <c r="B242" s="1"/>
      <c r="C242" s="1"/>
      <c r="D242" s="34"/>
    </row>
    <row r="243" spans="1:4" ht="12.75">
      <c r="A243" s="35"/>
      <c r="B243" s="1"/>
      <c r="C243" s="1"/>
      <c r="D243" s="34"/>
    </row>
    <row r="244" spans="1:4" ht="12.75">
      <c r="A244" s="35"/>
      <c r="B244" s="1"/>
      <c r="C244" s="1"/>
      <c r="D244" s="34"/>
    </row>
    <row r="245" spans="1:4" ht="12.75">
      <c r="A245" s="35"/>
      <c r="B245" s="1"/>
      <c r="C245" s="1"/>
      <c r="D245" s="34"/>
    </row>
    <row r="246" spans="1:4" ht="12.75">
      <c r="A246" s="35"/>
      <c r="B246" s="1"/>
      <c r="C246" s="1"/>
      <c r="D246" s="34"/>
    </row>
    <row r="247" spans="1:4" ht="12.75">
      <c r="A247" s="35"/>
      <c r="B247" s="1"/>
      <c r="C247" s="1"/>
      <c r="D247" s="34"/>
    </row>
    <row r="248" spans="1:4" ht="12.75">
      <c r="A248" s="35"/>
      <c r="B248" s="1"/>
      <c r="C248" s="1"/>
      <c r="D248" s="34"/>
    </row>
    <row r="249" spans="1:4" ht="12.75">
      <c r="A249" s="35"/>
      <c r="B249" s="1"/>
      <c r="C249" s="1"/>
      <c r="D249" s="34"/>
    </row>
    <row r="250" spans="1:4" ht="12.75">
      <c r="A250" s="35"/>
      <c r="B250" s="1"/>
      <c r="C250" s="1"/>
      <c r="D250" s="34"/>
    </row>
    <row r="251" spans="1:4" ht="12.75">
      <c r="A251" s="35"/>
      <c r="B251" s="1"/>
      <c r="C251" s="1"/>
      <c r="D251" s="34"/>
    </row>
    <row r="252" spans="1:4" ht="12.75">
      <c r="A252" s="35"/>
      <c r="B252" s="1"/>
      <c r="C252" s="1"/>
      <c r="D252" s="34"/>
    </row>
    <row r="253" spans="1:4" ht="12.75">
      <c r="A253" s="35"/>
      <c r="B253" s="1"/>
      <c r="C253" s="1"/>
      <c r="D253" s="34"/>
    </row>
    <row r="254" spans="1:4" ht="12.75">
      <c r="A254" s="35"/>
      <c r="B254" s="1"/>
      <c r="C254" s="1"/>
      <c r="D254" s="34"/>
    </row>
    <row r="255" spans="1:4" ht="12.75">
      <c r="A255" s="35"/>
      <c r="B255" s="1"/>
      <c r="C255" s="1"/>
      <c r="D255" s="34"/>
    </row>
    <row r="256" spans="1:4" ht="13.5" customHeight="1">
      <c r="A256" s="223" t="s">
        <v>148</v>
      </c>
      <c r="B256" s="224"/>
      <c r="C256" s="224"/>
      <c r="D256" s="225"/>
    </row>
    <row r="257" spans="1:4" ht="15">
      <c r="A257" s="43" t="s">
        <v>150</v>
      </c>
      <c r="B257" s="44" t="s">
        <v>151</v>
      </c>
      <c r="C257" s="46">
        <f>1/((2*PI()*K_1*2.5*Rsense*(Vout_nom^3)*(Cout*uF))/(K_FQ*(M1M2/us)*(Vacin_nom^2)))</f>
        <v>1.1602366219527411</v>
      </c>
      <c r="D257" s="45" t="s">
        <v>5</v>
      </c>
    </row>
    <row r="258" spans="1:4" ht="15">
      <c r="A258" s="61" t="s">
        <v>374</v>
      </c>
      <c r="B258" s="57" t="s">
        <v>375</v>
      </c>
      <c r="C258" s="104">
        <v>10</v>
      </c>
      <c r="D258" s="59" t="s">
        <v>5</v>
      </c>
    </row>
    <row r="259" spans="1:5" ht="15">
      <c r="A259" s="43" t="s">
        <v>160</v>
      </c>
      <c r="B259" s="44" t="s">
        <v>161</v>
      </c>
      <c r="C259" s="77">
        <f>20*LOG(IMABS(IMPRODUCT((R_fb2*kOhms)/((R_fb1*MegOhm)+(R_fb2*kOhms)),IMDIV((M_3*Vout_nom)/(M1M2),COMPLEX(1,(2*PI()*fv)/(2*PI()*fPWM_PSpole))))))</f>
        <v>1.724955846962949</v>
      </c>
      <c r="D259" s="45" t="s">
        <v>157</v>
      </c>
      <c r="E259" s="26">
        <f>IF(fv&gt;20,"SET CROSSOVER FREQUENCY TO LESS THAN 20Hz","")</f>
      </c>
    </row>
    <row r="260" spans="1:4" ht="15">
      <c r="A260" s="76" t="s">
        <v>169</v>
      </c>
      <c r="B260" s="51" t="s">
        <v>371</v>
      </c>
      <c r="C260" s="103">
        <f>data!F262</f>
        <v>10</v>
      </c>
      <c r="D260" s="52" t="str">
        <f>data!G262</f>
        <v>µF</v>
      </c>
    </row>
    <row r="261" spans="1:4" ht="15">
      <c r="A261" s="61" t="s">
        <v>372</v>
      </c>
      <c r="B261" s="57" t="s">
        <v>373</v>
      </c>
      <c r="C261" s="104">
        <v>8.5</v>
      </c>
      <c r="D261" s="62" t="s">
        <v>369</v>
      </c>
    </row>
    <row r="262" spans="1:5" ht="15">
      <c r="A262" s="76" t="s">
        <v>175</v>
      </c>
      <c r="B262" s="51" t="s">
        <v>376</v>
      </c>
      <c r="C262" s="103">
        <f>data!F267</f>
        <v>16.2</v>
      </c>
      <c r="D262" s="52" t="s">
        <v>119</v>
      </c>
      <c r="E262" s="26"/>
    </row>
    <row r="263" spans="1:4" ht="15">
      <c r="A263" s="61" t="s">
        <v>377</v>
      </c>
      <c r="B263" s="57" t="s">
        <v>378</v>
      </c>
      <c r="C263" s="104">
        <v>12</v>
      </c>
      <c r="D263" s="59" t="s">
        <v>173</v>
      </c>
    </row>
    <row r="264" spans="1:5" ht="15">
      <c r="A264" s="43" t="s">
        <v>176</v>
      </c>
      <c r="B264" s="44" t="s">
        <v>177</v>
      </c>
      <c r="C264" s="77">
        <f>1/(2*PI()*(Rvcomp*kOhms)*(Cvcomp*uF))</f>
        <v>1.5603425793323074</v>
      </c>
      <c r="D264" s="45" t="s">
        <v>5</v>
      </c>
      <c r="E264" s="26" t="str">
        <f>IF(Rvcomp&gt;1.1*C262,"USE A SMALLER VALUE FOR VCOMP RESISTOR",IF(Rvcomp&lt;0.9*C262,"USE A LARGER VALUE FOR VCOMP RESISTOR",""))</f>
        <v>USE A LARGER VALUE FOR VCOMP RESISTOR</v>
      </c>
    </row>
    <row r="265" spans="1:4" ht="15">
      <c r="A265" s="61" t="s">
        <v>414</v>
      </c>
      <c r="B265" s="57" t="s">
        <v>379</v>
      </c>
      <c r="C265" s="104">
        <v>30</v>
      </c>
      <c r="D265" s="59" t="s">
        <v>5</v>
      </c>
    </row>
    <row r="266" spans="1:5" ht="15">
      <c r="A266" s="76" t="s">
        <v>178</v>
      </c>
      <c r="B266" s="51" t="s">
        <v>370</v>
      </c>
      <c r="C266" s="80">
        <f>data!F271</f>
        <v>0.47</v>
      </c>
      <c r="D266" s="52" t="str">
        <f>data!G271</f>
        <v>µF</v>
      </c>
      <c r="E266" s="26">
        <f>IF(fpole&gt;50,"POLE MUST BE &lt; 50Hz","")</f>
      </c>
    </row>
    <row r="267" spans="1:5" ht="15">
      <c r="A267" s="61" t="s">
        <v>181</v>
      </c>
      <c r="B267" s="57" t="s">
        <v>368</v>
      </c>
      <c r="C267" s="86">
        <v>0.47</v>
      </c>
      <c r="D267" s="62" t="s">
        <v>369</v>
      </c>
      <c r="E267" s="26">
        <f>IF(Cvcomp_p&lt;C266*0.75,"USE LARGER PARALLEL CAPACITOR ON VCOMP",IF(Cvcomp_p&gt;1.25*C266,"USE SMALLER PARALLEL CAPACITOR ON VCOMP",""))</f>
      </c>
    </row>
    <row r="268" spans="1:4" ht="12.75">
      <c r="A268" s="35"/>
      <c r="B268" s="1"/>
      <c r="C268" s="1"/>
      <c r="D268" s="34"/>
    </row>
    <row r="269" spans="1:4" ht="12.75">
      <c r="A269" s="35"/>
      <c r="B269" s="1"/>
      <c r="C269" s="1"/>
      <c r="D269" s="34"/>
    </row>
    <row r="270" spans="1:4" ht="12.75">
      <c r="A270" s="35"/>
      <c r="B270" s="1"/>
      <c r="C270" s="1"/>
      <c r="D270" s="34"/>
    </row>
    <row r="271" spans="1:4" ht="12.75">
      <c r="A271" s="35"/>
      <c r="B271" s="1"/>
      <c r="C271" s="1"/>
      <c r="D271" s="34"/>
    </row>
    <row r="272" spans="1:4" ht="12.75">
      <c r="A272" s="35"/>
      <c r="B272" s="1"/>
      <c r="C272" s="1"/>
      <c r="D272" s="34"/>
    </row>
    <row r="273" spans="1:4" ht="12.75">
      <c r="A273" s="35"/>
      <c r="B273" s="1"/>
      <c r="C273" s="1"/>
      <c r="D273" s="34"/>
    </row>
    <row r="274" spans="1:4" ht="12.75">
      <c r="A274" s="35"/>
      <c r="B274" s="1"/>
      <c r="C274" s="1"/>
      <c r="D274" s="34"/>
    </row>
    <row r="275" spans="1:4" ht="12.75">
      <c r="A275" s="35"/>
      <c r="B275" s="1"/>
      <c r="C275" s="1"/>
      <c r="D275" s="34"/>
    </row>
    <row r="276" spans="1:4" ht="12.75">
      <c r="A276" s="35"/>
      <c r="B276" s="1"/>
      <c r="C276" s="1"/>
      <c r="D276" s="34"/>
    </row>
    <row r="277" spans="1:4" ht="12.75">
      <c r="A277" s="35"/>
      <c r="B277" s="1"/>
      <c r="C277" s="1"/>
      <c r="D277" s="34"/>
    </row>
    <row r="278" spans="1:4" ht="12.75">
      <c r="A278" s="35"/>
      <c r="B278" s="1"/>
      <c r="C278" s="1"/>
      <c r="D278" s="34"/>
    </row>
    <row r="279" spans="1:4" ht="12.75">
      <c r="A279" s="35"/>
      <c r="B279" s="1"/>
      <c r="C279" s="1"/>
      <c r="D279" s="34"/>
    </row>
    <row r="280" spans="1:4" ht="12.75">
      <c r="A280" s="35"/>
      <c r="B280" s="1"/>
      <c r="C280" s="1"/>
      <c r="D280" s="34"/>
    </row>
    <row r="281" spans="1:4" ht="12.75">
      <c r="A281" s="35"/>
      <c r="B281" s="1"/>
      <c r="C281" s="1"/>
      <c r="D281" s="34"/>
    </row>
    <row r="282" spans="1:4" ht="12.75">
      <c r="A282" s="35"/>
      <c r="B282" s="1"/>
      <c r="C282" s="1"/>
      <c r="D282" s="34"/>
    </row>
    <row r="283" spans="1:4" ht="12.75">
      <c r="A283" s="35"/>
      <c r="B283" s="1"/>
      <c r="C283" s="1"/>
      <c r="D283" s="34"/>
    </row>
    <row r="284" spans="1:4" ht="12.75">
      <c r="A284" s="35"/>
      <c r="B284" s="1"/>
      <c r="C284" s="1"/>
      <c r="D284" s="34"/>
    </row>
    <row r="285" spans="1:4" ht="12.75">
      <c r="A285" s="35"/>
      <c r="B285" s="1"/>
      <c r="C285" s="81"/>
      <c r="D285" s="34"/>
    </row>
    <row r="286" spans="1:4" ht="12.75">
      <c r="A286" s="35"/>
      <c r="B286" s="1"/>
      <c r="C286" s="1"/>
      <c r="D286" s="34"/>
    </row>
    <row r="287" spans="1:4" ht="12.75">
      <c r="A287" s="35"/>
      <c r="B287" s="1"/>
      <c r="C287" s="1"/>
      <c r="D287" s="34"/>
    </row>
    <row r="288" spans="1:4" ht="12.75">
      <c r="A288" s="35"/>
      <c r="B288" s="1"/>
      <c r="C288" s="1"/>
      <c r="D288" s="34"/>
    </row>
    <row r="289" spans="1:4" ht="12.75">
      <c r="A289" s="35"/>
      <c r="B289" s="1"/>
      <c r="C289" s="1"/>
      <c r="D289" s="34"/>
    </row>
    <row r="290" spans="1:4" ht="12.75">
      <c r="A290" s="35"/>
      <c r="B290" s="1"/>
      <c r="C290" s="1"/>
      <c r="D290" s="34"/>
    </row>
    <row r="291" spans="1:4" ht="12.75">
      <c r="A291" s="35"/>
      <c r="B291" s="1"/>
      <c r="C291" s="1"/>
      <c r="D291" s="34"/>
    </row>
    <row r="292" spans="1:4" ht="12.75">
      <c r="A292" s="35"/>
      <c r="B292" s="1"/>
      <c r="C292" s="1"/>
      <c r="D292" s="34"/>
    </row>
    <row r="293" spans="1:4" ht="12.75">
      <c r="A293" s="35"/>
      <c r="B293" s="1"/>
      <c r="C293" s="1"/>
      <c r="D293" s="34"/>
    </row>
    <row r="294" spans="1:4" ht="12.75">
      <c r="A294" s="35"/>
      <c r="B294" s="1"/>
      <c r="C294" s="1"/>
      <c r="D294" s="34"/>
    </row>
    <row r="295" spans="1:4" ht="12.75">
      <c r="A295" s="35"/>
      <c r="B295" s="1"/>
      <c r="C295" s="1"/>
      <c r="D295" s="34"/>
    </row>
    <row r="296" spans="1:4" ht="12.75">
      <c r="A296" s="35"/>
      <c r="B296" s="1"/>
      <c r="C296" s="1"/>
      <c r="D296" s="34"/>
    </row>
    <row r="297" spans="1:4" ht="12.75">
      <c r="A297" s="35"/>
      <c r="B297" s="1"/>
      <c r="C297" s="1"/>
      <c r="D297" s="34"/>
    </row>
    <row r="298" spans="1:5" ht="12.75">
      <c r="A298" s="35"/>
      <c r="B298" s="1"/>
      <c r="C298" s="1"/>
      <c r="D298" s="34"/>
      <c r="E298" s="117"/>
    </row>
    <row r="299" spans="1:4" ht="12.75">
      <c r="A299" s="35"/>
      <c r="B299" s="1"/>
      <c r="C299" s="1"/>
      <c r="D299" s="34"/>
    </row>
    <row r="300" spans="1:4" ht="13.5" thickBot="1">
      <c r="A300" s="82"/>
      <c r="B300" s="83"/>
      <c r="C300" s="83"/>
      <c r="D300" s="84"/>
    </row>
    <row r="301" spans="1:4" ht="13.5" thickBot="1">
      <c r="A301" s="82"/>
      <c r="B301" s="83"/>
      <c r="C301" s="83"/>
      <c r="D301" s="84"/>
    </row>
    <row r="302" spans="1:4" ht="12.75">
      <c r="A302" s="23"/>
      <c r="B302" s="23"/>
      <c r="C302" s="23"/>
      <c r="D302" s="23"/>
    </row>
    <row r="303" s="23" customFormat="1" ht="12.75">
      <c r="A303" s="117"/>
    </row>
    <row r="304" s="23" customFormat="1" ht="12.75">
      <c r="A304" s="117"/>
    </row>
    <row r="305" s="23" customFormat="1" ht="12.75">
      <c r="A305" s="117"/>
    </row>
    <row r="306" s="23" customFormat="1" ht="12.75"/>
    <row r="307" s="23" customFormat="1" ht="12.75"/>
    <row r="308" s="23" customFormat="1" ht="12.75"/>
    <row r="309" s="23" customFormat="1" ht="12.75"/>
    <row r="310" s="23" customFormat="1" ht="12.75"/>
    <row r="311" s="23" customFormat="1" ht="12.75"/>
    <row r="312" s="23" customFormat="1" ht="12.75"/>
    <row r="313" s="23" customFormat="1" ht="12.75"/>
    <row r="314" s="23" customFormat="1" ht="12.75"/>
    <row r="315" spans="1:3" s="23" customFormat="1" ht="12.75">
      <c r="A315" s="32"/>
      <c r="C315" s="24"/>
    </row>
    <row r="317" spans="1:4" ht="12.75">
      <c r="A317" s="30"/>
      <c r="B317" s="30"/>
      <c r="C317" s="30"/>
      <c r="D317" s="30"/>
    </row>
    <row r="318" spans="1:4" ht="12.75">
      <c r="A318" s="30"/>
      <c r="B318" s="30"/>
      <c r="C318" s="30"/>
      <c r="D318" s="30"/>
    </row>
  </sheetData>
  <sheetProtection/>
  <mergeCells count="41">
    <mergeCell ref="G183:H183"/>
    <mergeCell ref="A156:D156"/>
    <mergeCell ref="G181:H181"/>
    <mergeCell ref="G182:H182"/>
    <mergeCell ref="F180:L180"/>
    <mergeCell ref="A256:D256"/>
    <mergeCell ref="A182:D182"/>
    <mergeCell ref="A52:D52"/>
    <mergeCell ref="A63:D63"/>
    <mergeCell ref="A113:D114"/>
    <mergeCell ref="F184:K185"/>
    <mergeCell ref="E147:F147"/>
    <mergeCell ref="A180:D180"/>
    <mergeCell ref="A136:D136"/>
    <mergeCell ref="A140:D141"/>
    <mergeCell ref="A83:D83"/>
    <mergeCell ref="A17:D17"/>
    <mergeCell ref="A73:D73"/>
    <mergeCell ref="A61:D62"/>
    <mergeCell ref="A50:D51"/>
    <mergeCell ref="A22:D22"/>
    <mergeCell ref="A1:D1"/>
    <mergeCell ref="A3:D3"/>
    <mergeCell ref="A31:D31"/>
    <mergeCell ref="C4:D4"/>
    <mergeCell ref="A5:D5"/>
    <mergeCell ref="A142:D142"/>
    <mergeCell ref="A29:D30"/>
    <mergeCell ref="A44:D44"/>
    <mergeCell ref="A96:D96"/>
    <mergeCell ref="A71:D72"/>
    <mergeCell ref="A18:D20"/>
    <mergeCell ref="A6:D6"/>
    <mergeCell ref="A7:D11"/>
    <mergeCell ref="A12:D16"/>
    <mergeCell ref="A154:D155"/>
    <mergeCell ref="A81:D82"/>
    <mergeCell ref="A115:D115"/>
    <mergeCell ref="A129:D129"/>
    <mergeCell ref="A127:D128"/>
    <mergeCell ref="A94:D95"/>
  </mergeCells>
  <printOptions/>
  <pageMargins left="0.75" right="0.75" top="1" bottom="1" header="0.5" footer="0.5"/>
  <pageSetup horizontalDpi="600" verticalDpi="600" orientation="portrait" r:id="rId2"/>
  <headerFooter alignWithMargins="0">
    <oddHeader>&amp;L&amp;F
&amp;D</oddHeader>
  </headerFooter>
  <drawing r:id="rId1"/>
</worksheet>
</file>

<file path=xl/worksheets/sheet2.xml><?xml version="1.0" encoding="utf-8"?>
<worksheet xmlns="http://schemas.openxmlformats.org/spreadsheetml/2006/main" xmlns:r="http://schemas.openxmlformats.org/officeDocument/2006/relationships">
  <dimension ref="A1:P103"/>
  <sheetViews>
    <sheetView zoomScale="70" zoomScaleNormal="70" zoomScalePageLayoutView="0" workbookViewId="0" topLeftCell="A1">
      <selection activeCell="A1" sqref="A1:IV16384"/>
    </sheetView>
  </sheetViews>
  <sheetFormatPr defaultColWidth="9.140625" defaultRowHeight="12.75"/>
  <cols>
    <col min="1" max="1" width="9.140625" style="3" customWidth="1"/>
    <col min="2" max="2" width="39.00390625" style="3" customWidth="1"/>
    <col min="3" max="3" width="44.57421875" style="3" customWidth="1"/>
    <col min="4" max="4" width="17.57421875" style="3" customWidth="1"/>
    <col min="5" max="5" width="66.57421875" style="3" customWidth="1"/>
    <col min="6" max="16384" width="9.140625" style="3" customWidth="1"/>
  </cols>
  <sheetData>
    <row r="1" spans="1:16" ht="21">
      <c r="A1" s="249" t="s">
        <v>415</v>
      </c>
      <c r="B1" s="249"/>
      <c r="C1" s="249"/>
      <c r="D1" s="249"/>
      <c r="E1" s="249"/>
      <c r="F1" s="249"/>
      <c r="G1" s="2"/>
      <c r="H1" s="2"/>
      <c r="I1" s="2"/>
      <c r="J1" s="2"/>
      <c r="K1" s="2"/>
      <c r="L1" s="2"/>
      <c r="M1" s="2"/>
      <c r="N1" s="2"/>
      <c r="O1" s="2"/>
      <c r="P1" s="2"/>
    </row>
    <row r="2" spans="1:7" ht="12.75" customHeight="1">
      <c r="A2" s="249"/>
      <c r="B2" s="249"/>
      <c r="C2" s="249"/>
      <c r="D2" s="249"/>
      <c r="E2" s="249"/>
      <c r="F2" s="249"/>
      <c r="G2" s="2"/>
    </row>
    <row r="3" ht="12.75"/>
    <row r="4" ht="12.75"/>
    <row r="5" ht="12.75"/>
    <row r="6" ht="12.75"/>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3.5" thickBot="1"/>
    <row r="38" spans="2:5" ht="17.25">
      <c r="B38" s="257" t="s">
        <v>423</v>
      </c>
      <c r="C38" s="258"/>
      <c r="D38" s="258"/>
      <c r="E38" s="259"/>
    </row>
    <row r="39" spans="2:5" ht="21" thickBot="1">
      <c r="B39" s="4" t="s">
        <v>199</v>
      </c>
      <c r="C39" s="255" t="s">
        <v>200</v>
      </c>
      <c r="D39" s="255"/>
      <c r="E39" s="256"/>
    </row>
    <row r="40" spans="2:5" ht="20.25">
      <c r="B40" s="243" t="s">
        <v>417</v>
      </c>
      <c r="C40" s="5" t="s">
        <v>215</v>
      </c>
      <c r="D40" s="245" t="s">
        <v>216</v>
      </c>
      <c r="E40" s="246"/>
    </row>
    <row r="41" spans="2:5" ht="20.25">
      <c r="B41" s="250"/>
      <c r="C41" s="6" t="s">
        <v>206</v>
      </c>
      <c r="D41" s="6">
        <f>IF(Vacin_max&lt;270,250,350)</f>
        <v>250</v>
      </c>
      <c r="E41" s="7" t="str">
        <f>'DESIGN INPUTS AND CALCULATIONS'!D24</f>
        <v>VRMS</v>
      </c>
    </row>
    <row r="42" spans="2:5" ht="21" thickBot="1">
      <c r="B42" s="244"/>
      <c r="C42" s="8" t="s">
        <v>222</v>
      </c>
      <c r="D42" s="9">
        <f>Ifuse</f>
        <v>14.50398251287579</v>
      </c>
      <c r="E42" s="10" t="str">
        <f>'DESIGN INPUTS AND CALCULATIONS'!D49</f>
        <v>A</v>
      </c>
    </row>
    <row r="43" spans="2:5" ht="20.25">
      <c r="B43" s="243" t="s">
        <v>418</v>
      </c>
      <c r="C43" s="5" t="s">
        <v>202</v>
      </c>
      <c r="D43" s="11">
        <f>Vrated</f>
        <v>398.24253916426363</v>
      </c>
      <c r="E43" s="12" t="str">
        <f>'DESIGN INPUTS AND CALCULATIONS'!D58</f>
        <v>V</v>
      </c>
    </row>
    <row r="44" spans="2:5" ht="20.25">
      <c r="B44" s="250"/>
      <c r="C44" s="6" t="s">
        <v>222</v>
      </c>
      <c r="D44" s="13">
        <f>Ibridge</f>
        <v>13.058172105599422</v>
      </c>
      <c r="E44" s="7" t="str">
        <f>'DESIGN INPUTS AND CALCULATIONS'!D57</f>
        <v>A</v>
      </c>
    </row>
    <row r="45" spans="2:5" ht="21" thickBot="1">
      <c r="B45" s="244"/>
      <c r="C45" s="8" t="s">
        <v>205</v>
      </c>
      <c r="D45" s="9">
        <f>Pbridge</f>
        <v>18.28144094783919</v>
      </c>
      <c r="E45" s="10" t="str">
        <f>'DESIGN INPUTS AND CALCULATIONS'!D59</f>
        <v>W</v>
      </c>
    </row>
    <row r="46" spans="2:5" ht="20.25">
      <c r="B46" s="243" t="s">
        <v>416</v>
      </c>
      <c r="C46" s="5" t="s">
        <v>215</v>
      </c>
      <c r="D46" s="245" t="s">
        <v>209</v>
      </c>
      <c r="E46" s="246"/>
    </row>
    <row r="47" spans="2:5" ht="20.25">
      <c r="B47" s="250"/>
      <c r="C47" s="6" t="s">
        <v>201</v>
      </c>
      <c r="D47" s="13">
        <f>IF(Cin="",Cin_rcmd,Cin)</f>
        <v>0.22</v>
      </c>
      <c r="E47" s="7" t="str">
        <f>data!G228</f>
        <v>µF</v>
      </c>
    </row>
    <row r="48" spans="2:5" ht="24" thickBot="1">
      <c r="B48" s="250"/>
      <c r="C48" s="6" t="s">
        <v>204</v>
      </c>
      <c r="D48" s="15">
        <f>Vacin_max</f>
        <v>256</v>
      </c>
      <c r="E48" s="16" t="s">
        <v>232</v>
      </c>
    </row>
    <row r="49" spans="2:5" ht="20.25">
      <c r="B49" s="243" t="s">
        <v>420</v>
      </c>
      <c r="C49" s="5" t="s">
        <v>203</v>
      </c>
      <c r="D49" s="17">
        <f>IF(Lbst="",Lbst_rcmd,Lbst)</f>
        <v>0.15</v>
      </c>
      <c r="E49" s="12" t="str">
        <f>'DESIGN INPUTS AND CALCULATIONS'!D77</f>
        <v>mH</v>
      </c>
    </row>
    <row r="50" spans="2:5" ht="20.25">
      <c r="B50" s="250"/>
      <c r="C50" s="6" t="s">
        <v>207</v>
      </c>
      <c r="D50" s="13">
        <f>Il_peak_actual</f>
        <v>16.34042398147079</v>
      </c>
      <c r="E50" s="7" t="str">
        <f>'DESIGN INPUTS AND CALCULATIONS'!D79</f>
        <v>A</v>
      </c>
    </row>
    <row r="51" spans="2:5" ht="20.25">
      <c r="B51" s="250"/>
      <c r="C51" s="6" t="s">
        <v>208</v>
      </c>
      <c r="D51" s="13">
        <f>Iripple_actual</f>
        <v>5.331876258766712</v>
      </c>
      <c r="E51" s="7" t="str">
        <f>'DESIGN INPUTS AND CALCULATIONS'!D78</f>
        <v>A</v>
      </c>
    </row>
    <row r="52" spans="2:5" ht="21" thickBot="1">
      <c r="B52" s="244"/>
      <c r="C52" s="8" t="s">
        <v>30</v>
      </c>
      <c r="D52" s="18">
        <f>Dmax</f>
        <v>0.3535023714865851</v>
      </c>
      <c r="E52" s="10"/>
    </row>
    <row r="53" spans="2:5" ht="20.25">
      <c r="B53" s="243" t="s">
        <v>421</v>
      </c>
      <c r="C53" s="5" t="s">
        <v>215</v>
      </c>
      <c r="D53" s="245" t="s">
        <v>227</v>
      </c>
      <c r="E53" s="246"/>
    </row>
    <row r="54" spans="2:5" ht="20.25">
      <c r="B54" s="250"/>
      <c r="C54" s="6" t="s">
        <v>223</v>
      </c>
      <c r="D54" s="13">
        <f>Iin_avg_max</f>
        <v>8.705448070399614</v>
      </c>
      <c r="E54" s="7" t="str">
        <f>'DESIGN INPUTS AND CALCULATIONS'!D48</f>
        <v>A</v>
      </c>
    </row>
    <row r="55" spans="2:5" ht="20.25">
      <c r="B55" s="250"/>
      <c r="C55" s="6" t="s">
        <v>204</v>
      </c>
      <c r="D55" s="6">
        <f>Vdiode_blocking</f>
        <v>423.50000000000006</v>
      </c>
      <c r="E55" s="7" t="str">
        <f>'DESIGN INPUTS AND CALCULATIONS'!D33</f>
        <v>V</v>
      </c>
    </row>
    <row r="56" spans="2:5" ht="21" thickBot="1">
      <c r="B56" s="244"/>
      <c r="C56" s="8" t="s">
        <v>205</v>
      </c>
      <c r="D56" s="9">
        <f>Pdiode</f>
        <v>7.672178246753247</v>
      </c>
      <c r="E56" s="10" t="str">
        <f>'DESIGN INPUTS AND CALCULATIONS'!D91</f>
        <v>W</v>
      </c>
    </row>
    <row r="57" spans="2:5" ht="20.25">
      <c r="B57" s="243" t="s">
        <v>422</v>
      </c>
      <c r="C57" s="5" t="s">
        <v>215</v>
      </c>
      <c r="D57" s="245" t="s">
        <v>226</v>
      </c>
      <c r="E57" s="246"/>
    </row>
    <row r="58" spans="2:5" ht="20.25">
      <c r="B58" s="250"/>
      <c r="C58" s="6" t="s">
        <v>210</v>
      </c>
      <c r="D58" s="13">
        <f>Ids_rms</f>
        <v>5.915899528895074</v>
      </c>
      <c r="E58" s="7" t="str">
        <f>'DESIGN INPUTS AND CALCULATIONS'!D99</f>
        <v>A</v>
      </c>
    </row>
    <row r="59" spans="2:5" ht="20.25">
      <c r="B59" s="250"/>
      <c r="C59" s="6" t="s">
        <v>207</v>
      </c>
      <c r="D59" s="13">
        <f>Il_peak_actual</f>
        <v>16.34042398147079</v>
      </c>
      <c r="E59" s="7" t="str">
        <f>'DESIGN INPUTS AND CALCULATIONS'!D79</f>
        <v>A</v>
      </c>
    </row>
    <row r="60" spans="2:5" ht="20.25">
      <c r="B60" s="250"/>
      <c r="C60" s="6" t="s">
        <v>206</v>
      </c>
      <c r="D60" s="15">
        <f>Vin_peak_max</f>
        <v>362.03867196751236</v>
      </c>
      <c r="E60" s="7" t="str">
        <f>'DESIGN INPUTS AND CALCULATIONS'!D28</f>
        <v>V</v>
      </c>
    </row>
    <row r="61" spans="2:5" ht="21" thickBot="1">
      <c r="B61" s="244"/>
      <c r="C61" s="8" t="s">
        <v>205</v>
      </c>
      <c r="D61" s="9">
        <f>P_FET</f>
        <v>31.096474763213347</v>
      </c>
      <c r="E61" s="10" t="str">
        <f>'DESIGN INPUTS AND CALCULATIONS'!D111</f>
        <v>W</v>
      </c>
    </row>
    <row r="62" spans="2:5" ht="20.25">
      <c r="B62" s="243" t="s">
        <v>424</v>
      </c>
      <c r="C62" s="5" t="s">
        <v>215</v>
      </c>
      <c r="D62" s="245" t="s">
        <v>225</v>
      </c>
      <c r="E62" s="246"/>
    </row>
    <row r="63" spans="2:5" ht="21">
      <c r="B63" s="250"/>
      <c r="C63" s="6" t="s">
        <v>201</v>
      </c>
      <c r="D63" s="6">
        <f>IF(Rsense="",Rsense_ideal,Rsense)</f>
        <v>0.008</v>
      </c>
      <c r="E63" s="14" t="s">
        <v>12</v>
      </c>
    </row>
    <row r="64" spans="2:5" ht="21" thickBot="1">
      <c r="B64" s="244"/>
      <c r="C64" s="8" t="s">
        <v>205</v>
      </c>
      <c r="D64" s="19">
        <f>P_Rsense</f>
        <v>0.7479662532757574</v>
      </c>
      <c r="E64" s="10" t="str">
        <f>'DESIGN INPUTS AND CALCULATIONS'!D120</f>
        <v>W</v>
      </c>
    </row>
    <row r="65" spans="2:5" ht="20.25">
      <c r="B65" s="243" t="s">
        <v>425</v>
      </c>
      <c r="C65" s="5" t="s">
        <v>215</v>
      </c>
      <c r="D65" s="253" t="s">
        <v>211</v>
      </c>
      <c r="E65" s="254"/>
    </row>
    <row r="66" spans="2:5" ht="21" thickBot="1">
      <c r="B66" s="244"/>
      <c r="C66" s="8" t="s">
        <v>201</v>
      </c>
      <c r="D66" s="8">
        <f>Risense</f>
        <v>220</v>
      </c>
      <c r="E66" s="20" t="s">
        <v>12</v>
      </c>
    </row>
    <row r="67" spans="2:5" ht="20.25">
      <c r="B67" s="243" t="s">
        <v>426</v>
      </c>
      <c r="C67" s="5" t="s">
        <v>215</v>
      </c>
      <c r="D67" s="245" t="s">
        <v>212</v>
      </c>
      <c r="E67" s="246"/>
    </row>
    <row r="68" spans="2:5" ht="21" thickBot="1">
      <c r="B68" s="244"/>
      <c r="C68" s="8" t="s">
        <v>201</v>
      </c>
      <c r="D68" s="21">
        <f>Cisense</f>
        <v>819.9999999999999</v>
      </c>
      <c r="E68" s="10" t="str">
        <f>'DESIGN INPUTS AND CALCULATIONS'!D126</f>
        <v>pF</v>
      </c>
    </row>
    <row r="69" spans="2:5" ht="20.25">
      <c r="B69" s="243" t="s">
        <v>427</v>
      </c>
      <c r="C69" s="5" t="s">
        <v>215</v>
      </c>
      <c r="D69" s="245" t="s">
        <v>213</v>
      </c>
      <c r="E69" s="246"/>
    </row>
    <row r="70" spans="2:5" ht="20.25">
      <c r="B70" s="250"/>
      <c r="C70" s="6" t="s">
        <v>201</v>
      </c>
      <c r="D70" s="6">
        <f>IF(Cout="",Cout_rcmd,Cout)</f>
        <v>1500</v>
      </c>
      <c r="E70" s="7" t="str">
        <f>'DESIGN INPUTS AND CALCULATIONS'!D133</f>
        <v>µF</v>
      </c>
    </row>
    <row r="71" spans="2:5" ht="20.25">
      <c r="B71" s="250"/>
      <c r="C71" s="6" t="s">
        <v>206</v>
      </c>
      <c r="D71" s="22">
        <f>Vovp</f>
        <v>420.48846153846154</v>
      </c>
      <c r="E71" s="7" t="s">
        <v>11</v>
      </c>
    </row>
    <row r="72" spans="2:5" ht="24">
      <c r="B72" s="250"/>
      <c r="C72" s="6" t="s">
        <v>238</v>
      </c>
      <c r="D72" s="22">
        <f>Icout_2fline</f>
        <v>2.8467935346471394</v>
      </c>
      <c r="E72" s="7" t="s">
        <v>233</v>
      </c>
    </row>
    <row r="73" spans="2:5" ht="24" thickBot="1">
      <c r="B73" s="244"/>
      <c r="C73" s="8" t="s">
        <v>224</v>
      </c>
      <c r="D73" s="18">
        <f>Icout_HF</f>
        <v>4.2719408896772055</v>
      </c>
      <c r="E73" s="10" t="s">
        <v>233</v>
      </c>
    </row>
    <row r="74" spans="2:5" ht="20.25">
      <c r="B74" s="243" t="s">
        <v>431</v>
      </c>
      <c r="C74" s="5" t="s">
        <v>215</v>
      </c>
      <c r="D74" s="245" t="s">
        <v>219</v>
      </c>
      <c r="E74" s="246"/>
    </row>
    <row r="75" spans="2:5" ht="21" thickBot="1">
      <c r="B75" s="244"/>
      <c r="C75" s="8" t="s">
        <v>201</v>
      </c>
      <c r="D75" s="8">
        <f>IF(R_fb1="",Rfb1_rcmd,R_fb1)</f>
        <v>0.99</v>
      </c>
      <c r="E75" s="10" t="s">
        <v>234</v>
      </c>
    </row>
    <row r="76" spans="2:5" ht="20.25">
      <c r="B76" s="243" t="s">
        <v>432</v>
      </c>
      <c r="C76" s="5" t="s">
        <v>215</v>
      </c>
      <c r="D76" s="245" t="s">
        <v>214</v>
      </c>
      <c r="E76" s="246"/>
    </row>
    <row r="77" spans="2:5" ht="21" thickBot="1">
      <c r="B77" s="244"/>
      <c r="C77" s="8" t="s">
        <v>201</v>
      </c>
      <c r="D77" s="8">
        <f>IF(R_fb2="",R_fb2_rcmd,R_fb2)</f>
        <v>13</v>
      </c>
      <c r="E77" s="10" t="s">
        <v>235</v>
      </c>
    </row>
    <row r="78" spans="2:5" ht="20.25">
      <c r="B78" s="243" t="s">
        <v>433</v>
      </c>
      <c r="C78" s="5" t="s">
        <v>215</v>
      </c>
      <c r="D78" s="245" t="s">
        <v>217</v>
      </c>
      <c r="E78" s="246"/>
    </row>
    <row r="79" spans="2:5" ht="21" thickBot="1">
      <c r="B79" s="244"/>
      <c r="C79" s="8" t="s">
        <v>201</v>
      </c>
      <c r="D79" s="21">
        <f>Cvsense</f>
        <v>819.9999999999999</v>
      </c>
      <c r="E79" s="10" t="s">
        <v>82</v>
      </c>
    </row>
    <row r="80" spans="2:5" ht="20.25">
      <c r="B80" s="243" t="s">
        <v>434</v>
      </c>
      <c r="C80" s="5" t="s">
        <v>215</v>
      </c>
      <c r="D80" s="245" t="s">
        <v>217</v>
      </c>
      <c r="E80" s="246"/>
    </row>
    <row r="81" spans="2:5" ht="20.25">
      <c r="B81" s="250"/>
      <c r="C81" s="260" t="s">
        <v>443</v>
      </c>
      <c r="D81" s="111">
        <f>Cicomp_minrcmd</f>
        <v>1200</v>
      </c>
      <c r="E81" s="7" t="s">
        <v>442</v>
      </c>
    </row>
    <row r="82" spans="2:5" ht="21" thickBot="1">
      <c r="B82" s="244"/>
      <c r="C82" s="261"/>
      <c r="D82" s="8">
        <f>Cicomp_maxrcmd</f>
        <v>2200</v>
      </c>
      <c r="E82" s="10" t="s">
        <v>442</v>
      </c>
    </row>
    <row r="83" spans="2:5" ht="20.25" customHeight="1">
      <c r="B83" s="243" t="s">
        <v>435</v>
      </c>
      <c r="C83" s="5" t="s">
        <v>215</v>
      </c>
      <c r="D83" s="245" t="s">
        <v>218</v>
      </c>
      <c r="E83" s="246"/>
    </row>
    <row r="84" spans="2:5" ht="21" thickBot="1">
      <c r="B84" s="244"/>
      <c r="C84" s="8" t="s">
        <v>201</v>
      </c>
      <c r="D84" s="8">
        <f>IF(Cvcomp="",Cvcomp_rcmd,Cvcomp)</f>
        <v>8.5</v>
      </c>
      <c r="E84" s="20" t="s">
        <v>231</v>
      </c>
    </row>
    <row r="85" spans="2:5" ht="20.25">
      <c r="B85" s="250" t="s">
        <v>436</v>
      </c>
      <c r="C85" s="6" t="s">
        <v>215</v>
      </c>
      <c r="D85" s="251" t="s">
        <v>214</v>
      </c>
      <c r="E85" s="252"/>
    </row>
    <row r="86" spans="2:5" ht="21" thickBot="1">
      <c r="B86" s="244"/>
      <c r="C86" s="8" t="s">
        <v>201</v>
      </c>
      <c r="D86" s="8">
        <f>IF(Rvcomp="",Rvcomp_rcmd,Rvcomp)</f>
        <v>12</v>
      </c>
      <c r="E86" s="10" t="s">
        <v>235</v>
      </c>
    </row>
    <row r="87" spans="2:5" ht="20.25">
      <c r="B87" s="243" t="s">
        <v>437</v>
      </c>
      <c r="C87" s="5" t="s">
        <v>215</v>
      </c>
      <c r="D87" s="245" t="s">
        <v>218</v>
      </c>
      <c r="E87" s="246"/>
    </row>
    <row r="88" spans="2:5" ht="21" thickBot="1">
      <c r="B88" s="244"/>
      <c r="C88" s="8" t="s">
        <v>201</v>
      </c>
      <c r="D88" s="8">
        <f>IF(Cvcomp_p="",Cvcomp_p_rcmd,Cvcomp_p)</f>
        <v>0.47</v>
      </c>
      <c r="E88" s="20" t="s">
        <v>236</v>
      </c>
    </row>
    <row r="89" spans="2:5" ht="20.25">
      <c r="B89" s="250" t="s">
        <v>438</v>
      </c>
      <c r="C89" s="6" t="s">
        <v>215</v>
      </c>
      <c r="D89" s="251" t="s">
        <v>214</v>
      </c>
      <c r="E89" s="252"/>
    </row>
    <row r="90" spans="2:5" ht="21" thickBot="1">
      <c r="B90" s="244"/>
      <c r="C90" s="8" t="s">
        <v>201</v>
      </c>
      <c r="D90" s="8">
        <f>IF(Rfreq="",Rfreq_rcmd,Rfreq)</f>
        <v>17.4</v>
      </c>
      <c r="E90" s="10" t="s">
        <v>390</v>
      </c>
    </row>
    <row r="91" spans="2:5" ht="20.25">
      <c r="B91" s="250" t="s">
        <v>439</v>
      </c>
      <c r="C91" s="6" t="s">
        <v>215</v>
      </c>
      <c r="D91" s="251" t="s">
        <v>220</v>
      </c>
      <c r="E91" s="252"/>
    </row>
    <row r="92" spans="2:5" ht="21">
      <c r="B92" s="250"/>
      <c r="C92" s="260" t="s">
        <v>221</v>
      </c>
      <c r="D92" s="6">
        <v>0.1</v>
      </c>
      <c r="E92" s="14" t="s">
        <v>440</v>
      </c>
    </row>
    <row r="93" spans="2:5" ht="21" thickBot="1">
      <c r="B93" s="244"/>
      <c r="C93" s="261"/>
      <c r="D93" s="8">
        <v>1</v>
      </c>
      <c r="E93" s="20" t="s">
        <v>441</v>
      </c>
    </row>
    <row r="94" spans="2:5" ht="20.25">
      <c r="B94" s="243" t="s">
        <v>444</v>
      </c>
      <c r="C94" s="5" t="s">
        <v>215</v>
      </c>
      <c r="D94" s="245" t="s">
        <v>445</v>
      </c>
      <c r="E94" s="246"/>
    </row>
    <row r="95" spans="2:5" ht="20.25">
      <c r="B95" s="250"/>
      <c r="C95" s="6" t="s">
        <v>223</v>
      </c>
      <c r="D95" s="112">
        <f>Iinrush</f>
        <v>7.70295046739388</v>
      </c>
      <c r="E95" s="100" t="s">
        <v>18</v>
      </c>
    </row>
    <row r="96" spans="2:5" ht="21" thickBot="1">
      <c r="B96" s="244"/>
      <c r="C96" s="6" t="s">
        <v>204</v>
      </c>
      <c r="D96" s="112">
        <f>Vovp</f>
        <v>420.48846153846154</v>
      </c>
      <c r="E96" s="10" t="s">
        <v>11</v>
      </c>
    </row>
    <row r="97" spans="2:5" ht="20.25">
      <c r="B97" s="243" t="s">
        <v>446</v>
      </c>
      <c r="C97" s="5" t="s">
        <v>215</v>
      </c>
      <c r="D97" s="245" t="s">
        <v>447</v>
      </c>
      <c r="E97" s="246"/>
    </row>
    <row r="98" spans="2:5" ht="20.25">
      <c r="B98" s="250"/>
      <c r="C98" s="6" t="s">
        <v>223</v>
      </c>
      <c r="D98" s="111">
        <v>2</v>
      </c>
      <c r="E98" s="100" t="s">
        <v>18</v>
      </c>
    </row>
    <row r="99" spans="2:5" ht="21" thickBot="1">
      <c r="B99" s="244"/>
      <c r="C99" s="8" t="s">
        <v>204</v>
      </c>
      <c r="D99" s="18">
        <v>40</v>
      </c>
      <c r="E99" s="10" t="s">
        <v>11</v>
      </c>
    </row>
    <row r="100" spans="2:5" ht="20.25">
      <c r="B100" s="243" t="s">
        <v>448</v>
      </c>
      <c r="C100" s="5" t="s">
        <v>215</v>
      </c>
      <c r="D100" s="245" t="s">
        <v>214</v>
      </c>
      <c r="E100" s="246"/>
    </row>
    <row r="101" spans="2:5" ht="21" thickBot="1">
      <c r="B101" s="244"/>
      <c r="C101" s="8" t="s">
        <v>201</v>
      </c>
      <c r="D101" s="247" t="s">
        <v>449</v>
      </c>
      <c r="E101" s="248"/>
    </row>
    <row r="102" spans="2:5" ht="20.25" customHeight="1">
      <c r="B102" s="243" t="s">
        <v>450</v>
      </c>
      <c r="C102" s="5" t="s">
        <v>215</v>
      </c>
      <c r="D102" s="245" t="s">
        <v>214</v>
      </c>
      <c r="E102" s="246"/>
    </row>
    <row r="103" spans="2:5" ht="21" thickBot="1">
      <c r="B103" s="244"/>
      <c r="C103" s="8" t="s">
        <v>201</v>
      </c>
      <c r="D103" s="113">
        <v>10</v>
      </c>
      <c r="E103" s="114" t="s">
        <v>451</v>
      </c>
    </row>
  </sheetData>
  <sheetProtection password="E85D" sheet="1" objects="1" selectLockedCells="1" selectUnlockedCells="1"/>
  <mergeCells count="50">
    <mergeCell ref="B94:B96"/>
    <mergeCell ref="D97:E97"/>
    <mergeCell ref="D91:E91"/>
    <mergeCell ref="D87:E87"/>
    <mergeCell ref="D83:E83"/>
    <mergeCell ref="C81:C82"/>
    <mergeCell ref="D85:E85"/>
    <mergeCell ref="B80:B82"/>
    <mergeCell ref="B97:B99"/>
    <mergeCell ref="D94:E94"/>
    <mergeCell ref="B91:B93"/>
    <mergeCell ref="C92:C93"/>
    <mergeCell ref="B87:B88"/>
    <mergeCell ref="B89:B90"/>
    <mergeCell ref="B53:B56"/>
    <mergeCell ref="B83:B84"/>
    <mergeCell ref="B85:B86"/>
    <mergeCell ref="B74:B75"/>
    <mergeCell ref="B76:B77"/>
    <mergeCell ref="B78:B79"/>
    <mergeCell ref="D74:E74"/>
    <mergeCell ref="D76:E76"/>
    <mergeCell ref="D78:E78"/>
    <mergeCell ref="D80:E80"/>
    <mergeCell ref="B38:E38"/>
    <mergeCell ref="D40:E40"/>
    <mergeCell ref="D46:E46"/>
    <mergeCell ref="D53:E53"/>
    <mergeCell ref="B46:B48"/>
    <mergeCell ref="B49:B52"/>
    <mergeCell ref="D89:E89"/>
    <mergeCell ref="B43:B45"/>
    <mergeCell ref="D57:E57"/>
    <mergeCell ref="D62:E62"/>
    <mergeCell ref="D65:E65"/>
    <mergeCell ref="C39:E39"/>
    <mergeCell ref="B69:B73"/>
    <mergeCell ref="B62:B64"/>
    <mergeCell ref="D67:E67"/>
    <mergeCell ref="D69:E69"/>
    <mergeCell ref="B100:B101"/>
    <mergeCell ref="D100:E100"/>
    <mergeCell ref="D101:E101"/>
    <mergeCell ref="B102:B103"/>
    <mergeCell ref="D102:E102"/>
    <mergeCell ref="A1:F2"/>
    <mergeCell ref="B67:B68"/>
    <mergeCell ref="B57:B61"/>
    <mergeCell ref="B65:B66"/>
    <mergeCell ref="B40:B42"/>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2"/>
  <dimension ref="A2:Y278"/>
  <sheetViews>
    <sheetView zoomScale="70" zoomScaleNormal="70" zoomScalePageLayoutView="0" workbookViewId="0" topLeftCell="A22">
      <selection activeCell="E54" sqref="E54"/>
    </sheetView>
  </sheetViews>
  <sheetFormatPr defaultColWidth="9.140625" defaultRowHeight="12.75"/>
  <cols>
    <col min="1" max="2" width="9.140625" style="127" customWidth="1"/>
    <col min="3" max="3" width="12.00390625" style="127" customWidth="1"/>
    <col min="4" max="4" width="29.421875" style="127" customWidth="1"/>
    <col min="5" max="5" width="13.421875" style="127" customWidth="1"/>
    <col min="6" max="6" width="11.421875" style="127" bestFit="1" customWidth="1"/>
    <col min="7" max="7" width="14.140625" style="127" bestFit="1" customWidth="1"/>
    <col min="8" max="8" width="12.57421875" style="127" customWidth="1"/>
    <col min="9" max="9" width="13.421875" style="127" customWidth="1"/>
    <col min="10" max="10" width="20.421875" style="127" customWidth="1"/>
    <col min="11" max="11" width="43.140625" style="127" customWidth="1"/>
    <col min="12" max="12" width="14.421875" style="127" customWidth="1"/>
    <col min="13" max="13" width="24.8515625" style="127" customWidth="1"/>
    <col min="14" max="14" width="9.140625" style="127" customWidth="1"/>
    <col min="15" max="15" width="16.00390625" style="127" customWidth="1"/>
    <col min="16" max="16" width="33.57421875" style="127" customWidth="1"/>
    <col min="17" max="17" width="9.140625" style="127" customWidth="1"/>
    <col min="18" max="18" width="23.140625" style="127" customWidth="1"/>
    <col min="19" max="19" width="20.57421875" style="127" customWidth="1"/>
    <col min="20" max="20" width="19.8515625" style="127" customWidth="1"/>
    <col min="21" max="16384" width="9.140625" style="127" customWidth="1"/>
  </cols>
  <sheetData>
    <row r="2" spans="1:4" ht="13.5">
      <c r="A2" s="269" t="s">
        <v>141</v>
      </c>
      <c r="B2" s="269"/>
      <c r="C2" s="269"/>
      <c r="D2" s="269"/>
    </row>
    <row r="3" spans="1:4" ht="13.5">
      <c r="A3" s="128"/>
      <c r="B3" s="128"/>
      <c r="C3" s="128"/>
      <c r="D3" s="128"/>
    </row>
    <row r="4" spans="1:4" ht="13.5">
      <c r="A4" s="126" t="s">
        <v>132</v>
      </c>
      <c r="B4" s="126" t="s">
        <v>136</v>
      </c>
      <c r="C4" s="126" t="s">
        <v>137</v>
      </c>
      <c r="D4" s="126" t="s">
        <v>131</v>
      </c>
    </row>
    <row r="5" spans="1:8" ht="13.5">
      <c r="A5" s="126">
        <v>0</v>
      </c>
      <c r="B5" s="129">
        <f>IF(A5&lt;1,(0.068),IF(A5&lt;2,(0.156*A5-0.088),IF(A5&lt;4.5,(0.313*A5-0.401),IF(A5&lt;=5,1.007,"VCOMP MUST BE &lt; 5"))))</f>
        <v>0.068</v>
      </c>
      <c r="C5" s="129">
        <f aca="true" t="shared" si="0" ref="C5:C36">IF(A5&lt;=0.5,0,IF(A5&lt;4.6,((fSW_target/65)*0.1223*(A5-0.5)^2),IF(A5&lt;=5,((fSW_target/65)*2.056),"VCOMP MUST BE &lt; 5")))</f>
        <v>0</v>
      </c>
      <c r="D5" s="130">
        <f>B5*C5</f>
        <v>0</v>
      </c>
      <c r="G5" s="87" t="s">
        <v>256</v>
      </c>
      <c r="H5" s="88">
        <f>10^-3</f>
        <v>0.001</v>
      </c>
    </row>
    <row r="6" spans="1:8" ht="13.5">
      <c r="A6" s="126">
        <f>A5+0.05</f>
        <v>0.05</v>
      </c>
      <c r="B6" s="129">
        <f aca="true" t="shared" si="1" ref="B6:B69">IF(A6&lt;1,(0.068),IF(A6&lt;2,(0.156*A6-0.088),IF(A6&lt;4.5,(0.313*A6-0.401),IF(A6&lt;=5,1.007,"VCOMP MUST BE &lt; 5"))))</f>
        <v>0.068</v>
      </c>
      <c r="C6" s="129">
        <f t="shared" si="0"/>
        <v>0</v>
      </c>
      <c r="D6" s="130">
        <f aca="true" t="shared" si="2" ref="D6:D69">B6*C6</f>
        <v>0</v>
      </c>
      <c r="G6" s="87" t="s">
        <v>257</v>
      </c>
      <c r="H6" s="88">
        <f>(10^-6)</f>
        <v>1E-06</v>
      </c>
    </row>
    <row r="7" spans="1:8" ht="13.5">
      <c r="A7" s="126">
        <f aca="true" t="shared" si="3" ref="A7:A70">A6+0.05</f>
        <v>0.1</v>
      </c>
      <c r="B7" s="129">
        <f t="shared" si="1"/>
        <v>0.068</v>
      </c>
      <c r="C7" s="129">
        <f t="shared" si="0"/>
        <v>0</v>
      </c>
      <c r="D7" s="130">
        <f t="shared" si="2"/>
        <v>0</v>
      </c>
      <c r="G7" s="87" t="s">
        <v>258</v>
      </c>
      <c r="H7" s="88">
        <f>10^3</f>
        <v>1000</v>
      </c>
    </row>
    <row r="8" spans="1:8" ht="13.5">
      <c r="A8" s="126">
        <f t="shared" si="3"/>
        <v>0.15000000000000002</v>
      </c>
      <c r="B8" s="129">
        <f t="shared" si="1"/>
        <v>0.068</v>
      </c>
      <c r="C8" s="129">
        <f t="shared" si="0"/>
        <v>0</v>
      </c>
      <c r="D8" s="130">
        <f t="shared" si="2"/>
        <v>0</v>
      </c>
      <c r="G8" s="87" t="s">
        <v>259</v>
      </c>
      <c r="H8" s="88">
        <f>10^-3</f>
        <v>0.001</v>
      </c>
    </row>
    <row r="9" spans="1:8" ht="13.5">
      <c r="A9" s="126">
        <f t="shared" si="3"/>
        <v>0.2</v>
      </c>
      <c r="B9" s="129">
        <f t="shared" si="1"/>
        <v>0.068</v>
      </c>
      <c r="C9" s="129">
        <f t="shared" si="0"/>
        <v>0</v>
      </c>
      <c r="D9" s="130">
        <f t="shared" si="2"/>
        <v>0</v>
      </c>
      <c r="G9" s="87" t="s">
        <v>260</v>
      </c>
      <c r="H9" s="88">
        <f>10^-3</f>
        <v>0.001</v>
      </c>
    </row>
    <row r="10" spans="1:8" ht="13.5">
      <c r="A10" s="126">
        <f t="shared" si="3"/>
        <v>0.25</v>
      </c>
      <c r="B10" s="129">
        <f t="shared" si="1"/>
        <v>0.068</v>
      </c>
      <c r="C10" s="129">
        <f t="shared" si="0"/>
        <v>0</v>
      </c>
      <c r="D10" s="130">
        <f t="shared" si="2"/>
        <v>0</v>
      </c>
      <c r="G10" s="87" t="s">
        <v>261</v>
      </c>
      <c r="H10" s="88">
        <f>10^-3</f>
        <v>0.001</v>
      </c>
    </row>
    <row r="11" spans="1:8" ht="13.5">
      <c r="A11" s="126">
        <f t="shared" si="3"/>
        <v>0.3</v>
      </c>
      <c r="B11" s="129">
        <f t="shared" si="1"/>
        <v>0.068</v>
      </c>
      <c r="C11" s="129">
        <f t="shared" si="0"/>
        <v>0</v>
      </c>
      <c r="D11" s="130">
        <f t="shared" si="2"/>
        <v>0</v>
      </c>
      <c r="G11" s="87" t="s">
        <v>262</v>
      </c>
      <c r="H11" s="88">
        <f>10^-6</f>
        <v>1E-06</v>
      </c>
    </row>
    <row r="12" spans="1:8" ht="13.5">
      <c r="A12" s="126">
        <f t="shared" si="3"/>
        <v>0.35</v>
      </c>
      <c r="B12" s="129">
        <f t="shared" si="1"/>
        <v>0.068</v>
      </c>
      <c r="C12" s="129">
        <f t="shared" si="0"/>
        <v>0</v>
      </c>
      <c r="D12" s="130">
        <f t="shared" si="2"/>
        <v>0</v>
      </c>
      <c r="G12" s="87" t="s">
        <v>263</v>
      </c>
      <c r="H12" s="88">
        <f>10^-6</f>
        <v>1E-06</v>
      </c>
    </row>
    <row r="13" spans="1:8" ht="13.5">
      <c r="A13" s="126">
        <f t="shared" si="3"/>
        <v>0.39999999999999997</v>
      </c>
      <c r="B13" s="129">
        <f t="shared" si="1"/>
        <v>0.068</v>
      </c>
      <c r="C13" s="129">
        <f t="shared" si="0"/>
        <v>0</v>
      </c>
      <c r="D13" s="130">
        <f t="shared" si="2"/>
        <v>0</v>
      </c>
      <c r="G13" s="87" t="s">
        <v>264</v>
      </c>
      <c r="H13" s="88">
        <f>10^-9</f>
        <v>1E-09</v>
      </c>
    </row>
    <row r="14" spans="1:8" ht="13.5">
      <c r="A14" s="126">
        <f t="shared" si="3"/>
        <v>0.44999999999999996</v>
      </c>
      <c r="B14" s="129">
        <f t="shared" si="1"/>
        <v>0.068</v>
      </c>
      <c r="C14" s="129">
        <f t="shared" si="0"/>
        <v>0</v>
      </c>
      <c r="D14" s="130">
        <f t="shared" si="2"/>
        <v>0</v>
      </c>
      <c r="G14" s="87" t="s">
        <v>265</v>
      </c>
      <c r="H14" s="88">
        <f>10^-3</f>
        <v>0.001</v>
      </c>
    </row>
    <row r="15" spans="1:8" ht="13.5">
      <c r="A15" s="126">
        <f t="shared" si="3"/>
        <v>0.49999999999999994</v>
      </c>
      <c r="B15" s="129">
        <f t="shared" si="1"/>
        <v>0.068</v>
      </c>
      <c r="C15" s="129">
        <f t="shared" si="0"/>
        <v>0</v>
      </c>
      <c r="D15" s="130">
        <f t="shared" si="2"/>
        <v>0</v>
      </c>
      <c r="G15" s="87" t="s">
        <v>266</v>
      </c>
      <c r="H15" s="88">
        <f>10^-12</f>
        <v>1E-12</v>
      </c>
    </row>
    <row r="16" spans="1:8" ht="13.5">
      <c r="A16" s="126">
        <f t="shared" si="3"/>
        <v>0.5499999999999999</v>
      </c>
      <c r="B16" s="129">
        <f t="shared" si="1"/>
        <v>0.068</v>
      </c>
      <c r="C16" s="129">
        <f t="shared" si="0"/>
        <v>0.0005644615384615371</v>
      </c>
      <c r="D16" s="130">
        <f t="shared" si="2"/>
        <v>3.8383384615384526E-05</v>
      </c>
      <c r="G16" s="87" t="s">
        <v>267</v>
      </c>
      <c r="H16" s="88">
        <f>10^6</f>
        <v>1000000</v>
      </c>
    </row>
    <row r="17" spans="1:8" ht="13.5">
      <c r="A17" s="126">
        <f t="shared" si="3"/>
        <v>0.6</v>
      </c>
      <c r="B17" s="129">
        <f t="shared" si="1"/>
        <v>0.068</v>
      </c>
      <c r="C17" s="129">
        <f t="shared" si="0"/>
        <v>0.0022578461538461532</v>
      </c>
      <c r="D17" s="130">
        <f t="shared" si="2"/>
        <v>0.00015353353846153843</v>
      </c>
      <c r="G17" s="87" t="s">
        <v>268</v>
      </c>
      <c r="H17" s="88">
        <f>10^-6</f>
        <v>1E-06</v>
      </c>
    </row>
    <row r="18" spans="1:8" ht="14.25">
      <c r="A18" s="126">
        <f t="shared" si="3"/>
        <v>0.65</v>
      </c>
      <c r="B18" s="129">
        <f t="shared" si="1"/>
        <v>0.068</v>
      </c>
      <c r="C18" s="129">
        <f t="shared" si="0"/>
        <v>0.005080153846153848</v>
      </c>
      <c r="D18" s="130">
        <f t="shared" si="2"/>
        <v>0.00034545046153846166</v>
      </c>
      <c r="G18" s="87" t="s">
        <v>269</v>
      </c>
      <c r="H18" s="88">
        <f>10^3</f>
        <v>1000</v>
      </c>
    </row>
    <row r="19" spans="1:8" ht="13.5">
      <c r="A19" s="126">
        <f t="shared" si="3"/>
        <v>0.7000000000000001</v>
      </c>
      <c r="B19" s="129">
        <f t="shared" si="1"/>
        <v>0.068</v>
      </c>
      <c r="C19" s="129">
        <f t="shared" si="0"/>
        <v>0.009031384615384623</v>
      </c>
      <c r="D19" s="130">
        <f t="shared" si="2"/>
        <v>0.0006141341538461545</v>
      </c>
      <c r="G19" s="87" t="s">
        <v>270</v>
      </c>
      <c r="H19" s="88">
        <f>10^-9</f>
        <v>1E-09</v>
      </c>
    </row>
    <row r="20" spans="1:8" ht="13.5">
      <c r="A20" s="126">
        <f t="shared" si="3"/>
        <v>0.7500000000000001</v>
      </c>
      <c r="B20" s="129">
        <f t="shared" si="1"/>
        <v>0.068</v>
      </c>
      <c r="C20" s="129">
        <f t="shared" si="0"/>
        <v>0.014111538461538476</v>
      </c>
      <c r="D20" s="130">
        <f t="shared" si="2"/>
        <v>0.0009595846153846164</v>
      </c>
      <c r="G20" s="87" t="s">
        <v>271</v>
      </c>
      <c r="H20" s="88">
        <f>10^-9</f>
        <v>1E-09</v>
      </c>
    </row>
    <row r="21" spans="1:8" ht="13.5">
      <c r="A21" s="126">
        <f t="shared" si="3"/>
        <v>0.8000000000000002</v>
      </c>
      <c r="B21" s="129">
        <f t="shared" si="1"/>
        <v>0.068</v>
      </c>
      <c r="C21" s="129">
        <f t="shared" si="0"/>
        <v>0.02032061538461541</v>
      </c>
      <c r="D21" s="130">
        <f t="shared" si="2"/>
        <v>0.001381801846153848</v>
      </c>
      <c r="G21" s="87" t="s">
        <v>272</v>
      </c>
      <c r="H21" s="88">
        <f>10^-6</f>
        <v>1E-06</v>
      </c>
    </row>
    <row r="22" spans="1:8" ht="13.5">
      <c r="A22" s="126">
        <f t="shared" si="3"/>
        <v>0.8500000000000002</v>
      </c>
      <c r="B22" s="129">
        <f t="shared" si="1"/>
        <v>0.068</v>
      </c>
      <c r="C22" s="129">
        <f t="shared" si="0"/>
        <v>0.02765861538461542</v>
      </c>
      <c r="D22" s="130">
        <f t="shared" si="2"/>
        <v>0.0018807858461538486</v>
      </c>
      <c r="G22" s="128" t="s">
        <v>273</v>
      </c>
      <c r="H22" s="88">
        <f>10^6</f>
        <v>1000000</v>
      </c>
    </row>
    <row r="23" spans="1:8" ht="13.5">
      <c r="A23" s="126">
        <f t="shared" si="3"/>
        <v>0.9000000000000002</v>
      </c>
      <c r="B23" s="129">
        <f t="shared" si="1"/>
        <v>0.068</v>
      </c>
      <c r="C23" s="129">
        <f t="shared" si="0"/>
        <v>0.036125538461538514</v>
      </c>
      <c r="D23" s="130">
        <f t="shared" si="2"/>
        <v>0.002456536615384619</v>
      </c>
      <c r="G23" s="128" t="s">
        <v>298</v>
      </c>
      <c r="H23" s="88">
        <f>10^-3</f>
        <v>0.001</v>
      </c>
    </row>
    <row r="24" spans="1:4" ht="13.5">
      <c r="A24" s="126">
        <f t="shared" si="3"/>
        <v>0.9500000000000003</v>
      </c>
      <c r="B24" s="129">
        <f t="shared" si="1"/>
        <v>0.068</v>
      </c>
      <c r="C24" s="129">
        <f t="shared" si="0"/>
        <v>0.045721384615384685</v>
      </c>
      <c r="D24" s="130">
        <f t="shared" si="2"/>
        <v>0.003109054153846159</v>
      </c>
    </row>
    <row r="25" spans="1:4" ht="13.5">
      <c r="A25" s="126">
        <f t="shared" si="3"/>
        <v>1.0000000000000002</v>
      </c>
      <c r="B25" s="129">
        <f t="shared" si="1"/>
        <v>0.06800000000000003</v>
      </c>
      <c r="C25" s="129">
        <f t="shared" si="0"/>
        <v>0.0564461538461539</v>
      </c>
      <c r="D25" s="130">
        <f t="shared" si="2"/>
        <v>0.0038383384615384673</v>
      </c>
    </row>
    <row r="26" spans="1:4" ht="13.5">
      <c r="A26" s="126">
        <f t="shared" si="3"/>
        <v>1.0500000000000003</v>
      </c>
      <c r="B26" s="129">
        <f t="shared" si="1"/>
        <v>0.07580000000000003</v>
      </c>
      <c r="C26" s="129">
        <f t="shared" si="0"/>
        <v>0.06829984615384622</v>
      </c>
      <c r="D26" s="130">
        <f t="shared" si="2"/>
        <v>0.005177128338461547</v>
      </c>
    </row>
    <row r="27" spans="1:4" ht="13.5">
      <c r="A27" s="126">
        <f t="shared" si="3"/>
        <v>1.1000000000000003</v>
      </c>
      <c r="B27" s="129">
        <f t="shared" si="1"/>
        <v>0.08360000000000006</v>
      </c>
      <c r="C27" s="129">
        <f t="shared" si="0"/>
        <v>0.08128246153846164</v>
      </c>
      <c r="D27" s="130">
        <f t="shared" si="2"/>
        <v>0.006795213784615398</v>
      </c>
    </row>
    <row r="28" spans="1:4" ht="13.5">
      <c r="A28" s="126">
        <f t="shared" si="3"/>
        <v>1.1500000000000004</v>
      </c>
      <c r="B28" s="129">
        <f t="shared" si="1"/>
        <v>0.09140000000000006</v>
      </c>
      <c r="C28" s="129">
        <f t="shared" si="0"/>
        <v>0.09539400000000012</v>
      </c>
      <c r="D28" s="130">
        <f t="shared" si="2"/>
        <v>0.008719011600000017</v>
      </c>
    </row>
    <row r="29" spans="1:4" ht="13.5">
      <c r="A29" s="126">
        <f t="shared" si="3"/>
        <v>1.2000000000000004</v>
      </c>
      <c r="B29" s="129">
        <f t="shared" si="1"/>
        <v>0.09920000000000007</v>
      </c>
      <c r="C29" s="129">
        <f t="shared" si="0"/>
        <v>0.11063446153846168</v>
      </c>
      <c r="D29" s="130">
        <f t="shared" si="2"/>
        <v>0.010974938584615406</v>
      </c>
    </row>
    <row r="30" spans="1:4" ht="13.5">
      <c r="A30" s="126">
        <f t="shared" si="3"/>
        <v>1.2500000000000004</v>
      </c>
      <c r="B30" s="129">
        <f t="shared" si="1"/>
        <v>0.10700000000000007</v>
      </c>
      <c r="C30" s="129">
        <f t="shared" si="0"/>
        <v>0.12700384615384633</v>
      </c>
      <c r="D30" s="130">
        <f t="shared" si="2"/>
        <v>0.013589411538461566</v>
      </c>
    </row>
    <row r="31" spans="1:8" ht="15.75">
      <c r="A31" s="126">
        <f t="shared" si="3"/>
        <v>1.3000000000000005</v>
      </c>
      <c r="B31" s="129">
        <f t="shared" si="1"/>
        <v>0.11480000000000007</v>
      </c>
      <c r="C31" s="129">
        <f t="shared" si="0"/>
        <v>0.14450215384615406</v>
      </c>
      <c r="D31" s="130">
        <f t="shared" si="2"/>
        <v>0.016588847261538496</v>
      </c>
      <c r="G31" s="128" t="s">
        <v>313</v>
      </c>
      <c r="H31" s="128">
        <v>7</v>
      </c>
    </row>
    <row r="32" spans="1:8" ht="15.75">
      <c r="A32" s="126">
        <f t="shared" si="3"/>
        <v>1.3500000000000005</v>
      </c>
      <c r="B32" s="129">
        <f t="shared" si="1"/>
        <v>0.1226000000000001</v>
      </c>
      <c r="C32" s="129">
        <f t="shared" si="0"/>
        <v>0.16312938461538484</v>
      </c>
      <c r="D32" s="130">
        <f t="shared" si="2"/>
        <v>0.019999662553846196</v>
      </c>
      <c r="G32" s="128" t="s">
        <v>314</v>
      </c>
      <c r="H32" s="128">
        <f>1/(fsw*kHz)</f>
        <v>8.309417546129941E-06</v>
      </c>
    </row>
    <row r="33" spans="1:11" ht="15.75">
      <c r="A33" s="126">
        <f t="shared" si="3"/>
        <v>1.4000000000000006</v>
      </c>
      <c r="B33" s="129">
        <f t="shared" si="1"/>
        <v>0.1304000000000001</v>
      </c>
      <c r="C33" s="129">
        <f t="shared" si="0"/>
        <v>0.18288553846153874</v>
      </c>
      <c r="D33" s="130">
        <f t="shared" si="2"/>
        <v>0.02384827421538467</v>
      </c>
      <c r="G33" s="128" t="s">
        <v>323</v>
      </c>
      <c r="H33" s="128">
        <f>65*kHz</f>
        <v>65000</v>
      </c>
      <c r="J33" s="128" t="s">
        <v>274</v>
      </c>
      <c r="K33" s="128">
        <f>(Vacin_min+Vacin_max)/2</f>
        <v>216</v>
      </c>
    </row>
    <row r="34" spans="1:8" ht="13.5">
      <c r="A34" s="126">
        <f>A33+0.05</f>
        <v>1.4500000000000006</v>
      </c>
      <c r="B34" s="129">
        <f t="shared" si="1"/>
        <v>0.1382000000000001</v>
      </c>
      <c r="C34" s="129">
        <f t="shared" si="0"/>
        <v>0.2037706153846157</v>
      </c>
      <c r="D34" s="130">
        <f t="shared" si="2"/>
        <v>0.02816109904615391</v>
      </c>
      <c r="G34" s="262"/>
      <c r="H34" s="263"/>
    </row>
    <row r="35" spans="1:11" ht="13.5">
      <c r="A35" s="126">
        <f t="shared" si="3"/>
        <v>1.5000000000000007</v>
      </c>
      <c r="B35" s="129">
        <f t="shared" si="1"/>
        <v>0.1460000000000001</v>
      </c>
      <c r="C35" s="129">
        <f t="shared" si="0"/>
        <v>0.22578461538461572</v>
      </c>
      <c r="D35" s="130">
        <f t="shared" si="2"/>
        <v>0.03296455384615392</v>
      </c>
      <c r="G35" s="128" t="s">
        <v>131</v>
      </c>
      <c r="H35" s="128">
        <f>(Iout*(Vout_nom^2)*2.5*Rsense*K_1)/(eff*(VINnom^2)*K_FQ)*us</f>
        <v>0.22669941673161698</v>
      </c>
      <c r="J35" s="128" t="s">
        <v>131</v>
      </c>
      <c r="K35" s="128">
        <f>(Iout*(Vout_nom^2)*2.5*Rsense*K_1)/(eff*(Vacin_nom^2)*K_FQ)*us</f>
        <v>0.23517343470958205</v>
      </c>
    </row>
    <row r="36" spans="1:11" ht="13.5">
      <c r="A36" s="126">
        <f t="shared" si="3"/>
        <v>1.5500000000000007</v>
      </c>
      <c r="B36" s="129">
        <f t="shared" si="1"/>
        <v>0.1538000000000001</v>
      </c>
      <c r="C36" s="129">
        <f t="shared" si="0"/>
        <v>0.24892753846153887</v>
      </c>
      <c r="D36" s="130">
        <f t="shared" si="2"/>
        <v>0.038285055415384704</v>
      </c>
      <c r="G36" s="262"/>
      <c r="H36" s="263"/>
      <c r="J36" s="262"/>
      <c r="K36" s="263"/>
    </row>
    <row r="37" spans="1:11" ht="13.5">
      <c r="A37" s="126">
        <f t="shared" si="3"/>
        <v>1.6000000000000008</v>
      </c>
      <c r="B37" s="129">
        <f t="shared" si="1"/>
        <v>0.16160000000000013</v>
      </c>
      <c r="C37" s="129">
        <f aca="true" t="shared" si="4" ref="C37:C68">IF(A37&lt;=0.5,0,IF(A37&lt;4.6,((fSW_target/65)*0.1223*(A37-0.5)^2),IF(A37&lt;=5,((fSW_target/65)*2.056),"VCOMP MUST BE &lt; 5")))</f>
        <v>0.27319938461538507</v>
      </c>
      <c r="D37" s="130">
        <f t="shared" si="2"/>
        <v>0.044149020553846265</v>
      </c>
      <c r="G37" s="128" t="s">
        <v>321</v>
      </c>
      <c r="H37" s="128">
        <f>(1*10^-9*(5*10^8*SQRT(fsw*kHz)+(1.09655978*10^10)*SQRT(ftyp)*SQRT(M1M2)))/SQRT(fsw*kHz)</f>
        <v>4.33706789315985</v>
      </c>
      <c r="J37" s="128" t="s">
        <v>321</v>
      </c>
      <c r="K37" s="128">
        <f>(1*10^-9*(5*10^8*SQRT(fsw*kHz)+(1.09655978*10^10)*SQRT(ftyp)*SQRT(M1M2)))/SQRT(fsw*kHz)</f>
        <v>4.33706789315985</v>
      </c>
    </row>
    <row r="38" spans="1:11" ht="13.5">
      <c r="A38" s="126">
        <f t="shared" si="3"/>
        <v>1.6500000000000008</v>
      </c>
      <c r="B38" s="129">
        <f t="shared" si="1"/>
        <v>0.16940000000000013</v>
      </c>
      <c r="C38" s="129">
        <f t="shared" si="4"/>
        <v>0.2986001538461543</v>
      </c>
      <c r="D38" s="130">
        <f t="shared" si="2"/>
        <v>0.05058286606153858</v>
      </c>
      <c r="G38" s="262"/>
      <c r="H38" s="263"/>
      <c r="J38" s="262"/>
      <c r="K38" s="263"/>
    </row>
    <row r="39" spans="1:11" ht="15.75">
      <c r="A39" s="126">
        <f t="shared" si="3"/>
        <v>1.7000000000000008</v>
      </c>
      <c r="B39" s="129">
        <f t="shared" si="1"/>
        <v>0.17720000000000016</v>
      </c>
      <c r="C39" s="129">
        <f t="shared" si="4"/>
        <v>0.32512984615384666</v>
      </c>
      <c r="D39" s="130">
        <f t="shared" si="2"/>
        <v>0.05761300873846168</v>
      </c>
      <c r="G39" s="128" t="s">
        <v>328</v>
      </c>
      <c r="H39" s="128">
        <v>0.156</v>
      </c>
      <c r="J39" s="128" t="s">
        <v>328</v>
      </c>
      <c r="K39" s="128">
        <v>0.156</v>
      </c>
    </row>
    <row r="40" spans="1:11" ht="15.75">
      <c r="A40" s="126">
        <f t="shared" si="3"/>
        <v>1.7500000000000009</v>
      </c>
      <c r="B40" s="129">
        <f t="shared" si="1"/>
        <v>0.18500000000000014</v>
      </c>
      <c r="C40" s="129">
        <f t="shared" si="4"/>
        <v>0.3527884615384621</v>
      </c>
      <c r="D40" s="130">
        <f t="shared" si="2"/>
        <v>0.06526586538461554</v>
      </c>
      <c r="G40" s="128" t="s">
        <v>329</v>
      </c>
      <c r="H40" s="128">
        <v>0.088</v>
      </c>
      <c r="J40" s="128" t="s">
        <v>329</v>
      </c>
      <c r="K40" s="128">
        <v>0.088</v>
      </c>
    </row>
    <row r="41" spans="1:11" ht="15.75">
      <c r="A41" s="126">
        <f t="shared" si="3"/>
        <v>1.800000000000001</v>
      </c>
      <c r="B41" s="129">
        <f t="shared" si="1"/>
        <v>0.19280000000000017</v>
      </c>
      <c r="C41" s="129">
        <f t="shared" si="4"/>
        <v>0.3815760000000006</v>
      </c>
      <c r="D41" s="130">
        <f t="shared" si="2"/>
        <v>0.07356785280000018</v>
      </c>
      <c r="G41" s="128" t="s">
        <v>330</v>
      </c>
      <c r="H41" s="128">
        <v>0.1223</v>
      </c>
      <c r="J41" s="128" t="s">
        <v>330</v>
      </c>
      <c r="K41" s="128">
        <v>0.1223</v>
      </c>
    </row>
    <row r="42" spans="1:11" ht="15.75">
      <c r="A42" s="126">
        <f t="shared" si="3"/>
        <v>1.850000000000001</v>
      </c>
      <c r="B42" s="129">
        <f t="shared" si="1"/>
        <v>0.20060000000000014</v>
      </c>
      <c r="C42" s="129">
        <f t="shared" si="4"/>
        <v>0.4114924615384622</v>
      </c>
      <c r="D42" s="130">
        <f t="shared" si="2"/>
        <v>0.08254538778461558</v>
      </c>
      <c r="G42" s="128" t="s">
        <v>331</v>
      </c>
      <c r="H42" s="128">
        <v>0.5</v>
      </c>
      <c r="J42" s="128" t="s">
        <v>331</v>
      </c>
      <c r="K42" s="128">
        <v>0.5</v>
      </c>
    </row>
    <row r="43" spans="1:11" ht="15.75">
      <c r="A43" s="126">
        <f t="shared" si="3"/>
        <v>1.900000000000001</v>
      </c>
      <c r="B43" s="129">
        <f t="shared" si="1"/>
        <v>0.20840000000000017</v>
      </c>
      <c r="C43" s="129">
        <f t="shared" si="4"/>
        <v>0.44253784615384684</v>
      </c>
      <c r="D43" s="130">
        <f t="shared" si="2"/>
        <v>0.09222488713846176</v>
      </c>
      <c r="G43" s="128" t="s">
        <v>332</v>
      </c>
      <c r="H43" s="128">
        <f>(b_1^3/(27*a_1^3))-(d_1^3/27)+SQRT((ftyp)^2*M1M2^2/(4*a_1^2*c_1^2*(fsw*kHz)^2))+(b_1^3*(ftyp)*M1M2/(27*a_1^4*c_1*(fsw*kHz))-(d_1^3*(ftyp)*M1M2/(27*a_1*c_1*(fsw*kHz)))+(b_1*d_1^2*(ftyp)*M1M2/(9*a_1^2*c_1*(fsw*kHz)))-(b_1^2*d_1*(ftyp)*M1M2/(9*a_1^3*c_1*(fsw*kHz))))</f>
        <v>3.210959908571736</v>
      </c>
      <c r="J43" s="128" t="s">
        <v>332</v>
      </c>
      <c r="K43" s="128">
        <f>(b_1^3/(27*a_1^3))-(d_1^3/27)+SQRT((ftyp)^2*M1M2^2/(4*a_1^2*c_1^2*(fsw*kHz)^2))+(b_1^3*(ftyp)*M1M2/(27*a_1^4*c_1*(fsw*kHz))-(d_1^3*(ftyp)*M1M2/(27*a_1*c_1*(fsw*kHz)))+(b_1*d_1^2*(ftyp)*M1M2/(9*a_1^2*c_1*(fsw*kHz)))-(b_1^2*d_1*(ftyp)*M1M2/(9*a_1^3*c_1*(fsw*kHz))))</f>
        <v>3.210959908571736</v>
      </c>
    </row>
    <row r="44" spans="1:11" ht="15.75">
      <c r="A44" s="126">
        <f t="shared" si="3"/>
        <v>1.950000000000001</v>
      </c>
      <c r="B44" s="129">
        <f t="shared" si="1"/>
        <v>0.2162000000000002</v>
      </c>
      <c r="C44" s="129">
        <f t="shared" si="4"/>
        <v>0.4747121538461546</v>
      </c>
      <c r="D44" s="130">
        <f t="shared" si="2"/>
        <v>0.10263276766153873</v>
      </c>
      <c r="G44" s="128" t="s">
        <v>333</v>
      </c>
      <c r="H44" s="128">
        <f>(b_1*d_1^2/(9*a_1))-(b_1^2*d_1/(9*a_1^2))+(ftyp*M1M2/(2*a_1*c_1*fsw*kHz))</f>
        <v>3.2068697179594006</v>
      </c>
      <c r="J44" s="128" t="s">
        <v>333</v>
      </c>
      <c r="K44" s="128">
        <f>(b_1*d_1^2/(9*a_1))-(b_1^2*d_1/(9*a_1^2))+(ftyp*M1M2/(2*a_1*c_1*fsw*kHz))</f>
        <v>3.2068697179594006</v>
      </c>
    </row>
    <row r="45" spans="1:11" ht="15.75">
      <c r="A45" s="126">
        <f t="shared" si="3"/>
        <v>2.000000000000001</v>
      </c>
      <c r="B45" s="129">
        <f t="shared" si="1"/>
        <v>0.2250000000000003</v>
      </c>
      <c r="C45" s="129">
        <f t="shared" si="4"/>
        <v>0.5080153846153853</v>
      </c>
      <c r="D45" s="130">
        <f t="shared" si="2"/>
        <v>0.11430346153846185</v>
      </c>
      <c r="G45" s="128" t="s">
        <v>334</v>
      </c>
      <c r="H45" s="128">
        <f>(d_1^2/9)+(b_1^2/(9*a_1^2))-(2*b_1*d_1/(9*a_1))</f>
        <v>0.00045657096939147324</v>
      </c>
      <c r="J45" s="128" t="s">
        <v>334</v>
      </c>
      <c r="K45" s="128">
        <f>(d_1^2/9)+(b_1^2/(9*a_1^2))-(2*b_1*d_1/(9*a_1))</f>
        <v>0.00045657096939147324</v>
      </c>
    </row>
    <row r="46" spans="1:11" ht="15.75">
      <c r="A46" s="126">
        <f t="shared" si="3"/>
        <v>2.0500000000000007</v>
      </c>
      <c r="B46" s="129">
        <f t="shared" si="1"/>
        <v>0.24065000000000025</v>
      </c>
      <c r="C46" s="129">
        <f t="shared" si="4"/>
        <v>0.542447538461539</v>
      </c>
      <c r="D46" s="130">
        <f t="shared" si="2"/>
        <v>0.1305400001307695</v>
      </c>
      <c r="G46" s="128" t="s">
        <v>335</v>
      </c>
      <c r="H46" s="128">
        <f>((b_1*c_1*fsw*kHz)+(2*a_1*c_1*d_1*fsw*kHz))/(3*a_1*c_1*fsw*kHz)</f>
        <v>0.5213675213675213</v>
      </c>
      <c r="J46" s="128" t="s">
        <v>335</v>
      </c>
      <c r="K46" s="128">
        <f>((b_1*c_1*fsw*kHz)+(2*a_1*c_1*d_1*fsw*kHz))/(3*a_1*c_1*fsw*kHz)</f>
        <v>0.5213675213675213</v>
      </c>
    </row>
    <row r="47" spans="1:11" ht="13.5">
      <c r="A47" s="126">
        <f t="shared" si="3"/>
        <v>2.1000000000000005</v>
      </c>
      <c r="B47" s="129">
        <f t="shared" si="1"/>
        <v>0.2563000000000002</v>
      </c>
      <c r="C47" s="129">
        <f t="shared" si="4"/>
        <v>0.5780086153846159</v>
      </c>
      <c r="D47" s="130">
        <f t="shared" si="2"/>
        <v>0.14814360812307717</v>
      </c>
      <c r="G47" s="128" t="s">
        <v>322</v>
      </c>
      <c r="H47" s="128">
        <f>(K_1V2+K_2V2)^(1/3)+(K_3V2/(K_1V2^(1/3)))+K_4V2</f>
        <v>2.380035055115113</v>
      </c>
      <c r="J47" s="128" t="s">
        <v>322</v>
      </c>
      <c r="K47" s="128">
        <f>(K_1V2+K_2V2)^(1/3)+(K_3V2/(K_1V2^(1/3)))+K_4V2</f>
        <v>2.380035055115113</v>
      </c>
    </row>
    <row r="48" spans="1:11" ht="13.5">
      <c r="A48" s="126">
        <f t="shared" si="3"/>
        <v>2.1500000000000004</v>
      </c>
      <c r="B48" s="129">
        <f t="shared" si="1"/>
        <v>0.27195000000000014</v>
      </c>
      <c r="C48" s="129">
        <f t="shared" si="4"/>
        <v>0.6146986153846157</v>
      </c>
      <c r="D48" s="130">
        <f t="shared" si="2"/>
        <v>0.16716728845384632</v>
      </c>
      <c r="G48" s="262"/>
      <c r="H48" s="263"/>
      <c r="J48" s="262"/>
      <c r="K48" s="263"/>
    </row>
    <row r="49" spans="1:11" ht="15.75">
      <c r="A49" s="126">
        <f t="shared" si="3"/>
        <v>2.2</v>
      </c>
      <c r="B49" s="129">
        <f t="shared" si="1"/>
        <v>0.2876000000000001</v>
      </c>
      <c r="C49" s="129">
        <f t="shared" si="4"/>
        <v>0.6525175384615387</v>
      </c>
      <c r="D49" s="130">
        <f t="shared" si="2"/>
        <v>0.18766404406153858</v>
      </c>
      <c r="G49" s="128" t="s">
        <v>324</v>
      </c>
      <c r="H49" s="128">
        <v>0.313</v>
      </c>
      <c r="J49" s="128" t="s">
        <v>324</v>
      </c>
      <c r="K49" s="128">
        <v>0.313</v>
      </c>
    </row>
    <row r="50" spans="1:11" ht="15.75">
      <c r="A50" s="126">
        <f t="shared" si="3"/>
        <v>2.25</v>
      </c>
      <c r="B50" s="129">
        <f t="shared" si="1"/>
        <v>0.30325</v>
      </c>
      <c r="C50" s="129">
        <f t="shared" si="4"/>
        <v>0.6914653846153848</v>
      </c>
      <c r="D50" s="130">
        <f t="shared" si="2"/>
        <v>0.20968687788461543</v>
      </c>
      <c r="G50" s="128" t="s">
        <v>325</v>
      </c>
      <c r="H50" s="128">
        <v>0.401</v>
      </c>
      <c r="J50" s="128" t="s">
        <v>325</v>
      </c>
      <c r="K50" s="128">
        <v>0.401</v>
      </c>
    </row>
    <row r="51" spans="1:11" ht="15.75">
      <c r="A51" s="126">
        <f t="shared" si="3"/>
        <v>2.3</v>
      </c>
      <c r="B51" s="129">
        <f t="shared" si="1"/>
        <v>0.31889999999999996</v>
      </c>
      <c r="C51" s="129">
        <f t="shared" si="4"/>
        <v>0.7315421538461538</v>
      </c>
      <c r="D51" s="130">
        <f t="shared" si="2"/>
        <v>0.23328879286153842</v>
      </c>
      <c r="G51" s="128" t="s">
        <v>326</v>
      </c>
      <c r="H51" s="128">
        <v>0.1223</v>
      </c>
      <c r="J51" s="128" t="s">
        <v>326</v>
      </c>
      <c r="K51" s="128">
        <v>0.1223</v>
      </c>
    </row>
    <row r="52" spans="1:11" ht="15.75">
      <c r="A52" s="126">
        <f t="shared" si="3"/>
        <v>2.3499999999999996</v>
      </c>
      <c r="B52" s="129">
        <f t="shared" si="1"/>
        <v>0.3345499999999999</v>
      </c>
      <c r="C52" s="129">
        <f t="shared" si="4"/>
        <v>0.772747846153846</v>
      </c>
      <c r="D52" s="130">
        <f t="shared" si="2"/>
        <v>0.2585227919307691</v>
      </c>
      <c r="G52" s="128" t="s">
        <v>327</v>
      </c>
      <c r="H52" s="128">
        <v>0.5</v>
      </c>
      <c r="J52" s="128" t="s">
        <v>327</v>
      </c>
      <c r="K52" s="128">
        <v>0.5</v>
      </c>
    </row>
    <row r="53" spans="1:11" ht="15.75">
      <c r="A53" s="126">
        <f t="shared" si="3"/>
        <v>2.3999999999999995</v>
      </c>
      <c r="B53" s="129">
        <f t="shared" si="1"/>
        <v>0.35019999999999984</v>
      </c>
      <c r="C53" s="129">
        <f t="shared" si="4"/>
        <v>0.8150824615384612</v>
      </c>
      <c r="D53" s="130">
        <f t="shared" si="2"/>
        <v>0.285441878030769</v>
      </c>
      <c r="G53" s="128" t="s">
        <v>336</v>
      </c>
      <c r="H53" s="128">
        <f>(b_2^3/(27*a_2^3))-(d_2^3/27)</f>
        <v>0.07325223505585884</v>
      </c>
      <c r="J53" s="128" t="s">
        <v>336</v>
      </c>
      <c r="K53" s="128">
        <f>(b_2^3/(27*a_2^3))-(d_2^3/27)</f>
        <v>0.07325223505585884</v>
      </c>
    </row>
    <row r="54" spans="1:11" ht="15.75">
      <c r="A54" s="126">
        <f t="shared" si="3"/>
        <v>2.4499999999999993</v>
      </c>
      <c r="B54" s="129">
        <f t="shared" si="1"/>
        <v>0.3658499999999998</v>
      </c>
      <c r="C54" s="129">
        <f t="shared" si="4"/>
        <v>0.8585459999999995</v>
      </c>
      <c r="D54" s="130">
        <f t="shared" si="2"/>
        <v>0.3140990540999996</v>
      </c>
      <c r="G54" s="128" t="s">
        <v>337</v>
      </c>
      <c r="H54" s="128">
        <f>(ftyp^2*M1M2^2/(4*a_2^2*c_2^2*(fsw*kHz)^2))+(b_2^3*ftyp*M1M2/(27*a_2^4*c_2*(fsw*kHz)))-(d_2^3*ftyp*M1M2/(27*a_2*c_2*(fsw*kHz)))+(b_2*d_2^2*ftyp*M1M2/(9*a_2^2*c_2*(fsw*kHz)))-(b_2^2*d_2*ftyp*M1M2/(9*a_2^3*c_2*(fsw*kHz)))</f>
        <v>2.6142711906340477</v>
      </c>
      <c r="J54" s="128" t="s">
        <v>337</v>
      </c>
      <c r="K54" s="128">
        <f>(ftyp^2*M1M2^2/(4*a_2^2*c_2^2*(fsw*kHz)^2))+(b_2^3*ftyp*M1M2/(27*a_2^4*c_2*(fsw*kHz)))-(d_2^3*ftyp*M1M2/(27*a_2*c_2*(fsw*kHz)))+(b_2*d_2^2*ftyp*M1M2/(9*a_2^2*c_2*(fsw*kHz)))-(b_2^2*d_2*ftyp*M1M2/(9*a_2^3*c_2*(fsw*kHz)))</f>
        <v>2.6142711906340477</v>
      </c>
    </row>
    <row r="55" spans="1:11" ht="15.75">
      <c r="A55" s="126">
        <f t="shared" si="3"/>
        <v>2.499999999999999</v>
      </c>
      <c r="B55" s="129">
        <f t="shared" si="1"/>
        <v>0.38149999999999973</v>
      </c>
      <c r="C55" s="129">
        <f t="shared" si="4"/>
        <v>0.9031384615384609</v>
      </c>
      <c r="D55" s="130">
        <f t="shared" si="2"/>
        <v>0.3445473230769226</v>
      </c>
      <c r="G55" s="128" t="s">
        <v>338</v>
      </c>
      <c r="H55" s="128">
        <f>(b_2*d_2^2/(9*a_2))-(b_2^2*d_2/(9*a_2^2))+(ftyp*M1M2/(2*a_2*c_2*(fsw*kHz)))</f>
        <v>1.5437149413584517</v>
      </c>
      <c r="J55" s="128" t="s">
        <v>338</v>
      </c>
      <c r="K55" s="128">
        <f>(b_2*d_2^2/(9*a_2))-(b_2^2*d_2/(9*a_2^2))+(ftyp*M1M2/(2*a_2*c_2*(fsw*kHz)))</f>
        <v>1.5437149413584517</v>
      </c>
    </row>
    <row r="56" spans="1:11" ht="15.75">
      <c r="A56" s="126">
        <f t="shared" si="3"/>
        <v>2.549999999999999</v>
      </c>
      <c r="B56" s="129">
        <f t="shared" si="1"/>
        <v>0.39714999999999967</v>
      </c>
      <c r="C56" s="129">
        <f t="shared" si="4"/>
        <v>0.9488598461538452</v>
      </c>
      <c r="D56" s="130">
        <f t="shared" si="2"/>
        <v>0.37683968789999933</v>
      </c>
      <c r="G56" s="128" t="s">
        <v>339</v>
      </c>
      <c r="H56" s="128">
        <f>(d_2^2/9)+(b_2^2/(9*a_2^2))-(2*b_2*d_2/(9*a_2))</f>
        <v>0.06779950800763512</v>
      </c>
      <c r="J56" s="128" t="s">
        <v>339</v>
      </c>
      <c r="K56" s="128">
        <f>(d_2^2/9)+(b_2^2/(9*a_2^2))-(2*b_2*d_2/(9*a_2))</f>
        <v>0.06779950800763512</v>
      </c>
    </row>
    <row r="57" spans="1:11" ht="15.75">
      <c r="A57" s="126">
        <f t="shared" si="3"/>
        <v>2.5999999999999988</v>
      </c>
      <c r="B57" s="129">
        <f t="shared" si="1"/>
        <v>0.4127999999999996</v>
      </c>
      <c r="C57" s="129">
        <f t="shared" si="4"/>
        <v>0.9957101538461528</v>
      </c>
      <c r="D57" s="130">
        <f t="shared" si="2"/>
        <v>0.4110291515076915</v>
      </c>
      <c r="G57" s="128" t="s">
        <v>341</v>
      </c>
      <c r="H57" s="128">
        <f>(b_2*c_2*(fsw*kHz)+2*a_2*c_2*d_2*(fsw*kHz))/(3*a_2*c_2*(fsw*kHz))</f>
        <v>0.7603833865814695</v>
      </c>
      <c r="J57" s="128" t="s">
        <v>341</v>
      </c>
      <c r="K57" s="128">
        <f>(b_2*c_2*(fsw*kHz)+2*a_2*c_2*d_2*(fsw*kHz))/(3*a_2*c_2*(fsw*kHz))</f>
        <v>0.7603833865814695</v>
      </c>
    </row>
    <row r="58" spans="1:11" ht="13.5">
      <c r="A58" s="126">
        <f t="shared" si="3"/>
        <v>2.6499999999999986</v>
      </c>
      <c r="B58" s="129">
        <f t="shared" si="1"/>
        <v>0.42844999999999955</v>
      </c>
      <c r="C58" s="129">
        <f t="shared" si="4"/>
        <v>1.0436893846153834</v>
      </c>
      <c r="D58" s="130">
        <f t="shared" si="2"/>
        <v>0.44716871683846054</v>
      </c>
      <c r="G58" s="128" t="s">
        <v>340</v>
      </c>
      <c r="H58" s="128">
        <f>((K_1V3+SQRT(K_2V3)+K_3V3)^(1/3))+(K_4V3/((K_1V3+SQRT(K_2V3)+K_3V3)^(1/3)))+K_5V3</f>
        <v>2.2850199650443486</v>
      </c>
      <c r="J58" s="128" t="s">
        <v>340</v>
      </c>
      <c r="K58" s="128">
        <f>((K_1V3+SQRT(K_2V3)+K_3V3)^(1/3))+(K_4V3/((K_1V3+SQRT(K_2V3)+K_3V3)^(1/3)))+K_5V3</f>
        <v>2.2850199650443486</v>
      </c>
    </row>
    <row r="59" spans="1:11" ht="13.5">
      <c r="A59" s="126">
        <f t="shared" si="3"/>
        <v>2.6999999999999984</v>
      </c>
      <c r="B59" s="129">
        <f t="shared" si="1"/>
        <v>0.4440999999999995</v>
      </c>
      <c r="C59" s="129">
        <f t="shared" si="4"/>
        <v>1.092797538461537</v>
      </c>
      <c r="D59" s="130">
        <f t="shared" si="2"/>
        <v>0.485311386830768</v>
      </c>
      <c r="G59" s="262"/>
      <c r="H59" s="263"/>
      <c r="J59" s="262"/>
      <c r="K59" s="263"/>
    </row>
    <row r="60" spans="1:11" ht="15.75">
      <c r="A60" s="126">
        <f t="shared" si="3"/>
        <v>2.7499999999999982</v>
      </c>
      <c r="B60" s="129">
        <f t="shared" si="1"/>
        <v>0.45974999999999944</v>
      </c>
      <c r="C60" s="129">
        <f t="shared" si="4"/>
        <v>1.1430346153846138</v>
      </c>
      <c r="D60" s="130">
        <f t="shared" si="2"/>
        <v>0.5255101644230755</v>
      </c>
      <c r="G60" s="128" t="s">
        <v>342</v>
      </c>
      <c r="H60" s="128">
        <v>1.007</v>
      </c>
      <c r="J60" s="128" t="s">
        <v>342</v>
      </c>
      <c r="K60" s="128">
        <v>1.007</v>
      </c>
    </row>
    <row r="61" spans="1:11" ht="15.75">
      <c r="A61" s="126">
        <f>A60+0.05</f>
        <v>2.799999999999998</v>
      </c>
      <c r="B61" s="129">
        <f t="shared" si="1"/>
        <v>0.4753999999999994</v>
      </c>
      <c r="C61" s="129">
        <f t="shared" si="4"/>
        <v>1.1944006153846136</v>
      </c>
      <c r="D61" s="130">
        <f t="shared" si="2"/>
        <v>0.5678180525538445</v>
      </c>
      <c r="G61" s="128" t="s">
        <v>343</v>
      </c>
      <c r="H61" s="128">
        <v>0.1223</v>
      </c>
      <c r="J61" s="128" t="s">
        <v>343</v>
      </c>
      <c r="K61" s="128">
        <v>0.1223</v>
      </c>
    </row>
    <row r="62" spans="1:11" ht="15.75">
      <c r="A62" s="126">
        <f t="shared" si="3"/>
        <v>2.849999999999998</v>
      </c>
      <c r="B62" s="129">
        <f t="shared" si="1"/>
        <v>0.4910499999999993</v>
      </c>
      <c r="C62" s="129">
        <f t="shared" si="4"/>
        <v>1.2468955384615363</v>
      </c>
      <c r="D62" s="130">
        <f t="shared" si="2"/>
        <v>0.6122880541615365</v>
      </c>
      <c r="G62" s="128" t="s">
        <v>344</v>
      </c>
      <c r="H62" s="128">
        <v>0.5</v>
      </c>
      <c r="J62" s="128" t="s">
        <v>344</v>
      </c>
      <c r="K62" s="128">
        <v>0.5</v>
      </c>
    </row>
    <row r="63" spans="1:11" ht="13.5">
      <c r="A63" s="126">
        <f t="shared" si="3"/>
        <v>2.8999999999999977</v>
      </c>
      <c r="B63" s="129">
        <f t="shared" si="1"/>
        <v>0.5066999999999993</v>
      </c>
      <c r="C63" s="129">
        <f t="shared" si="4"/>
        <v>1.3005193846153824</v>
      </c>
      <c r="D63" s="130">
        <f t="shared" si="2"/>
        <v>0.6589731721846133</v>
      </c>
      <c r="G63" s="128" t="s">
        <v>345</v>
      </c>
      <c r="H63" s="128">
        <f>c_3+(SQRT(ftyp)*SQRT(M1M2)/(SQRT(a_3)*SQRT(b_3)*SQRT(fsw*kHz)))</f>
        <v>1.4971011272804513</v>
      </c>
      <c r="J63" s="128" t="s">
        <v>345</v>
      </c>
      <c r="K63" s="128">
        <f>c_3+(SQRT(ftyp)*SQRT(M1M2)/(SQRT(a_3)*SQRT(b_3)*SQRT(fsw*kHz)))</f>
        <v>1.4971011272804513</v>
      </c>
    </row>
    <row r="64" spans="1:11" ht="13.5">
      <c r="A64" s="126">
        <f t="shared" si="3"/>
        <v>2.9499999999999975</v>
      </c>
      <c r="B64" s="129">
        <f t="shared" si="1"/>
        <v>0.5223499999999992</v>
      </c>
      <c r="C64" s="129">
        <f t="shared" si="4"/>
        <v>1.3552721538461514</v>
      </c>
      <c r="D64" s="130">
        <f t="shared" si="2"/>
        <v>0.7079264095615361</v>
      </c>
      <c r="G64" s="262"/>
      <c r="H64" s="263"/>
      <c r="J64" s="262"/>
      <c r="K64" s="263"/>
    </row>
    <row r="65" spans="1:11" ht="15.75">
      <c r="A65" s="126">
        <f t="shared" si="3"/>
        <v>2.9999999999999973</v>
      </c>
      <c r="B65" s="129">
        <f t="shared" si="1"/>
        <v>0.5379999999999991</v>
      </c>
      <c r="C65" s="129">
        <f t="shared" si="4"/>
        <v>1.4111538461538433</v>
      </c>
      <c r="D65" s="130">
        <f t="shared" si="2"/>
        <v>0.7592007692307665</v>
      </c>
      <c r="G65" s="128" t="s">
        <v>346</v>
      </c>
      <c r="H65" s="128">
        <v>1.007</v>
      </c>
      <c r="J65" s="128" t="s">
        <v>346</v>
      </c>
      <c r="K65" s="128">
        <v>1.007</v>
      </c>
    </row>
    <row r="66" spans="1:11" ht="15">
      <c r="A66" s="126">
        <f t="shared" si="3"/>
        <v>3.049999999999997</v>
      </c>
      <c r="B66" s="129">
        <f t="shared" si="1"/>
        <v>0.5536499999999991</v>
      </c>
      <c r="C66" s="129">
        <f t="shared" si="4"/>
        <v>1.4681644615384584</v>
      </c>
      <c r="D66" s="130">
        <f t="shared" si="2"/>
        <v>0.8128492541307661</v>
      </c>
      <c r="G66" s="128" t="s">
        <v>347</v>
      </c>
      <c r="H66" s="128">
        <v>2.056</v>
      </c>
      <c r="J66" s="128" t="s">
        <v>347</v>
      </c>
      <c r="K66" s="128">
        <v>2.056</v>
      </c>
    </row>
    <row r="67" spans="1:11" ht="13.5">
      <c r="A67" s="126">
        <f t="shared" si="3"/>
        <v>3.099999999999997</v>
      </c>
      <c r="B67" s="129">
        <f t="shared" si="1"/>
        <v>0.569299999999999</v>
      </c>
      <c r="C67" s="129">
        <f t="shared" si="4"/>
        <v>1.5263039999999968</v>
      </c>
      <c r="D67" s="130">
        <f t="shared" si="2"/>
        <v>0.8689248671999967</v>
      </c>
      <c r="G67" s="128" t="s">
        <v>348</v>
      </c>
      <c r="H67" s="128">
        <f>(a_4*(fsw*kHz)*b_4/ftyp)</f>
        <v>3.833263214726713</v>
      </c>
      <c r="J67" s="128" t="s">
        <v>348</v>
      </c>
      <c r="K67" s="128">
        <f>(a_4*(fsw*kHz)*b_4/ftyp)</f>
        <v>3.833263214726713</v>
      </c>
    </row>
    <row r="68" spans="1:11" ht="13.5">
      <c r="A68" s="126">
        <f t="shared" si="3"/>
        <v>3.149999999999997</v>
      </c>
      <c r="B68" s="129">
        <f t="shared" si="1"/>
        <v>0.584949999999999</v>
      </c>
      <c r="C68" s="129">
        <f t="shared" si="4"/>
        <v>1.5855724615384579</v>
      </c>
      <c r="D68" s="130">
        <f t="shared" si="2"/>
        <v>0.9274806113769193</v>
      </c>
      <c r="G68" s="262"/>
      <c r="H68" s="263"/>
      <c r="J68" s="262"/>
      <c r="K68" s="263"/>
    </row>
    <row r="69" spans="1:11" ht="13.5">
      <c r="A69" s="126">
        <f t="shared" si="3"/>
        <v>3.1999999999999966</v>
      </c>
      <c r="B69" s="129">
        <f t="shared" si="1"/>
        <v>0.6005999999999989</v>
      </c>
      <c r="C69" s="129">
        <f aca="true" t="shared" si="5" ref="C69:C105">IF(A69&lt;=0.5,0,IF(A69&lt;4.6,((fSW_target/65)*0.1223*(A69-0.5)^2),IF(A69&lt;=5,((fSW_target/65)*2.056),"VCOMP MUST BE &lt; 5")))</f>
        <v>1.6459698461538421</v>
      </c>
      <c r="D69" s="130">
        <f t="shared" si="2"/>
        <v>0.9885694895999958</v>
      </c>
      <c r="G69" s="128" t="s">
        <v>349</v>
      </c>
      <c r="H69" s="128">
        <f>IF(VCOMP1&gt;=0.5,IF(VCOMP1&lt;1,VCOMP1,IF(VCOMP2&gt;=1,IF(VCOMP2&lt;2,VCOMP2,IF(VCOMP3&gt;=2,IF(VCOMP3&lt;4.5,VCOMP3,IF(VCOMP4&gt;=4.5,IF(VCOMP4&lt;4.6,VCOMP4,VCOMP5))))))))</f>
        <v>2.2850199650443486</v>
      </c>
      <c r="J69" s="128" t="s">
        <v>349</v>
      </c>
      <c r="K69" s="128">
        <f>IF(VCOMP1&gt;=0.5,IF(VCOMP1&lt;1,VCOMP1,IF(VCOMP2&gt;=1,IF(VCOMP2&lt;2,VCOMP2,IF(VCOMP3&gt;=2,IF(VCOMP3&lt;4.5,VCOMP3,IF(VCOMP4&gt;=4.5,IF(VCOMP4&lt;4.6,VCOMP4,VCOMP5))))))))</f>
        <v>2.2850199650443486</v>
      </c>
    </row>
    <row r="70" spans="1:4" ht="13.5">
      <c r="A70" s="126">
        <f t="shared" si="3"/>
        <v>3.2499999999999964</v>
      </c>
      <c r="B70" s="129">
        <f aca="true" t="shared" si="6" ref="B70:B105">IF(A70&lt;1,(0.068),IF(A70&lt;2,(0.156*A70-0.088),IF(A70&lt;4.5,(0.313*A70-0.401),IF(A70&lt;=5,1.007,"VCOMP MUST BE &lt; 5"))))</f>
        <v>0.6162499999999989</v>
      </c>
      <c r="C70" s="129">
        <f t="shared" si="5"/>
        <v>1.7074961538461497</v>
      </c>
      <c r="D70" s="130">
        <f aca="true" t="shared" si="7" ref="D70:D105">B70*C70</f>
        <v>1.0522445048076878</v>
      </c>
    </row>
    <row r="71" spans="1:4" ht="13.5">
      <c r="A71" s="126">
        <f aca="true" t="shared" si="8" ref="A71:A87">A70+0.05</f>
        <v>3.2999999999999963</v>
      </c>
      <c r="B71" s="129">
        <f t="shared" si="6"/>
        <v>0.6318999999999988</v>
      </c>
      <c r="C71" s="129">
        <f t="shared" si="5"/>
        <v>1.7701513846153802</v>
      </c>
      <c r="D71" s="130">
        <f t="shared" si="7"/>
        <v>1.1185586599384567</v>
      </c>
    </row>
    <row r="72" spans="1:4" ht="13.5">
      <c r="A72" s="126">
        <f t="shared" si="8"/>
        <v>3.349999999999996</v>
      </c>
      <c r="B72" s="129">
        <f t="shared" si="6"/>
        <v>0.6475499999999987</v>
      </c>
      <c r="C72" s="129">
        <f t="shared" si="5"/>
        <v>1.8339355384615337</v>
      </c>
      <c r="D72" s="130">
        <f t="shared" si="7"/>
        <v>1.1875649579307639</v>
      </c>
    </row>
    <row r="73" spans="1:4" ht="13.5">
      <c r="A73" s="126">
        <f t="shared" si="8"/>
        <v>3.399999999999996</v>
      </c>
      <c r="B73" s="129">
        <f t="shared" si="6"/>
        <v>0.6631999999999987</v>
      </c>
      <c r="C73" s="129">
        <f t="shared" si="5"/>
        <v>1.8988486153846105</v>
      </c>
      <c r="D73" s="130">
        <f t="shared" si="7"/>
        <v>1.2593164017230711</v>
      </c>
    </row>
    <row r="74" spans="1:4" ht="13.5">
      <c r="A74" s="126">
        <f t="shared" si="8"/>
        <v>3.4499999999999957</v>
      </c>
      <c r="B74" s="129">
        <f t="shared" si="6"/>
        <v>0.6788499999999986</v>
      </c>
      <c r="C74" s="129">
        <f t="shared" si="5"/>
        <v>1.9648906153846102</v>
      </c>
      <c r="D74" s="130">
        <f t="shared" si="7"/>
        <v>1.33386599425384</v>
      </c>
    </row>
    <row r="75" spans="1:4" ht="13.5">
      <c r="A75" s="126">
        <f t="shared" si="8"/>
        <v>3.4999999999999956</v>
      </c>
      <c r="B75" s="129">
        <f t="shared" si="6"/>
        <v>0.6944999999999986</v>
      </c>
      <c r="C75" s="129">
        <f t="shared" si="5"/>
        <v>2.032061538461533</v>
      </c>
      <c r="D75" s="130">
        <f t="shared" si="7"/>
        <v>1.4112667384615316</v>
      </c>
    </row>
    <row r="76" spans="1:4" ht="13.5">
      <c r="A76" s="126">
        <f t="shared" si="8"/>
        <v>3.5499999999999954</v>
      </c>
      <c r="B76" s="129">
        <f t="shared" si="6"/>
        <v>0.7101499999999985</v>
      </c>
      <c r="C76" s="129">
        <f t="shared" si="5"/>
        <v>2.1003613846153786</v>
      </c>
      <c r="D76" s="130">
        <f t="shared" si="7"/>
        <v>1.491571637284608</v>
      </c>
    </row>
    <row r="77" spans="1:4" ht="13.5">
      <c r="A77" s="126">
        <f t="shared" si="8"/>
        <v>3.599999999999995</v>
      </c>
      <c r="B77" s="129">
        <f t="shared" si="6"/>
        <v>0.7257999999999984</v>
      </c>
      <c r="C77" s="129">
        <f t="shared" si="5"/>
        <v>2.1697901538461477</v>
      </c>
      <c r="D77" s="130">
        <f t="shared" si="7"/>
        <v>1.5748336936615306</v>
      </c>
    </row>
    <row r="78" spans="1:4" ht="13.5">
      <c r="A78" s="126">
        <f t="shared" si="8"/>
        <v>3.649999999999995</v>
      </c>
      <c r="B78" s="129">
        <f t="shared" si="6"/>
        <v>0.7414499999999984</v>
      </c>
      <c r="C78" s="129">
        <f t="shared" si="5"/>
        <v>2.2403478461538393</v>
      </c>
      <c r="D78" s="130">
        <f t="shared" si="7"/>
        <v>1.6611059105307606</v>
      </c>
    </row>
    <row r="79" spans="1:4" ht="13.5">
      <c r="A79" s="126">
        <f t="shared" si="8"/>
        <v>3.699999999999995</v>
      </c>
      <c r="B79" s="129">
        <f t="shared" si="6"/>
        <v>0.7570999999999983</v>
      </c>
      <c r="C79" s="129">
        <f t="shared" si="5"/>
        <v>2.3120344615384543</v>
      </c>
      <c r="D79" s="130">
        <f t="shared" si="7"/>
        <v>1.7504412908307598</v>
      </c>
    </row>
    <row r="80" spans="1:4" ht="13.5">
      <c r="A80" s="126">
        <f t="shared" si="8"/>
        <v>3.7499999999999947</v>
      </c>
      <c r="B80" s="129">
        <f t="shared" si="6"/>
        <v>0.7727499999999983</v>
      </c>
      <c r="C80" s="129">
        <f t="shared" si="5"/>
        <v>2.384849999999992</v>
      </c>
      <c r="D80" s="130">
        <f t="shared" si="7"/>
        <v>1.8428928374999898</v>
      </c>
    </row>
    <row r="81" spans="1:4" ht="13.5">
      <c r="A81" s="126">
        <f t="shared" si="8"/>
        <v>3.7999999999999945</v>
      </c>
      <c r="B81" s="129">
        <f t="shared" si="6"/>
        <v>0.7883999999999982</v>
      </c>
      <c r="C81" s="129">
        <f t="shared" si="5"/>
        <v>2.4587944615384534</v>
      </c>
      <c r="D81" s="130">
        <f t="shared" si="7"/>
        <v>1.9385135534769122</v>
      </c>
    </row>
    <row r="82" spans="1:4" ht="13.5">
      <c r="A82" s="126">
        <f t="shared" si="8"/>
        <v>3.8499999999999943</v>
      </c>
      <c r="B82" s="129">
        <f t="shared" si="6"/>
        <v>0.8040499999999982</v>
      </c>
      <c r="C82" s="129">
        <f t="shared" si="5"/>
        <v>2.5338678461538375</v>
      </c>
      <c r="D82" s="130">
        <f t="shared" si="7"/>
        <v>2.0373564416999885</v>
      </c>
    </row>
    <row r="83" spans="1:4" ht="13.5">
      <c r="A83" s="126">
        <f t="shared" si="8"/>
        <v>3.899999999999994</v>
      </c>
      <c r="B83" s="129">
        <f t="shared" si="6"/>
        <v>0.8196999999999981</v>
      </c>
      <c r="C83" s="129">
        <f t="shared" si="5"/>
        <v>2.610070153846145</v>
      </c>
      <c r="D83" s="130">
        <f t="shared" si="7"/>
        <v>2.13947450510768</v>
      </c>
    </row>
    <row r="84" spans="1:4" ht="13.5">
      <c r="A84" s="126">
        <f t="shared" si="8"/>
        <v>3.949999999999994</v>
      </c>
      <c r="B84" s="129">
        <f t="shared" si="6"/>
        <v>0.835349999999998</v>
      </c>
      <c r="C84" s="129">
        <f t="shared" si="5"/>
        <v>2.687401384615376</v>
      </c>
      <c r="D84" s="130">
        <f t="shared" si="7"/>
        <v>2.244920746638449</v>
      </c>
    </row>
    <row r="85" spans="1:4" ht="13.5">
      <c r="A85" s="126">
        <f t="shared" si="8"/>
        <v>3.999999999999994</v>
      </c>
      <c r="B85" s="129">
        <f t="shared" si="6"/>
        <v>0.850999999999998</v>
      </c>
      <c r="C85" s="129">
        <f t="shared" si="5"/>
        <v>2.7658615384615293</v>
      </c>
      <c r="D85" s="130">
        <f t="shared" si="7"/>
        <v>2.353748169230756</v>
      </c>
    </row>
    <row r="86" spans="1:4" ht="13.5">
      <c r="A86" s="126">
        <f t="shared" si="8"/>
        <v>4.049999999999994</v>
      </c>
      <c r="B86" s="129">
        <f t="shared" si="6"/>
        <v>0.8666499999999979</v>
      </c>
      <c r="C86" s="129">
        <f t="shared" si="5"/>
        <v>2.8454506153846055</v>
      </c>
      <c r="D86" s="130">
        <f t="shared" si="7"/>
        <v>2.4660097758230624</v>
      </c>
    </row>
    <row r="87" spans="1:4" ht="13.5">
      <c r="A87" s="126">
        <f t="shared" si="8"/>
        <v>4.099999999999993</v>
      </c>
      <c r="B87" s="129">
        <f t="shared" si="6"/>
        <v>0.8822999999999979</v>
      </c>
      <c r="C87" s="129">
        <f t="shared" si="5"/>
        <v>2.926168615384605</v>
      </c>
      <c r="D87" s="130">
        <f t="shared" si="7"/>
        <v>2.581758569353831</v>
      </c>
    </row>
    <row r="88" spans="1:4" ht="13.5">
      <c r="A88" s="126">
        <f>A87+0.05</f>
        <v>4.149999999999993</v>
      </c>
      <c r="B88" s="129">
        <f t="shared" si="6"/>
        <v>0.8979499999999978</v>
      </c>
      <c r="C88" s="129">
        <f t="shared" si="5"/>
        <v>3.0080155384615277</v>
      </c>
      <c r="D88" s="130">
        <f t="shared" si="7"/>
        <v>2.7010475527615223</v>
      </c>
    </row>
    <row r="89" spans="1:4" ht="13.5">
      <c r="A89" s="126">
        <f aca="true" t="shared" si="9" ref="A89:A105">A88+0.05</f>
        <v>4.199999999999993</v>
      </c>
      <c r="B89" s="129">
        <f t="shared" si="6"/>
        <v>0.9135999999999977</v>
      </c>
      <c r="C89" s="129">
        <f t="shared" si="5"/>
        <v>3.090991384615373</v>
      </c>
      <c r="D89" s="130">
        <f t="shared" si="7"/>
        <v>2.823929728984598</v>
      </c>
    </row>
    <row r="90" spans="1:4" ht="13.5">
      <c r="A90" s="126">
        <f t="shared" si="9"/>
        <v>4.249999999999993</v>
      </c>
      <c r="B90" s="129">
        <f t="shared" si="6"/>
        <v>0.9292499999999977</v>
      </c>
      <c r="C90" s="129">
        <f t="shared" si="5"/>
        <v>3.1750961538461424</v>
      </c>
      <c r="D90" s="130">
        <f t="shared" si="7"/>
        <v>2.9504581009615203</v>
      </c>
    </row>
    <row r="91" spans="1:4" ht="13.5">
      <c r="A91" s="126">
        <f t="shared" si="9"/>
        <v>4.299999999999993</v>
      </c>
      <c r="B91" s="129">
        <f t="shared" si="6"/>
        <v>0.9448999999999976</v>
      </c>
      <c r="C91" s="129">
        <f t="shared" si="5"/>
        <v>3.260329846153834</v>
      </c>
      <c r="D91" s="130">
        <f t="shared" si="7"/>
        <v>3.08068567163075</v>
      </c>
    </row>
    <row r="92" spans="1:4" ht="13.5">
      <c r="A92" s="126">
        <f t="shared" si="9"/>
        <v>4.3499999999999925</v>
      </c>
      <c r="B92" s="129">
        <f t="shared" si="6"/>
        <v>0.9605499999999976</v>
      </c>
      <c r="C92" s="129">
        <f t="shared" si="5"/>
        <v>3.3466924615384492</v>
      </c>
      <c r="D92" s="130">
        <f t="shared" si="7"/>
        <v>3.214665443930749</v>
      </c>
    </row>
    <row r="93" spans="1:4" ht="13.5">
      <c r="A93" s="126">
        <f t="shared" si="9"/>
        <v>4.399999999999992</v>
      </c>
      <c r="B93" s="129">
        <f t="shared" si="6"/>
        <v>0.9761999999999975</v>
      </c>
      <c r="C93" s="129">
        <f t="shared" si="5"/>
        <v>3.4341839999999872</v>
      </c>
      <c r="D93" s="130">
        <f t="shared" si="7"/>
        <v>3.352450420799979</v>
      </c>
    </row>
    <row r="94" spans="1:4" ht="13.5">
      <c r="A94" s="126">
        <f t="shared" si="9"/>
        <v>4.449999999999992</v>
      </c>
      <c r="B94" s="129">
        <f t="shared" si="6"/>
        <v>0.9918499999999975</v>
      </c>
      <c r="C94" s="129">
        <f t="shared" si="5"/>
        <v>3.522804461538448</v>
      </c>
      <c r="D94" s="130">
        <f t="shared" si="7"/>
        <v>3.494093605176901</v>
      </c>
    </row>
    <row r="95" spans="1:4" ht="13.5">
      <c r="A95" s="126">
        <f t="shared" si="9"/>
        <v>4.499999999999992</v>
      </c>
      <c r="B95" s="129">
        <f t="shared" si="6"/>
        <v>1.0074999999999974</v>
      </c>
      <c r="C95" s="129">
        <f t="shared" si="5"/>
        <v>3.612553846153832</v>
      </c>
      <c r="D95" s="130">
        <f t="shared" si="7"/>
        <v>3.6396479999999762</v>
      </c>
    </row>
    <row r="96" spans="1:4" ht="13.5">
      <c r="A96" s="126">
        <f t="shared" si="9"/>
        <v>4.549999999999992</v>
      </c>
      <c r="B96" s="129">
        <f t="shared" si="6"/>
        <v>1.007</v>
      </c>
      <c r="C96" s="129">
        <f t="shared" si="5"/>
        <v>3.703432153846139</v>
      </c>
      <c r="D96" s="130">
        <f t="shared" si="7"/>
        <v>3.729356178923062</v>
      </c>
    </row>
    <row r="97" spans="1:4" ht="13.5">
      <c r="A97" s="126">
        <f t="shared" si="9"/>
        <v>4.599999999999992</v>
      </c>
      <c r="B97" s="129">
        <f t="shared" si="6"/>
        <v>1.007</v>
      </c>
      <c r="C97" s="129">
        <f t="shared" si="5"/>
        <v>3.79543938461537</v>
      </c>
      <c r="D97" s="130">
        <f t="shared" si="7"/>
        <v>3.822007460307677</v>
      </c>
    </row>
    <row r="98" spans="1:4" ht="13.5">
      <c r="A98" s="126">
        <f t="shared" si="9"/>
        <v>4.6499999999999915</v>
      </c>
      <c r="B98" s="129">
        <f t="shared" si="6"/>
        <v>1.007</v>
      </c>
      <c r="C98" s="129">
        <f t="shared" si="5"/>
        <v>3.795692307692308</v>
      </c>
      <c r="D98" s="130">
        <f t="shared" si="7"/>
        <v>3.822262153846154</v>
      </c>
    </row>
    <row r="99" spans="1:4" ht="13.5">
      <c r="A99" s="126">
        <f t="shared" si="9"/>
        <v>4.699999999999991</v>
      </c>
      <c r="B99" s="129">
        <f t="shared" si="6"/>
        <v>1.007</v>
      </c>
      <c r="C99" s="129">
        <f t="shared" si="5"/>
        <v>3.795692307692308</v>
      </c>
      <c r="D99" s="130">
        <f t="shared" si="7"/>
        <v>3.822262153846154</v>
      </c>
    </row>
    <row r="100" spans="1:4" ht="13.5">
      <c r="A100" s="126">
        <f t="shared" si="9"/>
        <v>4.749999999999991</v>
      </c>
      <c r="B100" s="129">
        <f t="shared" si="6"/>
        <v>1.007</v>
      </c>
      <c r="C100" s="129">
        <f t="shared" si="5"/>
        <v>3.795692307692308</v>
      </c>
      <c r="D100" s="130">
        <f t="shared" si="7"/>
        <v>3.822262153846154</v>
      </c>
    </row>
    <row r="101" spans="1:4" ht="13.5">
      <c r="A101" s="126">
        <f t="shared" si="9"/>
        <v>4.799999999999991</v>
      </c>
      <c r="B101" s="129">
        <f t="shared" si="6"/>
        <v>1.007</v>
      </c>
      <c r="C101" s="129">
        <f t="shared" si="5"/>
        <v>3.795692307692308</v>
      </c>
      <c r="D101" s="130">
        <f t="shared" si="7"/>
        <v>3.822262153846154</v>
      </c>
    </row>
    <row r="102" spans="1:4" ht="13.5">
      <c r="A102" s="126">
        <f t="shared" si="9"/>
        <v>4.849999999999991</v>
      </c>
      <c r="B102" s="129">
        <f t="shared" si="6"/>
        <v>1.007</v>
      </c>
      <c r="C102" s="129">
        <f t="shared" si="5"/>
        <v>3.795692307692308</v>
      </c>
      <c r="D102" s="130">
        <f t="shared" si="7"/>
        <v>3.822262153846154</v>
      </c>
    </row>
    <row r="103" spans="1:4" ht="13.5">
      <c r="A103" s="126">
        <f t="shared" si="9"/>
        <v>4.899999999999991</v>
      </c>
      <c r="B103" s="129">
        <f t="shared" si="6"/>
        <v>1.007</v>
      </c>
      <c r="C103" s="129">
        <f t="shared" si="5"/>
        <v>3.795692307692308</v>
      </c>
      <c r="D103" s="130">
        <f t="shared" si="7"/>
        <v>3.822262153846154</v>
      </c>
    </row>
    <row r="104" spans="1:4" ht="13.5">
      <c r="A104" s="126">
        <f t="shared" si="9"/>
        <v>4.94999999999999</v>
      </c>
      <c r="B104" s="129">
        <f t="shared" si="6"/>
        <v>1.007</v>
      </c>
      <c r="C104" s="129">
        <f t="shared" si="5"/>
        <v>3.795692307692308</v>
      </c>
      <c r="D104" s="130">
        <f t="shared" si="7"/>
        <v>3.822262153846154</v>
      </c>
    </row>
    <row r="105" spans="1:4" ht="13.5">
      <c r="A105" s="126">
        <f t="shared" si="9"/>
        <v>4.99999999999999</v>
      </c>
      <c r="B105" s="129">
        <f t="shared" si="6"/>
        <v>1.007</v>
      </c>
      <c r="C105" s="129">
        <f t="shared" si="5"/>
        <v>3.795692307692308</v>
      </c>
      <c r="D105" s="130">
        <f t="shared" si="7"/>
        <v>3.822262153846154</v>
      </c>
    </row>
    <row r="106" ht="13.5">
      <c r="A106" s="131"/>
    </row>
    <row r="107" ht="13.5">
      <c r="A107" s="131"/>
    </row>
    <row r="109" ht="14.25" thickBot="1"/>
    <row r="110" spans="1:16" ht="14.25" thickBot="1">
      <c r="A110" s="264" t="s">
        <v>142</v>
      </c>
      <c r="B110" s="265"/>
      <c r="C110" s="265"/>
      <c r="D110" s="265"/>
      <c r="E110" s="265"/>
      <c r="F110" s="266"/>
      <c r="G110" s="263" t="s">
        <v>153</v>
      </c>
      <c r="H110" s="269"/>
      <c r="I110" s="269"/>
      <c r="J110" s="269"/>
      <c r="K110" s="269"/>
      <c r="L110" s="269"/>
      <c r="M110" s="269"/>
      <c r="N110" s="269"/>
      <c r="O110" s="269"/>
      <c r="P110" s="127" t="s">
        <v>179</v>
      </c>
    </row>
    <row r="111" spans="1:20" ht="13.5">
      <c r="A111" s="270" t="s">
        <v>144</v>
      </c>
      <c r="B111" s="128"/>
      <c r="C111" s="128"/>
      <c r="D111" s="128"/>
      <c r="E111" s="128"/>
      <c r="F111" s="132"/>
      <c r="G111" s="271" t="s">
        <v>144</v>
      </c>
      <c r="H111" s="128"/>
      <c r="I111" s="128"/>
      <c r="J111" s="126"/>
      <c r="K111" s="126"/>
      <c r="L111" s="126"/>
      <c r="M111" s="128"/>
      <c r="N111" s="128"/>
      <c r="O111" s="272" t="s">
        <v>159</v>
      </c>
      <c r="P111" s="264" t="s">
        <v>180</v>
      </c>
      <c r="Q111" s="265"/>
      <c r="R111" s="265" t="s">
        <v>185</v>
      </c>
      <c r="S111" s="265"/>
      <c r="T111" s="266"/>
    </row>
    <row r="112" spans="1:20" ht="13.5">
      <c r="A112" s="270"/>
      <c r="B112" s="128" t="s">
        <v>145</v>
      </c>
      <c r="C112" s="133" t="s">
        <v>146</v>
      </c>
      <c r="D112" s="269" t="s">
        <v>143</v>
      </c>
      <c r="E112" s="269"/>
      <c r="F112" s="132" t="s">
        <v>147</v>
      </c>
      <c r="G112" s="271"/>
      <c r="H112" s="128" t="s">
        <v>145</v>
      </c>
      <c r="I112" s="133" t="s">
        <v>146</v>
      </c>
      <c r="J112" s="128" t="s">
        <v>155</v>
      </c>
      <c r="K112" s="269" t="s">
        <v>156</v>
      </c>
      <c r="L112" s="269"/>
      <c r="M112" s="267" t="s">
        <v>158</v>
      </c>
      <c r="N112" s="267"/>
      <c r="O112" s="272"/>
      <c r="P112" s="134"/>
      <c r="Q112" s="128" t="s">
        <v>157</v>
      </c>
      <c r="R112" s="128"/>
      <c r="S112" s="128" t="s">
        <v>157</v>
      </c>
      <c r="T112" s="132" t="s">
        <v>186</v>
      </c>
    </row>
    <row r="113" spans="1:25" ht="13.5">
      <c r="A113" s="270"/>
      <c r="B113" s="128" t="s">
        <v>5</v>
      </c>
      <c r="C113" s="128" t="s">
        <v>170</v>
      </c>
      <c r="D113" s="128"/>
      <c r="E113" s="128" t="s">
        <v>157</v>
      </c>
      <c r="F113" s="132" t="s">
        <v>171</v>
      </c>
      <c r="G113" s="271"/>
      <c r="H113" s="128" t="s">
        <v>5</v>
      </c>
      <c r="I113" s="128" t="s">
        <v>170</v>
      </c>
      <c r="J113" s="128" t="s">
        <v>172</v>
      </c>
      <c r="K113" s="128"/>
      <c r="L113" s="135" t="s">
        <v>157</v>
      </c>
      <c r="M113" s="128"/>
      <c r="N113" s="128" t="s">
        <v>157</v>
      </c>
      <c r="O113" s="136" t="s">
        <v>171</v>
      </c>
      <c r="P113" s="134"/>
      <c r="Q113" s="128"/>
      <c r="R113" s="128"/>
      <c r="S113" s="128"/>
      <c r="T113" s="132"/>
      <c r="W113" s="127" t="s">
        <v>182</v>
      </c>
      <c r="X113" s="127" t="s">
        <v>183</v>
      </c>
      <c r="Y113" s="127" t="s">
        <v>184</v>
      </c>
    </row>
    <row r="114" spans="1:25" ht="13.5">
      <c r="A114" s="134">
        <v>1</v>
      </c>
      <c r="B114" s="128">
        <f>10^A114</f>
        <v>10</v>
      </c>
      <c r="C114" s="128">
        <f aca="true" t="shared" si="10" ref="C114:C145">2*PI()*B114</f>
        <v>62.83185307179586</v>
      </c>
      <c r="D114" s="128" t="str">
        <f aca="true" t="shared" si="11" ref="D114:D145">IMDIV((K_1*2.5*Rsense*Vout_nom)/(K_FQ*M_1*(M_2/us)*Lbst*mH),IMPRODUCT((COMPLEX(0,C114*1)),COMPLEX(1,(C114/(2*PI()*fiavg*kHz)))))</f>
        <v>-4.48224033005714-3042.02350205589i</v>
      </c>
      <c r="E114" s="128">
        <f aca="true" t="shared" si="12" ref="E114:E145">20*LOG(IMABS(D114))</f>
        <v>69.66326072865704</v>
      </c>
      <c r="F114" s="132">
        <f>IMARGUMENT(D114)*180/(PI())</f>
        <v>-90.08442185527254</v>
      </c>
      <c r="G114" s="137">
        <v>-2</v>
      </c>
      <c r="H114" s="138">
        <f>10^G114</f>
        <v>0.01</v>
      </c>
      <c r="I114" s="138">
        <f>2*PI()*H114</f>
        <v>0.06283185307179587</v>
      </c>
      <c r="J114" s="138">
        <f aca="true" t="shared" si="13" ref="J114:J145">(R_fb2*kOhms)/((R_fb1*MegOhm)+(R_fb2*kOhms))</f>
        <v>0.01296111665004985</v>
      </c>
      <c r="K114" s="138" t="str">
        <f aca="true" t="shared" si="14" ref="K114:K145">IMDIV(((M_3/us)*Vout_nom)/(M1M2/us),COMPLEX(1,(I114/(2*PI()*fPWM_PSpole))))</f>
        <v>816.451080652373-7.03693595947904i</v>
      </c>
      <c r="L114" s="128">
        <f aca="true" t="shared" si="15" ref="L114:L145">20*LOG(IMABS(K114))</f>
        <v>58.238925972014414</v>
      </c>
      <c r="M114" s="128" t="str">
        <f aca="true" t="shared" si="16" ref="M114:M145">IMPRODUCT(J114,K114)</f>
        <v>10.5821176953947-0.0912065478297383i</v>
      </c>
      <c r="N114" s="128">
        <f aca="true" t="shared" si="17" ref="N114:N145">20*LOG(IMABS(M114))</f>
        <v>20.491774357742813</v>
      </c>
      <c r="O114" s="136">
        <f aca="true" t="shared" si="18" ref="O114:O145">180/PI()*IMARGUMENT(M114)</f>
        <v>-0.49381617279208456</v>
      </c>
      <c r="P114" s="134" t="str">
        <f>IMPRODUCT(gmv,IMDIV((COMPLEX(1,I114*(Rvcomp*kOhms)*(Cvcomp*uF))),IMPRODUCT((COMPLEX(0,data!I114*((Cvcomp*uF)+(Cvcomp_p*uF)))),(COMPLEX(1,I114*((Rvcomp*kOhms)*(Cvcomp*uF)*(Cvcomp_p*uF))/((Cvcomp*uF)+(Cvcomp_p*uF)))))))</f>
        <v>0.603423458165114-99.3611481518438i</v>
      </c>
      <c r="Q114" s="128">
        <f aca="true" t="shared" si="19" ref="Q114:Q145">20*LOG(IMABS(P114))</f>
        <v>39.944492197962184</v>
      </c>
      <c r="R114" s="128" t="str">
        <f aca="true" t="shared" si="20" ref="R114:R145">IMPRODUCT((M114),(P114))</f>
        <v>-2.67688925686354-1051.50640026286i</v>
      </c>
      <c r="S114" s="128">
        <f aca="true" t="shared" si="21" ref="S114:S145">20*LOG(IMABS(R114))</f>
        <v>60.436266555705004</v>
      </c>
      <c r="T114" s="132">
        <f aca="true" t="shared" si="22" ref="T114:T145">(180/PI()*IMARGUMENT(R114))+180</f>
        <v>89.85413866689824</v>
      </c>
      <c r="W114" s="127" t="str">
        <f>COMPLEX(1,I114*('DESIGN INPUTS AND CALCULATIONS'!C263*10^3)*('DESIGN INPUTS AND CALCULATIONS'!C261*10^-6))</f>
        <v>1+0.00640884901332318i</v>
      </c>
      <c r="X114" s="127" t="str">
        <f>COMPLEX(0,data!I114*(('DESIGN INPUTS AND CALCULATIONS'!C261*10^-6)+('DESIGN INPUTS AND CALCULATIONS'!C267*10^-6)))</f>
        <v>5.63601722054009E-07i</v>
      </c>
      <c r="Y114" s="127" t="str">
        <f>COMPLEX(1,I114*(('DESIGN INPUTS AND CALCULATIONS'!C263*10^3)*('DESIGN INPUTS AND CALCULATIONS'!C261*10^-6)*('DESIGN INPUTS AND CALCULATIONS'!C267*10^-6))/(('DESIGN INPUTS AND CALCULATIONS'!C261*10^-6)+('DESIGN INPUTS AND CALCULATIONS'!C267*10^-6)))</f>
        <v>1+0.00033580368297234i</v>
      </c>
    </row>
    <row r="115" spans="1:20" ht="13.5">
      <c r="A115" s="134">
        <v>1.1</v>
      </c>
      <c r="B115" s="128">
        <f aca="true" t="shared" si="23" ref="B115:B164">10^A115</f>
        <v>12.58925411794168</v>
      </c>
      <c r="C115" s="128">
        <f t="shared" si="10"/>
        <v>79.10061650220126</v>
      </c>
      <c r="D115" s="128" t="str">
        <f t="shared" si="11"/>
        <v>-4.48223463844419-2416.36209004275i</v>
      </c>
      <c r="E115" s="128">
        <f t="shared" si="12"/>
        <v>67.66325521392001</v>
      </c>
      <c r="F115" s="132">
        <f aca="true" t="shared" si="24" ref="F115:F145">180/PI()*IMARGUMENT(D115)</f>
        <v>-90.10628077392774</v>
      </c>
      <c r="G115" s="137">
        <v>-1.9</v>
      </c>
      <c r="H115" s="138">
        <f aca="true" t="shared" si="25" ref="H115:H174">10^G115</f>
        <v>0.012589254117941664</v>
      </c>
      <c r="I115" s="138">
        <f aca="true" t="shared" si="26" ref="I115:I174">2*PI()*H115</f>
        <v>0.07910061650220117</v>
      </c>
      <c r="J115" s="138">
        <f t="shared" si="13"/>
        <v>0.01296111665004985</v>
      </c>
      <c r="K115" s="138" t="str">
        <f t="shared" si="14"/>
        <v>816.415610547948-8.85859262892775i</v>
      </c>
      <c r="L115" s="128">
        <f t="shared" si="15"/>
        <v>58.23873729193771</v>
      </c>
      <c r="M115" s="128" t="str">
        <f t="shared" si="16"/>
        <v>10.5816579632336-0.114817252418804i</v>
      </c>
      <c r="N115" s="128">
        <f t="shared" si="17"/>
        <v>20.491585677666066</v>
      </c>
      <c r="O115" s="136">
        <f t="shared" si="18"/>
        <v>-0.6216687256631641</v>
      </c>
      <c r="P115" s="134" t="str">
        <f>IMPRODUCT(gmv,IMDIV((COMPLEX(1,I115*(Rvcomp*kOhms)*(Cvcomp*uF))),IMPRODUCT((COMPLEX(0,data!I115*((Cvcomp*uF)+(Cvcomp_p*uF)))),(COMPLEX(1,I115*((Rvcomp*kOhms)*(Cvcomp*uF)*(Cvcomp_p*uF))/((Cvcomp*uF)+(Cvcomp_p*uF)))))))</f>
        <v>0.60342341836635-78.9254595537862i</v>
      </c>
      <c r="Q115" s="128">
        <f t="shared" si="19"/>
        <v>37.94459623880813</v>
      </c>
      <c r="R115" s="128" t="str">
        <f t="shared" si="20"/>
        <v>-2.67678419169925-835.231501008135i</v>
      </c>
      <c r="S115" s="128">
        <f t="shared" si="21"/>
        <v>58.4361819164742</v>
      </c>
      <c r="T115" s="132">
        <f t="shared" si="22"/>
        <v>89.81637676310447</v>
      </c>
    </row>
    <row r="116" spans="1:20" ht="13.5">
      <c r="A116" s="134">
        <v>1.2</v>
      </c>
      <c r="B116" s="128">
        <f t="shared" si="23"/>
        <v>15.848931924611136</v>
      </c>
      <c r="C116" s="128">
        <f t="shared" si="10"/>
        <v>99.58177620320618</v>
      </c>
      <c r="D116" s="128" t="str">
        <f t="shared" si="11"/>
        <v>-4.48222561787518-1919.38077064601i</v>
      </c>
      <c r="E116" s="128">
        <f t="shared" si="12"/>
        <v>65.6632464736652</v>
      </c>
      <c r="F116" s="132">
        <f t="shared" si="24"/>
        <v>-90.13379947732473</v>
      </c>
      <c r="G116" s="137">
        <v>-1.8</v>
      </c>
      <c r="H116" s="138">
        <f t="shared" si="25"/>
        <v>0.015848931924611124</v>
      </c>
      <c r="I116" s="138">
        <f t="shared" si="26"/>
        <v>0.0995817762032061</v>
      </c>
      <c r="J116" s="138">
        <f t="shared" si="13"/>
        <v>0.01296111665004985</v>
      </c>
      <c r="K116" s="138" t="str">
        <f t="shared" si="14"/>
        <v>816.359400533498-11.1515395396636i</v>
      </c>
      <c r="L116" s="128">
        <f t="shared" si="15"/>
        <v>58.23843827095874</v>
      </c>
      <c r="M116" s="128" t="str">
        <f t="shared" si="16"/>
        <v>10.5809294186794-0.144536404801223i</v>
      </c>
      <c r="N116" s="128">
        <f t="shared" si="17"/>
        <v>20.49128665668708</v>
      </c>
      <c r="O116" s="136">
        <f t="shared" si="18"/>
        <v>-0.7826165942793825</v>
      </c>
      <c r="P116" s="134" t="str">
        <f>IMPRODUCT(gmv,IMDIV((COMPLEX(1,I116*(Rvcomp*kOhms)*(Cvcomp*uF))),IMPRODUCT((COMPLEX(0,data!I116*((Cvcomp*uF)+(Cvcomp_p*uF)))),(COMPLEX(1,I116*((Rvcomp*kOhms)*(Cvcomp*uF)*(Cvcomp_p*uF))/((Cvcomp*uF)+(Cvcomp_p*uF)))))))</f>
        <v>0.603423355289569-62.6928394800921i</v>
      </c>
      <c r="Q116" s="128">
        <f t="shared" si="19"/>
        <v>35.94476112730325</v>
      </c>
      <c r="R116" s="128" t="str">
        <f t="shared" si="20"/>
        <v>-2.67661769333105-663.435726237798i</v>
      </c>
      <c r="S116" s="128">
        <f t="shared" si="21"/>
        <v>56.43604778399033</v>
      </c>
      <c r="T116" s="132">
        <f t="shared" si="22"/>
        <v>89.76884261871115</v>
      </c>
    </row>
    <row r="117" spans="1:20" ht="13.5">
      <c r="A117" s="134">
        <v>1.3</v>
      </c>
      <c r="B117" s="128">
        <f t="shared" si="23"/>
        <v>19.952623149688804</v>
      </c>
      <c r="C117" s="128">
        <f t="shared" si="10"/>
        <v>125.36602861381597</v>
      </c>
      <c r="D117" s="128" t="str">
        <f t="shared" si="11"/>
        <v>-4.48221132131112-1524.61347636886i</v>
      </c>
      <c r="E117" s="128">
        <f t="shared" si="12"/>
        <v>63.66323262133088</v>
      </c>
      <c r="F117" s="132">
        <f t="shared" si="24"/>
        <v>-90.16844338299862</v>
      </c>
      <c r="G117" s="137">
        <v>-1.7</v>
      </c>
      <c r="H117" s="138">
        <f t="shared" si="25"/>
        <v>0.019952623149688792</v>
      </c>
      <c r="I117" s="138">
        <f t="shared" si="26"/>
        <v>0.1253660286138159</v>
      </c>
      <c r="J117" s="138">
        <f t="shared" si="13"/>
        <v>0.01296111665004985</v>
      </c>
      <c r="K117" s="138" t="str">
        <f t="shared" si="14"/>
        <v>816.270329517242-14.0374247502361i</v>
      </c>
      <c r="L117" s="128">
        <f t="shared" si="15"/>
        <v>58.237964396813446</v>
      </c>
      <c r="M117" s="128" t="str">
        <f t="shared" si="16"/>
        <v>10.5797749588476-0.181940699654107i</v>
      </c>
      <c r="N117" s="128">
        <f t="shared" si="17"/>
        <v>20.490812782541813</v>
      </c>
      <c r="O117" s="136">
        <f t="shared" si="18"/>
        <v>-0.9852200828046426</v>
      </c>
      <c r="P117" s="134" t="str">
        <f>IMPRODUCT(gmv,IMDIV((COMPLEX(1,I117*(Rvcomp*kOhms)*(Cvcomp*uF))),IMPRODUCT((COMPLEX(0,data!I117*((Cvcomp*uF)+(Cvcomp_p*uF)))),(COMPLEX(1,I117*((Rvcomp*kOhms)*(Cvcomp*uF)*(Cvcomp_p*uF))/((Cvcomp*uF)+(Cvcomp_p*uF)))))))</f>
        <v>0.603423255319634-49.7988417192684i</v>
      </c>
      <c r="Q117" s="128">
        <f t="shared" si="19"/>
        <v>33.945022445063174</v>
      </c>
      <c r="R117" s="128" t="str">
        <f t="shared" si="20"/>
        <v>-2.67635385815086-526.970325850391i</v>
      </c>
      <c r="S117" s="128">
        <f t="shared" si="21"/>
        <v>54.43583522760498</v>
      </c>
      <c r="T117" s="132">
        <f t="shared" si="22"/>
        <v>89.70901120117018</v>
      </c>
    </row>
    <row r="118" spans="1:20" ht="13.5">
      <c r="A118" s="134">
        <v>1.4</v>
      </c>
      <c r="B118" s="128">
        <f t="shared" si="23"/>
        <v>25.1188643150958</v>
      </c>
      <c r="C118" s="128">
        <f t="shared" si="10"/>
        <v>157.82647919764753</v>
      </c>
      <c r="D118" s="128" t="str">
        <f t="shared" si="11"/>
        <v>-4.48218866297088-1211.03740928999i</v>
      </c>
      <c r="E118" s="128">
        <f t="shared" si="12"/>
        <v>61.66321066695099</v>
      </c>
      <c r="F118" s="132">
        <f t="shared" si="24"/>
        <v>-90.21205729797525</v>
      </c>
      <c r="G118" s="137">
        <v>-1.6</v>
      </c>
      <c r="H118" s="138">
        <f t="shared" si="25"/>
        <v>0.02511886431509578</v>
      </c>
      <c r="I118" s="138">
        <f t="shared" si="26"/>
        <v>0.15782647919764742</v>
      </c>
      <c r="J118" s="138">
        <f t="shared" si="13"/>
        <v>0.01296111665004985</v>
      </c>
      <c r="K118" s="138" t="str">
        <f t="shared" si="14"/>
        <v>816.129201276884-17.6690153392663i</v>
      </c>
      <c r="L118" s="128">
        <f t="shared" si="15"/>
        <v>58.23721346280465</v>
      </c>
      <c r="M118" s="128" t="str">
        <f t="shared" si="16"/>
        <v>10.5779457792617-0.229010168903751i</v>
      </c>
      <c r="N118" s="128">
        <f t="shared" si="17"/>
        <v>20.49006184853301</v>
      </c>
      <c r="O118" s="136">
        <f t="shared" si="18"/>
        <v>-1.2402471094769294</v>
      </c>
      <c r="P118" s="134" t="str">
        <f>IMPRODUCT(gmv,IMDIV((COMPLEX(1,I118*(Rvcomp*kOhms)*(Cvcomp*uF))),IMPRODUCT((COMPLEX(0,data!I118*((Cvcomp*uF)+(Cvcomp_p*uF)))),(COMPLEX(1,I118*((Rvcomp*kOhms)*(Cvcomp*uF)*(Cvcomp_p*uF))/((Cvcomp*uF)+(Cvcomp_p*uF)))))))</f>
        <v>0.603423096878039-39.5568138723104i</v>
      </c>
      <c r="Q118" s="128">
        <f t="shared" si="19"/>
        <v>31.945436573419137</v>
      </c>
      <c r="R118" s="128" t="str">
        <f t="shared" si="20"/>
        <v>-2.67593582546197-418.568022366983i</v>
      </c>
      <c r="S118" s="128">
        <f t="shared" si="21"/>
        <v>52.43549842195215</v>
      </c>
      <c r="T118" s="132">
        <f t="shared" si="22"/>
        <v>89.633708902478</v>
      </c>
    </row>
    <row r="119" spans="1:20" ht="13.5">
      <c r="A119" s="134">
        <v>1.5</v>
      </c>
      <c r="B119" s="128">
        <f t="shared" si="23"/>
        <v>31.622776601683803</v>
      </c>
      <c r="C119" s="128">
        <f t="shared" si="10"/>
        <v>198.69176531592208</v>
      </c>
      <c r="D119" s="128" t="str">
        <f t="shared" si="11"/>
        <v>-4.48215275239096-961.95350042678i</v>
      </c>
      <c r="E119" s="128">
        <f t="shared" si="12"/>
        <v>59.66317587183113</v>
      </c>
      <c r="F119" s="132">
        <f t="shared" si="24"/>
        <v>-90.26696360821536</v>
      </c>
      <c r="G119" s="137">
        <v>-1.5</v>
      </c>
      <c r="H119" s="138">
        <f t="shared" si="25"/>
        <v>0.031622776601683784</v>
      </c>
      <c r="I119" s="138">
        <f t="shared" si="26"/>
        <v>0.19869176531592195</v>
      </c>
      <c r="J119" s="138">
        <f t="shared" si="13"/>
        <v>0.01296111665004985</v>
      </c>
      <c r="K119" s="138" t="str">
        <f t="shared" si="14"/>
        <v>815.90562802444-22.2378788213464i</v>
      </c>
      <c r="L119" s="128">
        <f t="shared" si="15"/>
        <v>58.23602357851171</v>
      </c>
      <c r="M119" s="128" t="str">
        <f t="shared" si="16"/>
        <v>10.575048020257-0.288227741453144i</v>
      </c>
      <c r="N119" s="128">
        <f t="shared" si="17"/>
        <v>20.488871964240126</v>
      </c>
      <c r="O119" s="136">
        <f t="shared" si="18"/>
        <v>-1.5612360020080818</v>
      </c>
      <c r="P119" s="134" t="str">
        <f>IMPRODUCT(gmv,IMDIV((COMPLEX(1,I119*(Rvcomp*kOhms)*(Cvcomp*uF))),IMPRODUCT((COMPLEX(0,data!I119*((Cvcomp*uF)+(Cvcomp_p*uF)))),(COMPLEX(1,I119*((Rvcomp*kOhms)*(Cvcomp*uF)*(Cvcomp_p*uF))/((Cvcomp*uF)+(Cvcomp_p*uF)))))))</f>
        <v>0.603422845765202-31.4213306085441i</v>
      </c>
      <c r="Q119" s="128">
        <f t="shared" si="19"/>
        <v>29.946092841306033</v>
      </c>
      <c r="R119" s="128" t="str">
        <f t="shared" si="20"/>
        <v>-2.67527358426606-332.456003249701i</v>
      </c>
      <c r="S119" s="128">
        <f t="shared" si="21"/>
        <v>50.43496480554616</v>
      </c>
      <c r="T119" s="132">
        <f t="shared" si="22"/>
        <v>89.53895079197802</v>
      </c>
    </row>
    <row r="120" spans="1:20" ht="13.5">
      <c r="A120" s="134">
        <v>1.6</v>
      </c>
      <c r="B120" s="128">
        <f t="shared" si="23"/>
        <v>39.810717055349755</v>
      </c>
      <c r="C120" s="128">
        <f t="shared" si="10"/>
        <v>250.13811247045734</v>
      </c>
      <c r="D120" s="128" t="str">
        <f t="shared" si="11"/>
        <v>-4.48209583913596-764.097123443417i</v>
      </c>
      <c r="E120" s="128">
        <f t="shared" si="12"/>
        <v>57.66312072585354</v>
      </c>
      <c r="F120" s="132">
        <f t="shared" si="24"/>
        <v>-90.33608584787784</v>
      </c>
      <c r="G120" s="137">
        <v>-1.4</v>
      </c>
      <c r="H120" s="138">
        <f t="shared" si="25"/>
        <v>0.03981071705534973</v>
      </c>
      <c r="I120" s="138">
        <f t="shared" si="26"/>
        <v>0.25013811247045714</v>
      </c>
      <c r="J120" s="138">
        <f t="shared" si="13"/>
        <v>0.01296111665004985</v>
      </c>
      <c r="K120" s="138" t="str">
        <f t="shared" si="14"/>
        <v>815.551539102856-27.983681046573i</v>
      </c>
      <c r="L120" s="128">
        <f t="shared" si="15"/>
        <v>58.23413840652854</v>
      </c>
      <c r="M120" s="128" t="str">
        <f t="shared" si="16"/>
        <v>10.5704586324398-0.362699754342422i</v>
      </c>
      <c r="N120" s="128">
        <f t="shared" si="17"/>
        <v>20.486986792256893</v>
      </c>
      <c r="O120" s="136">
        <f t="shared" si="18"/>
        <v>-1.9651952711590808</v>
      </c>
      <c r="P120" s="134" t="str">
        <f>IMPRODUCT(gmv,IMDIV((COMPLEX(1,I120*(Rvcomp*kOhms)*(Cvcomp*uF))),IMPRODUCT((COMPLEX(0,data!I120*((Cvcomp*uF)+(Cvcomp_p*uF)))),(COMPLEX(1,I120*((Rvcomp*kOhms)*(Cvcomp*uF)*(Cvcomp_p*uF))/((Cvcomp*uF)+(Cvcomp_p*uF)))))))</f>
        <v>0.603422447778601-24.9591477778241i</v>
      </c>
      <c r="Q120" s="128">
        <f t="shared" si="19"/>
        <v>27.94713275159877</v>
      </c>
      <c r="R120" s="128" t="str">
        <f t="shared" si="20"/>
        <v>-2.67422474548374-264.048500260015i</v>
      </c>
      <c r="S120" s="128">
        <f t="shared" si="21"/>
        <v>48.43411954385565</v>
      </c>
      <c r="T120" s="132">
        <f t="shared" si="22"/>
        <v>89.4197408703055</v>
      </c>
    </row>
    <row r="121" spans="1:20" ht="13.5">
      <c r="A121" s="134">
        <v>1.7</v>
      </c>
      <c r="B121" s="128">
        <f t="shared" si="23"/>
        <v>50.11872336272724</v>
      </c>
      <c r="C121" s="128">
        <f t="shared" si="10"/>
        <v>314.90522624728607</v>
      </c>
      <c r="D121" s="128" t="str">
        <f t="shared" si="11"/>
        <v>-4.48200564066609-606.931704978577i</v>
      </c>
      <c r="E121" s="128">
        <f t="shared" si="12"/>
        <v>55.66303332680338</v>
      </c>
      <c r="F121" s="132">
        <f t="shared" si="24"/>
        <v>-90.42310417617577</v>
      </c>
      <c r="G121" s="137">
        <v>-1.3</v>
      </c>
      <c r="H121" s="138">
        <f t="shared" si="25"/>
        <v>0.050118723362727206</v>
      </c>
      <c r="I121" s="138">
        <f t="shared" si="26"/>
        <v>0.31490522624728584</v>
      </c>
      <c r="J121" s="138">
        <f t="shared" si="13"/>
        <v>0.01296111665004985</v>
      </c>
      <c r="K121" s="138" t="str">
        <f t="shared" si="14"/>
        <v>814.990975094629-35.2051525103047i</v>
      </c>
      <c r="L121" s="128">
        <f t="shared" si="15"/>
        <v>58.23115228549216</v>
      </c>
      <c r="M121" s="128" t="str">
        <f t="shared" si="16"/>
        <v>10.5631930969394-0.456298088368855i</v>
      </c>
      <c r="N121" s="128">
        <f t="shared" si="17"/>
        <v>20.48400067122056</v>
      </c>
      <c r="O121" s="136">
        <f t="shared" si="18"/>
        <v>-2.473467184075412</v>
      </c>
      <c r="P121" s="134" t="str">
        <f>IMPRODUCT(gmv,IMDIV((COMPLEX(1,I121*(Rvcomp*kOhms)*(Cvcomp*uF))),IMPRODUCT((COMPLEX(0,data!I121*((Cvcomp*uF)+(Cvcomp_p*uF)))),(COMPLEX(1,I121*((Rvcomp*kOhms)*(Cvcomp*uF)*(Cvcomp_p*uF))/((Cvcomp*uF)+(Cvcomp_p*uF)))))))</f>
        <v>0.603421817013428-19.8261305796272i</v>
      </c>
      <c r="Q121" s="128">
        <f t="shared" si="19"/>
        <v>25.948780385645204</v>
      </c>
      <c r="R121" s="128" t="str">
        <f t="shared" si="20"/>
        <v>-2.67256431121632-209.70258589932i</v>
      </c>
      <c r="S121" s="128">
        <f t="shared" si="21"/>
        <v>46.43278105686575</v>
      </c>
      <c r="T121" s="132">
        <f t="shared" si="22"/>
        <v>89.2698308167854</v>
      </c>
    </row>
    <row r="122" spans="1:20" ht="13.5">
      <c r="A122" s="134">
        <v>1.8</v>
      </c>
      <c r="B122" s="128">
        <f t="shared" si="23"/>
        <v>63.095734448019364</v>
      </c>
      <c r="C122" s="128">
        <f t="shared" si="10"/>
        <v>396.44219162950014</v>
      </c>
      <c r="D122" s="128" t="str">
        <f t="shared" si="11"/>
        <v>-4.48186269316135-482.087613791366i</v>
      </c>
      <c r="E122" s="128">
        <f t="shared" si="12"/>
        <v>53.66289481224649</v>
      </c>
      <c r="F122" s="132">
        <f t="shared" si="24"/>
        <v>-90.53265093632334</v>
      </c>
      <c r="G122" s="137">
        <v>-1.2</v>
      </c>
      <c r="H122" s="138">
        <f t="shared" si="25"/>
        <v>0.06309573444801932</v>
      </c>
      <c r="I122" s="138">
        <f t="shared" si="26"/>
        <v>0.39644219162949984</v>
      </c>
      <c r="J122" s="138">
        <f t="shared" si="13"/>
        <v>0.01296111665004985</v>
      </c>
      <c r="K122" s="138" t="str">
        <f t="shared" si="14"/>
        <v>814.104117785554-44.2724322409197i</v>
      </c>
      <c r="L122" s="128">
        <f t="shared" si="15"/>
        <v>58.22642380432124</v>
      </c>
      <c r="M122" s="128" t="str">
        <f t="shared" si="16"/>
        <v>10.5516984359045-0.573820158655988i</v>
      </c>
      <c r="N122" s="128">
        <f t="shared" si="17"/>
        <v>20.479272190049628</v>
      </c>
      <c r="O122" s="136">
        <f t="shared" si="18"/>
        <v>-3.1127804215470567</v>
      </c>
      <c r="P122" s="134" t="str">
        <f>IMPRODUCT(gmv,IMDIV((COMPLEX(1,I122*(Rvcomp*kOhms)*(Cvcomp*uF))),IMPRODUCT((COMPLEX(0,data!I122*((Cvcomp*uF)+(Cvcomp_p*uF)))),(COMPLEX(1,I122*((Rvcomp*kOhms)*(Cvcomp*uF)*(Cvcomp_p*uF))/((Cvcomp*uF)+(Cvcomp_p*uF)))))))</f>
        <v>0.603420817320692-15.7489271298715i</v>
      </c>
      <c r="Q122" s="128">
        <f t="shared" si="19"/>
        <v>23.951390422841364</v>
      </c>
      <c r="R122" s="128" t="str">
        <f t="shared" si="20"/>
        <v>-2.6699373700095-166.52418479257i</v>
      </c>
      <c r="S122" s="128">
        <f t="shared" si="21"/>
        <v>44.43066261289098</v>
      </c>
      <c r="T122" s="132">
        <f t="shared" si="22"/>
        <v>89.08143650924153</v>
      </c>
    </row>
    <row r="123" spans="1:20" ht="13.5">
      <c r="A123" s="134">
        <v>1.9</v>
      </c>
      <c r="B123" s="128">
        <f t="shared" si="23"/>
        <v>79.4328234724282</v>
      </c>
      <c r="C123" s="128">
        <f t="shared" si="10"/>
        <v>499.0911493497506</v>
      </c>
      <c r="D123" s="128" t="str">
        <f t="shared" si="11"/>
        <v>-4.48163615531095-382.916447575686i</v>
      </c>
      <c r="E123" s="128">
        <f t="shared" si="12"/>
        <v>51.66267529051717</v>
      </c>
      <c r="F123" s="132">
        <f t="shared" si="24"/>
        <v>-90.67055650094022</v>
      </c>
      <c r="G123" s="137">
        <v>-1.1</v>
      </c>
      <c r="H123" s="138">
        <f t="shared" si="25"/>
        <v>0.0794328234724281</v>
      </c>
      <c r="I123" s="138">
        <f t="shared" si="26"/>
        <v>0.49909114934974996</v>
      </c>
      <c r="J123" s="138">
        <f t="shared" si="13"/>
        <v>0.01296111665004985</v>
      </c>
      <c r="K123" s="138" t="str">
        <f t="shared" si="14"/>
        <v>812.702490508454-55.6397309330839i</v>
      </c>
      <c r="L123" s="128">
        <f t="shared" si="15"/>
        <v>58.21894019637857</v>
      </c>
      <c r="M123" s="128" t="str">
        <f t="shared" si="16"/>
        <v>10.5335317812661-0.721153043001087i</v>
      </c>
      <c r="N123" s="128">
        <f t="shared" si="17"/>
        <v>20.47178858210694</v>
      </c>
      <c r="O123" s="136">
        <f t="shared" si="18"/>
        <v>-3.916506987952658</v>
      </c>
      <c r="P123" s="134" t="str">
        <f>IMPRODUCT(gmv,IMDIV((COMPLEX(1,I123*(Rvcomp*kOhms)*(Cvcomp*uF))),IMPRODUCT((COMPLEX(0,data!I123*((Cvcomp*uF)+(Cvcomp_p*uF)))),(COMPLEX(1,I123*((Rvcomp*kOhms)*(Cvcomp*uF)*(Cvcomp_p*uF))/((Cvcomp*uF)+(Cvcomp_p*uF)))))))</f>
        <v>0.603419232921271-12.510411475991i</v>
      </c>
      <c r="Q123" s="128">
        <f t="shared" si="19"/>
        <v>21.955523824933444</v>
      </c>
      <c r="R123" s="128" t="str">
        <f t="shared" si="20"/>
        <v>-2.66578563770321-132.213974495094i</v>
      </c>
      <c r="S123" s="128">
        <f t="shared" si="21"/>
        <v>42.42731240704038</v>
      </c>
      <c r="T123" s="132">
        <f t="shared" si="22"/>
        <v>88.84492109063446</v>
      </c>
    </row>
    <row r="124" spans="1:20" ht="13.5">
      <c r="A124" s="134">
        <v>2</v>
      </c>
      <c r="B124" s="128">
        <f t="shared" si="23"/>
        <v>100</v>
      </c>
      <c r="C124" s="128">
        <f t="shared" si="10"/>
        <v>628.3185307179587</v>
      </c>
      <c r="D124" s="128" t="str">
        <f t="shared" si="11"/>
        <v>-4.48127716392028-304.136981688755i</v>
      </c>
      <c r="E124" s="128">
        <f t="shared" si="12"/>
        <v>49.66232739475039</v>
      </c>
      <c r="F124" s="132">
        <f t="shared" si="24"/>
        <v>-90.84415807754652</v>
      </c>
      <c r="G124" s="137">
        <v>-1</v>
      </c>
      <c r="H124" s="138">
        <f t="shared" si="25"/>
        <v>0.1</v>
      </c>
      <c r="I124" s="138">
        <f t="shared" si="26"/>
        <v>0.6283185307179586</v>
      </c>
      <c r="J124" s="138">
        <f t="shared" si="13"/>
        <v>0.01296111665004985</v>
      </c>
      <c r="K124" s="138" t="str">
        <f t="shared" si="14"/>
        <v>810.490920238075-69.8556574497687i</v>
      </c>
      <c r="L124" s="128">
        <f t="shared" si="15"/>
        <v>58.207105828979905</v>
      </c>
      <c r="M124" s="128" t="str">
        <f t="shared" si="16"/>
        <v>10.5048673610119-0.905407324872376i</v>
      </c>
      <c r="N124" s="128">
        <f t="shared" si="17"/>
        <v>20.45995421470824</v>
      </c>
      <c r="O124" s="136">
        <f t="shared" si="18"/>
        <v>-4.926110043939936</v>
      </c>
      <c r="P124" s="134" t="str">
        <f>IMPRODUCT(gmv,IMDIV((COMPLEX(1,I124*(Rvcomp*kOhms)*(Cvcomp*uF))),IMPRODUCT((COMPLEX(0,data!I124*((Cvcomp*uF)+(Cvcomp_p*uF)))),(COMPLEX(1,I124*((Rvcomp*kOhms)*(Cvcomp*uF)*(Cvcomp_p*uF))/((Cvcomp*uF)+(Cvcomp_p*uF)))))))</f>
        <v>0.603416721834455-9.938120847578i</v>
      </c>
      <c r="Q124" s="128">
        <f t="shared" si="19"/>
        <v>19.96206673373788</v>
      </c>
      <c r="R124" s="128" t="str">
        <f t="shared" si="20"/>
        <v>-2.65923478457642-104.944979241413i</v>
      </c>
      <c r="S124" s="128">
        <f t="shared" si="21"/>
        <v>40.42202094844608</v>
      </c>
      <c r="T124" s="132">
        <f t="shared" si="22"/>
        <v>88.54847431719094</v>
      </c>
    </row>
    <row r="125" spans="1:20" ht="13.5">
      <c r="A125" s="134">
        <v>2.1</v>
      </c>
      <c r="B125" s="128">
        <f t="shared" si="23"/>
        <v>125.89254117941677</v>
      </c>
      <c r="C125" s="128">
        <f t="shared" si="10"/>
        <v>791.0061650220124</v>
      </c>
      <c r="D125" s="128" t="str">
        <f t="shared" si="11"/>
        <v>-4.48070831870194-241.553925468049i</v>
      </c>
      <c r="E125" s="128">
        <f t="shared" si="12"/>
        <v>47.66177607419715</v>
      </c>
      <c r="F125" s="132">
        <f t="shared" si="24"/>
        <v>-91.06268708471468</v>
      </c>
      <c r="G125" s="137">
        <v>-0.9</v>
      </c>
      <c r="H125" s="138">
        <f t="shared" si="25"/>
        <v>0.12589254117941667</v>
      </c>
      <c r="I125" s="138">
        <f t="shared" si="26"/>
        <v>0.7910061650220118</v>
      </c>
      <c r="J125" s="138">
        <f t="shared" si="13"/>
        <v>0.01296111665004985</v>
      </c>
      <c r="K125" s="138" t="str">
        <f t="shared" si="14"/>
        <v>807.010367117531-87.5654017053582i</v>
      </c>
      <c r="L125" s="128">
        <f t="shared" si="15"/>
        <v>58.18841542843349</v>
      </c>
      <c r="M125" s="128" t="str">
        <f t="shared" si="16"/>
        <v>10.4597555060099-1.13494538601162i</v>
      </c>
      <c r="N125" s="128">
        <f t="shared" si="17"/>
        <v>20.441263814161882</v>
      </c>
      <c r="O125" s="136">
        <f t="shared" si="18"/>
        <v>-6.192703722566405</v>
      </c>
      <c r="P125" s="134" t="str">
        <f>IMPRODUCT(gmv,IMDIV((COMPLEX(1,I125*(Rvcomp*kOhms)*(Cvcomp*uF))),IMPRODUCT((COMPLEX(0,data!I125*((Cvcomp*uF)+(Cvcomp_p*uF)))),(COMPLEX(1,I125*((Rvcomp*kOhms)*(Cvcomp*uF)*(Cvcomp_p*uF))/((Cvcomp*uF)+(Cvcomp_p*uF)))))))</f>
        <v>0.603412742072862-7.89507138371302i</v>
      </c>
      <c r="Q125" s="128">
        <f t="shared" si="19"/>
        <v>17.972416284781044</v>
      </c>
      <c r="R125" s="128" t="str">
        <f t="shared" si="20"/>
        <v>-2.64892508788432-83.2653568836097i</v>
      </c>
      <c r="S125" s="128">
        <f t="shared" si="21"/>
        <v>38.41368009894293</v>
      </c>
      <c r="T125" s="132">
        <f t="shared" si="22"/>
        <v>88.17786095989456</v>
      </c>
    </row>
    <row r="126" spans="1:20" ht="13.5">
      <c r="A126" s="134">
        <v>2.2</v>
      </c>
      <c r="B126" s="128">
        <f t="shared" si="23"/>
        <v>158.48931924611153</v>
      </c>
      <c r="C126" s="128">
        <f t="shared" si="10"/>
        <v>995.8177620320628</v>
      </c>
      <c r="D126" s="128" t="str">
        <f t="shared" si="11"/>
        <v>-4.47980705554931-191.834509274475i</v>
      </c>
      <c r="E126" s="128">
        <f t="shared" si="12"/>
        <v>45.660902433343004</v>
      </c>
      <c r="F126" s="132">
        <f t="shared" si="24"/>
        <v>-91.33775406509295</v>
      </c>
      <c r="G126" s="137">
        <v>-0.8</v>
      </c>
      <c r="H126" s="138">
        <f t="shared" si="25"/>
        <v>0.15848931924611132</v>
      </c>
      <c r="I126" s="138">
        <f t="shared" si="26"/>
        <v>0.9958177620320614</v>
      </c>
      <c r="J126" s="138">
        <f t="shared" si="13"/>
        <v>0.01296111665004985</v>
      </c>
      <c r="K126" s="138" t="str">
        <f t="shared" si="14"/>
        <v>801.554881990913-109.493085446075i</v>
      </c>
      <c r="L126" s="128">
        <f t="shared" si="15"/>
        <v>58.158956925930674</v>
      </c>
      <c r="M126" s="128" t="str">
        <f t="shared" si="16"/>
        <v>10.3890463269012-1.41915265284045i</v>
      </c>
      <c r="N126" s="128">
        <f t="shared" si="17"/>
        <v>20.411805311659073</v>
      </c>
      <c r="O126" s="136">
        <f t="shared" si="18"/>
        <v>-7.778509325248053</v>
      </c>
      <c r="P126" s="134" t="str">
        <f>IMPRODUCT(gmv,IMDIV((COMPLEX(1,I126*(Rvcomp*kOhms)*(Cvcomp*uF))),IMPRODUCT((COMPLEX(0,data!I126*((Cvcomp*uF)+(Cvcomp_p*uF)))),(COMPLEX(1,I126*((Rvcomp*kOhms)*(Cvcomp*uF)*(Cvcomp_p*uF))/((Cvcomp*uF)+(Cvcomp_p*uF)))))))</f>
        <v>0.603406434683343-6.27246324034966i</v>
      </c>
      <c r="Q126" s="128">
        <f t="shared" si="19"/>
        <v>15.988768585320518</v>
      </c>
      <c r="R126" s="128" t="str">
        <f t="shared" si="20"/>
        <v>-2.63276544351089-66.0212370302993i</v>
      </c>
      <c r="S126" s="128">
        <f t="shared" si="21"/>
        <v>36.400573896979594</v>
      </c>
      <c r="T126" s="132">
        <f t="shared" si="22"/>
        <v>87.71639442464222</v>
      </c>
    </row>
    <row r="127" spans="1:20" ht="13.5">
      <c r="A127" s="134">
        <v>2.3</v>
      </c>
      <c r="B127" s="128">
        <f t="shared" si="23"/>
        <v>199.52623149688802</v>
      </c>
      <c r="C127" s="128">
        <f t="shared" si="10"/>
        <v>1253.6602861381596</v>
      </c>
      <c r="D127" s="128" t="str">
        <f t="shared" si="11"/>
        <v>-4.47837939215301-152.331005481727i</v>
      </c>
      <c r="E127" s="128">
        <f t="shared" si="12"/>
        <v>43.65951816579309</v>
      </c>
      <c r="F127" s="132">
        <f t="shared" si="24"/>
        <v>-91.68395364684757</v>
      </c>
      <c r="G127" s="137">
        <v>-0.7</v>
      </c>
      <c r="H127" s="138">
        <f t="shared" si="25"/>
        <v>0.19952623149688795</v>
      </c>
      <c r="I127" s="138">
        <f t="shared" si="26"/>
        <v>1.2536602861381592</v>
      </c>
      <c r="J127" s="138">
        <f t="shared" si="13"/>
        <v>0.01296111665004985</v>
      </c>
      <c r="K127" s="138" t="str">
        <f t="shared" si="14"/>
        <v>793.0580072378-136.382417645351i</v>
      </c>
      <c r="L127" s="128">
        <f t="shared" si="15"/>
        <v>58.112673834043996</v>
      </c>
      <c r="M127" s="128" t="str">
        <f t="shared" si="16"/>
        <v>10.2789173420652-1.76766842411721i</v>
      </c>
      <c r="N127" s="128">
        <f t="shared" si="17"/>
        <v>20.365522219772366</v>
      </c>
      <c r="O127" s="136">
        <f t="shared" si="18"/>
        <v>-9.757728065553177</v>
      </c>
      <c r="P127" s="134" t="str">
        <f>IMPRODUCT(gmv,IMDIV((COMPLEX(1,I127*(Rvcomp*kOhms)*(Cvcomp*uF))),IMPRODUCT((COMPLEX(0,data!I127*((Cvcomp*uF)+(Cvcomp_p*uF)))),(COMPLEX(1,I127*((Rvcomp*kOhms)*(Cvcomp*uF)*(Cvcomp_p*uF))/((Cvcomp*uF)+(Cvcomp_p*uF)))))))</f>
        <v>0.603396438414722-4.9838865968758i</v>
      </c>
      <c r="Q127" s="128">
        <f t="shared" si="19"/>
        <v>14.014559075996898</v>
      </c>
      <c r="R127" s="128" t="str">
        <f t="shared" si="20"/>
        <v>-2.60759685171687-52.2955632029235i</v>
      </c>
      <c r="S127" s="128">
        <f t="shared" si="21"/>
        <v>34.38008129576927</v>
      </c>
      <c r="T127" s="132">
        <f t="shared" si="22"/>
        <v>87.14544315272333</v>
      </c>
    </row>
    <row r="128" spans="1:20" ht="13.5">
      <c r="A128" s="134">
        <v>2.4</v>
      </c>
      <c r="B128" s="128">
        <f t="shared" si="23"/>
        <v>251.18864315095806</v>
      </c>
      <c r="C128" s="128">
        <f t="shared" si="10"/>
        <v>1578.2647919764759</v>
      </c>
      <c r="D128" s="128" t="str">
        <f t="shared" si="11"/>
        <v>-4.47611856116704-120.939733545209i</v>
      </c>
      <c r="E128" s="128">
        <f t="shared" si="12"/>
        <v>41.65732515296824</v>
      </c>
      <c r="F128" s="132">
        <f t="shared" si="24"/>
        <v>-92.11961518162609</v>
      </c>
      <c r="G128" s="137">
        <v>-0.6</v>
      </c>
      <c r="H128" s="138">
        <f t="shared" si="25"/>
        <v>0.251188643150958</v>
      </c>
      <c r="I128" s="138">
        <f t="shared" si="26"/>
        <v>1.5782647919764756</v>
      </c>
      <c r="J128" s="138">
        <f t="shared" si="13"/>
        <v>0.01296111665004985</v>
      </c>
      <c r="K128" s="138" t="str">
        <f t="shared" si="14"/>
        <v>779.954272455187-168.858361915929i</v>
      </c>
      <c r="L128" s="128">
        <f t="shared" si="15"/>
        <v>58.040315704025275</v>
      </c>
      <c r="M128" s="128" t="str">
        <f t="shared" si="16"/>
        <v>10.1090783069964-2.18859292612869i</v>
      </c>
      <c r="N128" s="128">
        <f t="shared" si="17"/>
        <v>20.29316408975361</v>
      </c>
      <c r="O128" s="136">
        <f t="shared" si="18"/>
        <v>-12.215879287295053</v>
      </c>
      <c r="P128" s="134" t="str">
        <f>IMPRODUCT(gmv,IMDIV((COMPLEX(1,I128*(Rvcomp*kOhms)*(Cvcomp*uF))),IMPRODUCT((COMPLEX(0,data!I128*((Cvcomp*uF)+(Cvcomp_p*uF)))),(COMPLEX(1,I128*((Rvcomp*kOhms)*(Cvcomp*uF)*(Cvcomp_p*uF))/((Cvcomp*uF)+(Cvcomp_p*uF)))))))</f>
        <v>0.603380596075062-3.9607200080912i</v>
      </c>
      <c r="Q128" s="128">
        <f t="shared" si="19"/>
        <v>12.055121362496122</v>
      </c>
      <c r="R128" s="128" t="str">
        <f t="shared" si="20"/>
        <v>-2.5687820974398-41.3597832182146i</v>
      </c>
      <c r="S128" s="128">
        <f t="shared" si="21"/>
        <v>32.34828545224974</v>
      </c>
      <c r="T128" s="132">
        <f t="shared" si="22"/>
        <v>86.44602674261868</v>
      </c>
    </row>
    <row r="129" spans="1:20" ht="13.5">
      <c r="A129" s="134">
        <v>2.5</v>
      </c>
      <c r="B129" s="128">
        <f t="shared" si="23"/>
        <v>316.22776601683825</v>
      </c>
      <c r="C129" s="128">
        <f t="shared" si="10"/>
        <v>1986.917653159222</v>
      </c>
      <c r="D129" s="128" t="str">
        <f t="shared" si="11"/>
        <v>-4.47254005761135-95.989043700556i</v>
      </c>
      <c r="E129" s="128">
        <f t="shared" si="12"/>
        <v>39.6538517286334</v>
      </c>
      <c r="F129" s="132">
        <f t="shared" si="24"/>
        <v>-92.66772594994526</v>
      </c>
      <c r="G129" s="137">
        <v>-0.5</v>
      </c>
      <c r="H129" s="138">
        <f t="shared" si="25"/>
        <v>0.31622776601683794</v>
      </c>
      <c r="I129" s="138">
        <f t="shared" si="26"/>
        <v>1.9869176531592203</v>
      </c>
      <c r="J129" s="138">
        <f t="shared" si="13"/>
        <v>0.01296111665004985</v>
      </c>
      <c r="K129" s="138" t="str">
        <f t="shared" si="14"/>
        <v>760.050625450276-207.155253332135i</v>
      </c>
      <c r="L129" s="128">
        <f t="shared" si="15"/>
        <v>57.928049497274074</v>
      </c>
      <c r="M129" s="128" t="str">
        <f t="shared" si="16"/>
        <v>9.85110481640437-2.68496340310843i</v>
      </c>
      <c r="N129" s="128">
        <f t="shared" si="17"/>
        <v>20.180897883002444</v>
      </c>
      <c r="O129" s="136">
        <f t="shared" si="18"/>
        <v>-15.245906942244007</v>
      </c>
      <c r="P129" s="134" t="str">
        <f>IMPRODUCT(gmv,IMDIV((COMPLEX(1,I129*(Rvcomp*kOhms)*(Cvcomp*uF))),IMPRODUCT((COMPLEX(0,data!I129*((Cvcomp*uF)+(Cvcomp_p*uF)))),(COMPLEX(1,I129*((Rvcomp*kOhms)*(Cvcomp*uF)*(Cvcomp_p*uF))/((Cvcomp*uF)+(Cvcomp_p*uF)))))))</f>
        <v>0.603355489362741-3.14847604211301i</v>
      </c>
      <c r="Q129" s="128">
        <f t="shared" si="19"/>
        <v>10.118637886300316</v>
      </c>
      <c r="R129" s="128" t="str">
        <f t="shared" si="20"/>
        <v>-2.50982478137179-32.6359549107968i</v>
      </c>
      <c r="S129" s="128">
        <f t="shared" si="21"/>
        <v>30.299535769302764</v>
      </c>
      <c r="T129" s="132">
        <f t="shared" si="22"/>
        <v>85.60239991013073</v>
      </c>
    </row>
    <row r="130" spans="1:20" ht="13.5">
      <c r="A130" s="134">
        <v>2.6</v>
      </c>
      <c r="B130" s="128">
        <f t="shared" si="23"/>
        <v>398.1071705534976</v>
      </c>
      <c r="C130" s="128">
        <f t="shared" si="10"/>
        <v>2501.3811247045737</v>
      </c>
      <c r="D130" s="128" t="str">
        <f t="shared" si="11"/>
        <v>-4.46688021729524-76.1503200132277i</v>
      </c>
      <c r="E130" s="128">
        <f t="shared" si="12"/>
        <v>37.64835240614806</v>
      </c>
      <c r="F130" s="132">
        <f t="shared" si="24"/>
        <v>-93.35705018885918</v>
      </c>
      <c r="G130" s="137">
        <v>-0.4</v>
      </c>
      <c r="H130" s="138">
        <f t="shared" si="25"/>
        <v>0.3981071705534972</v>
      </c>
      <c r="I130" s="138">
        <f t="shared" si="26"/>
        <v>2.5013811247045714</v>
      </c>
      <c r="J130" s="138">
        <f t="shared" si="13"/>
        <v>0.01296111665004985</v>
      </c>
      <c r="K130" s="138" t="str">
        <f t="shared" si="14"/>
        <v>730.505423425621-250.655290215278i</v>
      </c>
      <c r="L130" s="128">
        <f t="shared" si="15"/>
        <v>57.75585873573032</v>
      </c>
      <c r="M130" s="128" t="str">
        <f t="shared" si="16"/>
        <v>9.46816600651353-3.24877245543232i</v>
      </c>
      <c r="N130" s="128">
        <f t="shared" si="17"/>
        <v>20.00870712145869</v>
      </c>
      <c r="O130" s="136">
        <f t="shared" si="18"/>
        <v>-18.938419350606846</v>
      </c>
      <c r="P130" s="134" t="str">
        <f>IMPRODUCT(gmv,IMDIV((COMPLEX(1,I130*(Rvcomp*kOhms)*(Cvcomp*uF))),IMPRODUCT((COMPLEX(0,data!I130*((Cvcomp*uF)+(Cvcomp_p*uF)))),(COMPLEX(1,I130*((Rvcomp*kOhms)*(Cvcomp*uF)*(Cvcomp_p*uF))/((Cvcomp*uF)+(Cvcomp_p*uF)))))))</f>
        <v>0.603315702184894-2.50389958623033i</v>
      </c>
      <c r="Q130" s="128">
        <f t="shared" si="19"/>
        <v>8.217429282099854</v>
      </c>
      <c r="R130" s="128" t="str">
        <f t="shared" si="20"/>
        <v>-2.42230678429063-25.6673723812574i</v>
      </c>
      <c r="S130" s="128">
        <f t="shared" si="21"/>
        <v>28.22613640355855</v>
      </c>
      <c r="T130" s="132">
        <f t="shared" si="22"/>
        <v>84.60879306481202</v>
      </c>
    </row>
    <row r="131" spans="1:20" ht="13.5">
      <c r="A131" s="134">
        <v>2.7</v>
      </c>
      <c r="B131" s="128">
        <f t="shared" si="23"/>
        <v>501.1872336272727</v>
      </c>
      <c r="C131" s="128">
        <f t="shared" si="10"/>
        <v>3149.0522624728624</v>
      </c>
      <c r="D131" s="128" t="str">
        <f t="shared" si="11"/>
        <v>-4.45793925864904-60.3672750965278i</v>
      </c>
      <c r="E131" s="128">
        <f t="shared" si="12"/>
        <v>35.63965080649674</v>
      </c>
      <c r="F131" s="132">
        <f t="shared" si="24"/>
        <v>-94.22345245213096</v>
      </c>
      <c r="G131" s="137">
        <v>-0.3</v>
      </c>
      <c r="H131" s="138">
        <f t="shared" si="25"/>
        <v>0.5011872336272722</v>
      </c>
      <c r="I131" s="138">
        <f t="shared" si="26"/>
        <v>3.1490522624728596</v>
      </c>
      <c r="J131" s="138">
        <f t="shared" si="13"/>
        <v>0.01296111665004985</v>
      </c>
      <c r="K131" s="138" t="str">
        <f t="shared" si="14"/>
        <v>688.111532347782-297.243431899235i</v>
      </c>
      <c r="L131" s="128">
        <f t="shared" si="15"/>
        <v>57.4962126542684</v>
      </c>
      <c r="M131" s="128" t="str">
        <f t="shared" si="16"/>
        <v>8.91869383900415-3.85260679430713i</v>
      </c>
      <c r="N131" s="128">
        <f t="shared" si="17"/>
        <v>19.749061039996768</v>
      </c>
      <c r="O131" s="136">
        <f t="shared" si="18"/>
        <v>-23.36288843002232</v>
      </c>
      <c r="P131" s="134" t="str">
        <f>IMPRODUCT(gmv,IMDIV((COMPLEX(1,I131*(Rvcomp*kOhms)*(Cvcomp*uF))),IMPRODUCT((COMPLEX(0,data!I131*((Cvcomp*uF)+(Cvcomp_p*uF)))),(COMPLEX(1,I131*((Rvcomp*kOhms)*(Cvcomp*uF)*(Cvcomp_p*uF))/((Cvcomp*uF)+(Cvcomp_p*uF)))))))</f>
        <v>0.603252654505138-1.99266427523654i</v>
      </c>
      <c r="Q131" s="128">
        <f t="shared" si="19"/>
        <v>6.369514992959092</v>
      </c>
      <c r="R131" s="128" t="str">
        <f t="shared" si="20"/>
        <v>-2.29672619245151-20.0960578701861i</v>
      </c>
      <c r="S131" s="128">
        <f t="shared" si="21"/>
        <v>26.11857603295586</v>
      </c>
      <c r="T131" s="132">
        <f t="shared" si="22"/>
        <v>83.48010294244946</v>
      </c>
    </row>
    <row r="132" spans="1:20" ht="13.5">
      <c r="A132" s="134">
        <v>2.8</v>
      </c>
      <c r="B132" s="128">
        <f t="shared" si="23"/>
        <v>630.9573444801932</v>
      </c>
      <c r="C132" s="128">
        <f t="shared" si="10"/>
        <v>3964.421916294999</v>
      </c>
      <c r="D132" s="128" t="str">
        <f t="shared" si="11"/>
        <v>-4.44384187960557-47.7997938462963i</v>
      </c>
      <c r="E132" s="128">
        <f t="shared" si="12"/>
        <v>33.62589531430685</v>
      </c>
      <c r="F132" s="132">
        <f t="shared" si="24"/>
        <v>-95.3113957727382</v>
      </c>
      <c r="G132" s="137">
        <v>-0.2</v>
      </c>
      <c r="H132" s="138">
        <f t="shared" si="25"/>
        <v>0.6309573444801932</v>
      </c>
      <c r="I132" s="138">
        <f t="shared" si="26"/>
        <v>3.964421916294999</v>
      </c>
      <c r="J132" s="138">
        <f t="shared" si="13"/>
        <v>0.01296111665004985</v>
      </c>
      <c r="K132" s="138" t="str">
        <f t="shared" si="14"/>
        <v>630.151965610204-342.687864972929i</v>
      </c>
      <c r="L132" s="128">
        <f t="shared" si="15"/>
        <v>57.11407724272176</v>
      </c>
      <c r="M132" s="128" t="str">
        <f t="shared" si="16"/>
        <v>8.16747313353206-4.44161739247066i</v>
      </c>
      <c r="N132" s="128">
        <f t="shared" si="17"/>
        <v>19.366925628450133</v>
      </c>
      <c r="O132" s="136">
        <f t="shared" si="18"/>
        <v>-28.538135366086625</v>
      </c>
      <c r="P132" s="134" t="str">
        <f>IMPRODUCT(gmv,IMDIV((COMPLEX(1,I132*(Rvcomp*kOhms)*(Cvcomp*uF))),IMPRODUCT((COMPLEX(0,data!I132*((Cvcomp*uF)+(Cvcomp_p*uF)))),(COMPLEX(1,I132*((Rvcomp*kOhms)*(Cvcomp*uF)*(Cvcomp_p*uF))/((Cvcomp*uF)+(Cvcomp_p*uF)))))))</f>
        <v>0.6031527576543-1.58754432945195i</v>
      </c>
      <c r="Q132" s="128">
        <f t="shared" si="19"/>
        <v>4.600088459151818</v>
      </c>
      <c r="R132" s="128" t="str">
        <f t="shared" si="20"/>
        <v>-2.12503056145468-15.6451994378039i</v>
      </c>
      <c r="S132" s="128">
        <f t="shared" si="21"/>
        <v>23.96701408760192</v>
      </c>
      <c r="T132" s="132">
        <f t="shared" si="22"/>
        <v>82.26505759416362</v>
      </c>
    </row>
    <row r="133" spans="1:20" ht="13.5">
      <c r="A133" s="134">
        <v>2.9</v>
      </c>
      <c r="B133" s="128">
        <f t="shared" si="23"/>
        <v>794.3282347242821</v>
      </c>
      <c r="C133" s="128">
        <f t="shared" si="10"/>
        <v>4990.911493497507</v>
      </c>
      <c r="D133" s="128" t="str">
        <f t="shared" si="11"/>
        <v>-4.4216807642432-37.7793785992937i</v>
      </c>
      <c r="E133" s="128">
        <f t="shared" si="12"/>
        <v>31.60418318170627</v>
      </c>
      <c r="F133" s="132">
        <f t="shared" si="24"/>
        <v>-96.67550083343102</v>
      </c>
      <c r="G133" s="137">
        <v>-0.1</v>
      </c>
      <c r="H133" s="138">
        <f t="shared" si="25"/>
        <v>0.7943282347242815</v>
      </c>
      <c r="I133" s="138">
        <f t="shared" si="26"/>
        <v>4.990911493497503</v>
      </c>
      <c r="J133" s="138">
        <f t="shared" si="13"/>
        <v>0.01296111665004985</v>
      </c>
      <c r="K133" s="138" t="str">
        <f t="shared" si="14"/>
        <v>555.93694232728-380.608922060754i</v>
      </c>
      <c r="L133" s="128">
        <f t="shared" si="15"/>
        <v>56.56987963111118</v>
      </c>
      <c r="M133" s="128" t="str">
        <f t="shared" si="16"/>
        <v>7.20556355957591-4.93311663687916i</v>
      </c>
      <c r="N133" s="128">
        <f t="shared" si="17"/>
        <v>18.82272801683955</v>
      </c>
      <c r="O133" s="136">
        <f t="shared" si="18"/>
        <v>-34.396558452838846</v>
      </c>
      <c r="P133" s="134" t="str">
        <f>IMPRODUCT(gmv,IMDIV((COMPLEX(1,I133*(Rvcomp*kOhms)*(Cvcomp*uF))),IMPRODUCT((COMPLEX(0,data!I133*((Cvcomp*uF)+(Cvcomp_p*uF)))),(COMPLEX(1,I133*((Rvcomp*kOhms)*(Cvcomp*uF)*(Cvcomp_p*uF))/((Cvcomp*uF)+(Cvcomp_p*uF)))))))</f>
        <v>0.602994499569146-1.26696436813953i</v>
      </c>
      <c r="Q133" s="128">
        <f t="shared" si="19"/>
        <v>2.9420183819028694</v>
      </c>
      <c r="R133" s="128" t="str">
        <f t="shared" si="20"/>
        <v>-1.90516781008206-12.1038344801185i</v>
      </c>
      <c r="S133" s="128">
        <f t="shared" si="21"/>
        <v>21.764746398742428</v>
      </c>
      <c r="T133" s="132">
        <f t="shared" si="22"/>
        <v>81.05492024227964</v>
      </c>
    </row>
    <row r="134" spans="1:20" ht="13.5">
      <c r="A134" s="134">
        <v>3</v>
      </c>
      <c r="B134" s="128">
        <f t="shared" si="23"/>
        <v>1000</v>
      </c>
      <c r="C134" s="128">
        <f t="shared" si="10"/>
        <v>6283.185307179586</v>
      </c>
      <c r="D134" s="128" t="str">
        <f t="shared" si="11"/>
        <v>-4.38700697208443-29.7739017322923i</v>
      </c>
      <c r="E134" s="128">
        <f t="shared" si="12"/>
        <v>29.569992585266647</v>
      </c>
      <c r="F134" s="132">
        <f t="shared" si="24"/>
        <v>-98.38188124571265</v>
      </c>
      <c r="G134" s="137">
        <v>0</v>
      </c>
      <c r="H134" s="138">
        <f t="shared" si="25"/>
        <v>1</v>
      </c>
      <c r="I134" s="138">
        <f t="shared" si="26"/>
        <v>6.283185307179586</v>
      </c>
      <c r="J134" s="138">
        <f t="shared" si="13"/>
        <v>0.01296111665004985</v>
      </c>
      <c r="K134" s="138" t="str">
        <f t="shared" si="14"/>
        <v>468.489621699523-403.787997064797i</v>
      </c>
      <c r="L134" s="128">
        <f t="shared" si="15"/>
        <v>55.82662403541198</v>
      </c>
      <c r="M134" s="128" t="str">
        <f t="shared" si="16"/>
        <v>6.07214863618524-5.23354333184682i</v>
      </c>
      <c r="N134" s="128">
        <f t="shared" si="17"/>
        <v>18.079472421140352</v>
      </c>
      <c r="O134" s="136">
        <f t="shared" si="18"/>
        <v>-40.75782593214684</v>
      </c>
      <c r="P134" s="134" t="str">
        <f>IMPRODUCT(gmv,IMDIV((COMPLEX(1,I134*(Rvcomp*kOhms)*(Cvcomp*uF))),IMPRODUCT((COMPLEX(0,data!I134*((Cvcomp*uF)+(Cvcomp_p*uF)))),(COMPLEX(1,I134*((Rvcomp*kOhms)*(Cvcomp*uF)*(Cvcomp_p*uF))/((Cvcomp*uF)+(Cvcomp_p*uF)))))))</f>
        <v>0.602743847453384-1.01384981558661i</v>
      </c>
      <c r="Q134" s="128">
        <f t="shared" si="19"/>
        <v>1.4338694492899415</v>
      </c>
      <c r="R134" s="128" t="str">
        <f t="shared" si="20"/>
        <v>-1.64607671057432-9.31073281866225i</v>
      </c>
      <c r="S134" s="128">
        <f t="shared" si="21"/>
        <v>19.513341870430295</v>
      </c>
      <c r="T134" s="132">
        <f t="shared" si="22"/>
        <v>79.97408046009106</v>
      </c>
    </row>
    <row r="135" spans="1:20" ht="13.5">
      <c r="A135" s="134">
        <v>3.1</v>
      </c>
      <c r="B135" s="128">
        <f t="shared" si="23"/>
        <v>1258.925411794168</v>
      </c>
      <c r="C135" s="128">
        <f t="shared" si="10"/>
        <v>7910.0616502201265</v>
      </c>
      <c r="D135" s="128" t="str">
        <f t="shared" si="11"/>
        <v>-4.33315297056155-23.3599251556706i</v>
      </c>
      <c r="E135" s="128">
        <f t="shared" si="12"/>
        <v>27.5163495484404</v>
      </c>
      <c r="F135" s="132">
        <f t="shared" si="24"/>
        <v>-100.50864724120228</v>
      </c>
      <c r="G135" s="137">
        <v>0.1</v>
      </c>
      <c r="H135" s="138">
        <f t="shared" si="25"/>
        <v>1.2589254117941673</v>
      </c>
      <c r="I135" s="138">
        <f t="shared" si="26"/>
        <v>7.910061650220122</v>
      </c>
      <c r="J135" s="138">
        <f t="shared" si="13"/>
        <v>0.01296111665004985</v>
      </c>
      <c r="K135" s="138" t="str">
        <f t="shared" si="14"/>
        <v>375.001923226023-406.899283894655i</v>
      </c>
      <c r="L135" s="128">
        <f t="shared" si="15"/>
        <v>54.85995924043213</v>
      </c>
      <c r="M135" s="128" t="str">
        <f t="shared" si="16"/>
        <v>4.86044367092552-5.27386908338037i</v>
      </c>
      <c r="N135" s="128">
        <f t="shared" si="17"/>
        <v>17.112807626160503</v>
      </c>
      <c r="O135" s="136">
        <f t="shared" si="18"/>
        <v>-47.33606409104313</v>
      </c>
      <c r="P135" s="134" t="str">
        <f>IMPRODUCT(gmv,IMDIV((COMPLEX(1,I135*(Rvcomp*kOhms)*(Cvcomp*uF))),IMPRODUCT((COMPLEX(0,data!I135*((Cvcomp*uF)+(Cvcomp_p*uF)))),(COMPLEX(1,I135*((Rvcomp*kOhms)*(Cvcomp*uF)*(Cvcomp_p*uF))/((Cvcomp*uF)+(Cvcomp_p*uF)))))))</f>
        <v>0.602347017187177-0.814716372518311i</v>
      </c>
      <c r="Q135" s="128">
        <f t="shared" si="19"/>
        <v>0.11394785971282642</v>
      </c>
      <c r="R135" s="128" t="str">
        <f t="shared" si="20"/>
        <v>-1.36903374135984-7.13658234781586i</v>
      </c>
      <c r="S135" s="128">
        <f t="shared" si="21"/>
        <v>17.22675548587333</v>
      </c>
      <c r="T135" s="132">
        <f t="shared" si="22"/>
        <v>79.14068967931911</v>
      </c>
    </row>
    <row r="136" spans="1:20" ht="13.5">
      <c r="A136" s="134">
        <v>3.2</v>
      </c>
      <c r="B136" s="128">
        <f t="shared" si="23"/>
        <v>1584.8931924611156</v>
      </c>
      <c r="C136" s="128">
        <f t="shared" si="10"/>
        <v>9958.17762032063</v>
      </c>
      <c r="D136" s="128" t="str">
        <f t="shared" si="11"/>
        <v>-4.25045682592346-18.201326291125i</v>
      </c>
      <c r="E136" s="128">
        <f t="shared" si="12"/>
        <v>25.43266543098784</v>
      </c>
      <c r="F136" s="132">
        <f t="shared" si="24"/>
        <v>-103.14441296373386</v>
      </c>
      <c r="G136" s="137">
        <v>0.2</v>
      </c>
      <c r="H136" s="138">
        <f t="shared" si="25"/>
        <v>1.5848931924611136</v>
      </c>
      <c r="I136" s="138">
        <f t="shared" si="26"/>
        <v>9.958177620320617</v>
      </c>
      <c r="J136" s="138">
        <f t="shared" si="13"/>
        <v>0.01296111665004985</v>
      </c>
      <c r="K136" s="138" t="str">
        <f t="shared" si="14"/>
        <v>284.897969561738-389.173073803203i</v>
      </c>
      <c r="L136" s="128">
        <f t="shared" si="15"/>
        <v>53.66651783076147</v>
      </c>
      <c r="M136" s="128" t="str">
        <f t="shared" si="16"/>
        <v>3.69259581685204-5.04411760662177i</v>
      </c>
      <c r="N136" s="128">
        <f t="shared" si="17"/>
        <v>15.919366216489838</v>
      </c>
      <c r="O136" s="136">
        <f t="shared" si="18"/>
        <v>-53.79364076128687</v>
      </c>
      <c r="P136" s="134" t="str">
        <f>IMPRODUCT(gmv,IMDIV((COMPLEX(1,I136*(Rvcomp*kOhms)*(Cvcomp*uF))),IMPRODUCT((COMPLEX(0,data!I136*((Cvcomp*uF)+(Cvcomp_p*uF)))),(COMPLEX(1,I136*((Rvcomp*kOhms)*(Cvcomp*uF)*(Cvcomp_p*uF))/((Cvcomp*uF)+(Cvcomp_p*uF)))))))</f>
        <v>0.601719152818213-0.658949457115253i</v>
      </c>
      <c r="Q136" s="128">
        <f t="shared" si="19"/>
        <v>-0.9893401447378605</v>
      </c>
      <c r="R136" s="128" t="str">
        <f t="shared" si="20"/>
        <v>-1.10191293189262-5.46837618183259i</v>
      </c>
      <c r="S136" s="128">
        <f t="shared" si="21"/>
        <v>14.93002607175198</v>
      </c>
      <c r="T136" s="132">
        <f t="shared" si="22"/>
        <v>78.60709954018711</v>
      </c>
    </row>
    <row r="137" spans="1:20" ht="13.5">
      <c r="A137" s="134">
        <v>3.3</v>
      </c>
      <c r="B137" s="128">
        <f t="shared" si="23"/>
        <v>1995.2623149688804</v>
      </c>
      <c r="C137" s="128">
        <f t="shared" si="10"/>
        <v>12536.602861381598</v>
      </c>
      <c r="D137" s="128" t="str">
        <f t="shared" si="11"/>
        <v>-4.12566805024742-14.0333613422575i</v>
      </c>
      <c r="E137" s="128">
        <f t="shared" si="12"/>
        <v>23.303252157819074</v>
      </c>
      <c r="F137" s="132">
        <f t="shared" si="24"/>
        <v>-106.38280932055858</v>
      </c>
      <c r="G137" s="137">
        <v>0.3</v>
      </c>
      <c r="H137" s="138">
        <f t="shared" si="25"/>
        <v>1.9952623149688797</v>
      </c>
      <c r="I137" s="138">
        <f t="shared" si="26"/>
        <v>12.536602861381592</v>
      </c>
      <c r="J137" s="138">
        <f t="shared" si="13"/>
        <v>0.01296111665004985</v>
      </c>
      <c r="K137" s="138" t="str">
        <f t="shared" si="14"/>
        <v>206.326436086817-354.820176088725i</v>
      </c>
      <c r="L137" s="128">
        <f t="shared" si="15"/>
        <v>52.26517305594232</v>
      </c>
      <c r="M137" s="128" t="str">
        <f t="shared" si="16"/>
        <v>2.67422100611029-4.59886569207719i</v>
      </c>
      <c r="N137" s="128">
        <f t="shared" si="17"/>
        <v>14.51802144167069</v>
      </c>
      <c r="O137" s="136">
        <f t="shared" si="18"/>
        <v>-59.82217944049434</v>
      </c>
      <c r="P137" s="134" t="str">
        <f>IMPRODUCT(gmv,IMDIV((COMPLEX(1,I137*(Rvcomp*kOhms)*(Cvcomp*uF))),IMPRODUCT((COMPLEX(0,data!I137*((Cvcomp*uF)+(Cvcomp_p*uF)))),(COMPLEX(1,I137*((Rvcomp*kOhms)*(Cvcomp*uF)*(Cvcomp_p*uF))/((Cvcomp*uF)+(Cvcomp_p*uF)))))))</f>
        <v>0.600726731621464-0.538234052402395i</v>
      </c>
      <c r="Q137" s="128">
        <f t="shared" si="19"/>
        <v>-1.8670696789773458</v>
      </c>
      <c r="R137" s="128" t="str">
        <f t="shared" si="20"/>
        <v>-0.868790073266953-4.20201836550596i</v>
      </c>
      <c r="S137" s="128">
        <f t="shared" si="21"/>
        <v>12.650951762693339</v>
      </c>
      <c r="T137" s="132">
        <f t="shared" si="22"/>
        <v>78.31838534451994</v>
      </c>
    </row>
    <row r="138" spans="1:20" ht="13.5">
      <c r="A138" s="134">
        <v>3.4</v>
      </c>
      <c r="B138" s="128">
        <f t="shared" si="23"/>
        <v>2511.886431509581</v>
      </c>
      <c r="C138" s="128">
        <f t="shared" si="10"/>
        <v>15782.647919764762</v>
      </c>
      <c r="D138" s="128" t="str">
        <f t="shared" si="11"/>
        <v>-3.94223304816928-10.6514742159646i</v>
      </c>
      <c r="E138" s="128">
        <f t="shared" si="12"/>
        <v>21.105732282733477</v>
      </c>
      <c r="F138" s="132">
        <f t="shared" si="24"/>
        <v>-110.31009247384529</v>
      </c>
      <c r="G138" s="137">
        <v>0.4</v>
      </c>
      <c r="H138" s="138">
        <f t="shared" si="25"/>
        <v>2.5118864315095806</v>
      </c>
      <c r="I138" s="138">
        <f t="shared" si="26"/>
        <v>15.78264791976476</v>
      </c>
      <c r="J138" s="138">
        <f t="shared" si="13"/>
        <v>0.01296111665004985</v>
      </c>
      <c r="K138" s="138" t="str">
        <f t="shared" si="14"/>
        <v>143.571879928139-310.829920650879i</v>
      </c>
      <c r="L138" s="128">
        <f t="shared" si="15"/>
        <v>50.69031816062919</v>
      </c>
      <c r="M138" s="128" t="str">
        <f t="shared" si="16"/>
        <v>1.86085188341556-4.02870285988178i</v>
      </c>
      <c r="N138" s="128">
        <f t="shared" si="17"/>
        <v>12.943166546357567</v>
      </c>
      <c r="O138" s="136">
        <f t="shared" si="18"/>
        <v>-65.20785479009058</v>
      </c>
      <c r="P138" s="134" t="str">
        <f>IMPRODUCT(gmv,IMDIV((COMPLEX(1,I138*(Rvcomp*kOhms)*(Cvcomp*uF))),IMPRODUCT((COMPLEX(0,data!I138*((Cvcomp*uF)+(Cvcomp_p*uF)))),(COMPLEX(1,I138*((Rvcomp*kOhms)*(Cvcomp*uF)*(Cvcomp_p*uF))/((Cvcomp*uF)+(Cvcomp_p*uF)))))))</f>
        <v>0.599160538189164-0.446102283075761i</v>
      </c>
      <c r="Q138" s="128">
        <f t="shared" si="19"/>
        <v>-2.5336533603404328</v>
      </c>
      <c r="R138" s="128" t="str">
        <f t="shared" si="20"/>
        <v>-0.682264527669523-3.2439700473885i</v>
      </c>
      <c r="S138" s="128">
        <f t="shared" si="21"/>
        <v>10.409513186017126</v>
      </c>
      <c r="T138" s="132">
        <f t="shared" si="22"/>
        <v>78.12278443957646</v>
      </c>
    </row>
    <row r="139" spans="1:20" ht="13.5">
      <c r="A139" s="134">
        <v>3.5</v>
      </c>
      <c r="B139" s="128">
        <f t="shared" si="23"/>
        <v>3162.2776601683804</v>
      </c>
      <c r="C139" s="128">
        <f t="shared" si="10"/>
        <v>19869.17653159221</v>
      </c>
      <c r="D139" s="128" t="str">
        <f t="shared" si="11"/>
        <v>-3.68272143535468-7.9038064330726i</v>
      </c>
      <c r="E139" s="128">
        <f t="shared" si="12"/>
        <v>18.809998035539387</v>
      </c>
      <c r="F139" s="132">
        <f t="shared" si="24"/>
        <v>-114.98282492396899</v>
      </c>
      <c r="G139" s="137">
        <v>0.5</v>
      </c>
      <c r="H139" s="138">
        <f t="shared" si="25"/>
        <v>3.1622776601683795</v>
      </c>
      <c r="I139" s="138">
        <f t="shared" si="26"/>
        <v>19.869176531592203</v>
      </c>
      <c r="J139" s="138">
        <f t="shared" si="13"/>
        <v>0.01296111665004985</v>
      </c>
      <c r="K139" s="138" t="str">
        <f t="shared" si="14"/>
        <v>96.8739670607005-264.034401338194i</v>
      </c>
      <c r="L139" s="128">
        <f t="shared" si="15"/>
        <v>48.98169513779017</v>
      </c>
      <c r="M139" s="128" t="str">
        <f t="shared" si="16"/>
        <v>1.25559478742683-3.42218067537041i</v>
      </c>
      <c r="N139" s="128">
        <f t="shared" si="17"/>
        <v>11.23454352351854</v>
      </c>
      <c r="O139" s="136">
        <f t="shared" si="18"/>
        <v>-69.85196155426355</v>
      </c>
      <c r="P139" s="134" t="str">
        <f>IMPRODUCT(gmv,IMDIV((COMPLEX(1,I139*(Rvcomp*kOhms)*(Cvcomp*uF))),IMPRODUCT((COMPLEX(0,data!I139*((Cvcomp*uF)+(Cvcomp_p*uF)))),(COMPLEX(1,I139*((Rvcomp*kOhms)*(Cvcomp*uF)*(Cvcomp_p*uF))/((Cvcomp*uF)+(Cvcomp_p*uF)))))))</f>
        <v>0.596694948519779-0.377570202504165i</v>
      </c>
      <c r="Q139" s="128">
        <f t="shared" si="19"/>
        <v>-3.022441377279579</v>
      </c>
      <c r="R139" s="128" t="str">
        <f t="shared" si="20"/>
        <v>-0.542906383560091-2.51607310006745i</v>
      </c>
      <c r="S139" s="128">
        <f t="shared" si="21"/>
        <v>8.212102146238955</v>
      </c>
      <c r="T139" s="132">
        <f t="shared" si="22"/>
        <v>77.82366880590702</v>
      </c>
    </row>
    <row r="140" spans="1:20" ht="13.5">
      <c r="A140" s="134">
        <v>3.6</v>
      </c>
      <c r="B140" s="128">
        <f t="shared" si="23"/>
        <v>3981.071705534977</v>
      </c>
      <c r="C140" s="128">
        <f t="shared" si="10"/>
        <v>25013.81124704574</v>
      </c>
      <c r="D140" s="128" t="str">
        <f t="shared" si="11"/>
        <v>-3.33479774471899-5.68508451282154i</v>
      </c>
      <c r="E140" s="128">
        <f t="shared" si="12"/>
        <v>16.37900433032639</v>
      </c>
      <c r="F140" s="132">
        <f t="shared" si="24"/>
        <v>-120.39533985754666</v>
      </c>
      <c r="G140" s="137">
        <v>0.6</v>
      </c>
      <c r="H140" s="138">
        <f t="shared" si="25"/>
        <v>3.9810717055349727</v>
      </c>
      <c r="I140" s="138">
        <f t="shared" si="26"/>
        <v>25.013811247045716</v>
      </c>
      <c r="J140" s="138">
        <f t="shared" si="13"/>
        <v>0.01296111665004985</v>
      </c>
      <c r="K140" s="138" t="str">
        <f t="shared" si="14"/>
        <v>63.9221455214006-219.333401547036i</v>
      </c>
      <c r="L140" s="128">
        <f t="shared" si="15"/>
        <v>47.17613772469535</v>
      </c>
      <c r="M140" s="128" t="str">
        <f t="shared" si="16"/>
        <v>0.828502384624335-2.84280580270336i</v>
      </c>
      <c r="N140" s="128">
        <f t="shared" si="17"/>
        <v>9.428986110423738</v>
      </c>
      <c r="O140" s="136">
        <f t="shared" si="18"/>
        <v>-73.751856621792</v>
      </c>
      <c r="P140" s="134" t="str">
        <f>IMPRODUCT(gmv,IMDIV((COMPLEX(1,I140*(Rvcomp*kOhms)*(Cvcomp*uF))),IMPRODUCT((COMPLEX(0,data!I140*((Cvcomp*uF)+(Cvcomp_p*uF)))),(COMPLEX(1,I140*((Rvcomp*kOhms)*(Cvcomp*uF)*(Cvcomp_p*uF))/((Cvcomp*uF)+(Cvcomp_p*uF)))))))</f>
        <v>0.592828549165978-0.32883620179764i</v>
      </c>
      <c r="Q140" s="128">
        <f t="shared" si="19"/>
        <v>-3.3763988435730696</v>
      </c>
      <c r="R140" s="128" t="str">
        <f t="shared" si="20"/>
        <v>-0.443657595951866-1.95773801691741i</v>
      </c>
      <c r="S140" s="128">
        <f t="shared" si="21"/>
        <v>6.052587266850663</v>
      </c>
      <c r="T140" s="132">
        <f t="shared" si="22"/>
        <v>77.2314396038432</v>
      </c>
    </row>
    <row r="141" spans="1:20" ht="13.5">
      <c r="A141" s="134">
        <v>3.7</v>
      </c>
      <c r="B141" s="128">
        <f t="shared" si="23"/>
        <v>5011.872336272732</v>
      </c>
      <c r="C141" s="128">
        <f t="shared" si="10"/>
        <v>31490.52262472866</v>
      </c>
      <c r="D141" s="128" t="str">
        <f t="shared" si="11"/>
        <v>-2.90049962811448-3.92771746784243i</v>
      </c>
      <c r="E141" s="128">
        <f t="shared" si="12"/>
        <v>13.773037480361962</v>
      </c>
      <c r="F141" s="132">
        <f t="shared" si="24"/>
        <v>-126.4447376379055</v>
      </c>
      <c r="G141" s="137">
        <v>0.7</v>
      </c>
      <c r="H141" s="138">
        <f t="shared" si="25"/>
        <v>5.011872336272723</v>
      </c>
      <c r="I141" s="138">
        <f t="shared" si="26"/>
        <v>31.490522624728598</v>
      </c>
      <c r="J141" s="138">
        <f t="shared" si="13"/>
        <v>0.01296111665004985</v>
      </c>
      <c r="K141" s="138" t="str">
        <f t="shared" si="14"/>
        <v>41.5320579080126-179.405966127247i</v>
      </c>
      <c r="L141" s="128">
        <f t="shared" si="15"/>
        <v>45.30345879874892</v>
      </c>
      <c r="M141" s="128" t="str">
        <f t="shared" si="16"/>
        <v>0.538301847262377-2.32530165469014i</v>
      </c>
      <c r="N141" s="128">
        <f t="shared" si="17"/>
        <v>7.556307184477289</v>
      </c>
      <c r="O141" s="136">
        <f t="shared" si="18"/>
        <v>-76.96576490309032</v>
      </c>
      <c r="P141" s="134" t="str">
        <f>IMPRODUCT(gmv,IMDIV((COMPLEX(1,I141*(Rvcomp*kOhms)*(Cvcomp*uF))),IMPRODUCT((COMPLEX(0,data!I141*((Cvcomp*uF)+(Cvcomp_p*uF)))),(COMPLEX(1,I141*((Rvcomp*kOhms)*(Cvcomp*uF)*(Cvcomp_p*uF))/((Cvcomp*uF)+(Cvcomp_p*uF)))))))</f>
        <v>0.586802312754902-0.297010283910462i</v>
      </c>
      <c r="Q141" s="128">
        <f t="shared" si="19"/>
        <v>-3.6396161232828907</v>
      </c>
      <c r="R141" s="128" t="str">
        <f t="shared" si="20"/>
        <v>-0.374761735703187-1.5243735733099i</v>
      </c>
      <c r="S141" s="128">
        <f t="shared" si="21"/>
        <v>3.9166910611944026</v>
      </c>
      <c r="T141" s="132">
        <f t="shared" si="22"/>
        <v>76.18795990469907</v>
      </c>
    </row>
    <row r="142" spans="1:20" ht="13.5">
      <c r="A142" s="134">
        <v>3.8</v>
      </c>
      <c r="B142" s="128">
        <f t="shared" si="23"/>
        <v>6309.573444801938</v>
      </c>
      <c r="C142" s="128">
        <f t="shared" si="10"/>
        <v>39644.21916295003</v>
      </c>
      <c r="D142" s="128" t="str">
        <f t="shared" si="11"/>
        <v>-2.4042520105559-2.58611250293442i</v>
      </c>
      <c r="E142" s="128">
        <f t="shared" si="12"/>
        <v>10.958109218124205</v>
      </c>
      <c r="F142" s="132">
        <f t="shared" si="24"/>
        <v>-132.91293208097719</v>
      </c>
      <c r="G142" s="137">
        <v>0.8</v>
      </c>
      <c r="H142" s="138">
        <f t="shared" si="25"/>
        <v>6.309573444801934</v>
      </c>
      <c r="I142" s="138">
        <f t="shared" si="26"/>
        <v>39.64421916295</v>
      </c>
      <c r="J142" s="138">
        <f t="shared" si="13"/>
        <v>0.01296111665004985</v>
      </c>
      <c r="K142" s="138" t="str">
        <f t="shared" si="14"/>
        <v>26.7062721525299-145.233465652595i</v>
      </c>
      <c r="L142" s="128">
        <f t="shared" si="15"/>
        <v>43.385756994007856</v>
      </c>
      <c r="M142" s="128" t="str">
        <f t="shared" si="16"/>
        <v>0.346143108656918-1.88238788981429i</v>
      </c>
      <c r="N142" s="128">
        <f t="shared" si="17"/>
        <v>5.638605379736218</v>
      </c>
      <c r="O142" s="136">
        <f t="shared" si="18"/>
        <v>-79.58055861852046</v>
      </c>
      <c r="P142" s="134" t="str">
        <f>IMPRODUCT(gmv,IMDIV((COMPLEX(1,I142*(Rvcomp*kOhms)*(Cvcomp*uF))),IMPRODUCT((COMPLEX(0,data!I142*((Cvcomp*uF)+(Cvcomp_p*uF)))),(COMPLEX(1,I142*((Rvcomp*kOhms)*(Cvcomp*uF)*(Cvcomp_p*uF))/((Cvcomp*uF)+(Cvcomp_p*uF)))))))</f>
        <v>0.577498353379976-0.279835566812211i</v>
      </c>
      <c r="Q142" s="128">
        <f t="shared" si="19"/>
        <v>-3.8530069382075807</v>
      </c>
      <c r="R142" s="128" t="str">
        <f t="shared" si="20"/>
        <v>-0.326862006823427-1.18393905979931i</v>
      </c>
      <c r="S142" s="128">
        <f t="shared" si="21"/>
        <v>1.7855984415286397</v>
      </c>
      <c r="T142" s="132">
        <f t="shared" si="22"/>
        <v>74.56623082631873</v>
      </c>
    </row>
    <row r="143" spans="1:20" ht="13.5">
      <c r="A143" s="134">
        <v>3.9</v>
      </c>
      <c r="B143" s="128">
        <f t="shared" si="23"/>
        <v>7943.282347242815</v>
      </c>
      <c r="C143" s="128">
        <f t="shared" si="10"/>
        <v>49909.114934975034</v>
      </c>
      <c r="D143" s="128" t="str">
        <f t="shared" si="11"/>
        <v>-1.8913842600291-1.61602173124351i</v>
      </c>
      <c r="E143" s="128">
        <f t="shared" si="12"/>
        <v>7.91610704461569</v>
      </c>
      <c r="F143" s="132">
        <f t="shared" si="24"/>
        <v>-139.48901988818994</v>
      </c>
      <c r="G143" s="137">
        <v>0.9</v>
      </c>
      <c r="H143" s="138">
        <f t="shared" si="25"/>
        <v>7.943282347242818</v>
      </c>
      <c r="I143" s="138">
        <f t="shared" si="26"/>
        <v>49.90911493497505</v>
      </c>
      <c r="J143" s="138">
        <f t="shared" si="13"/>
        <v>0.01296111665004985</v>
      </c>
      <c r="K143" s="138" t="str">
        <f t="shared" si="14"/>
        <v>17.0563988386307-116.772552459516i</v>
      </c>
      <c r="L143" s="128">
        <f t="shared" si="15"/>
        <v>41.438497717959365</v>
      </c>
      <c r="M143" s="128" t="str">
        <f t="shared" si="16"/>
        <v>0.221069974977267-1.51350267395185i</v>
      </c>
      <c r="N143" s="128">
        <f t="shared" si="17"/>
        <v>3.691346103687723</v>
      </c>
      <c r="O143" s="136">
        <f t="shared" si="18"/>
        <v>-81.68985068315159</v>
      </c>
      <c r="P143" s="134" t="str">
        <f>IMPRODUCT(gmv,IMDIV((COMPLEX(1,I143*(Rvcomp*kOhms)*(Cvcomp*uF))),IMPRODUCT((COMPLEX(0,data!I143*((Cvcomp*uF)+(Cvcomp_p*uF)))),(COMPLEX(1,I143*((Rvcomp*kOhms)*(Cvcomp*uF)*(Cvcomp_p*uF))/((Cvcomp*uF)+(Cvcomp_p*uF)))))))</f>
        <v>0.563342104147648-0.275352960747154i</v>
      </c>
      <c r="Q143" s="128">
        <f t="shared" si="19"/>
        <v>-4.054156738275131</v>
      </c>
      <c r="R143" s="128" t="str">
        <f t="shared" si="20"/>
        <v>-0.292209417503815-0.913492053119417i</v>
      </c>
      <c r="S143" s="128">
        <f t="shared" si="21"/>
        <v>-0.36281063458740276</v>
      </c>
      <c r="T143" s="132">
        <f t="shared" si="22"/>
        <v>72.26147555742871</v>
      </c>
    </row>
    <row r="144" spans="1:20" ht="13.5">
      <c r="A144" s="134">
        <v>4</v>
      </c>
      <c r="B144" s="128">
        <f t="shared" si="23"/>
        <v>10000</v>
      </c>
      <c r="C144" s="128">
        <f t="shared" si="10"/>
        <v>62831.853071795864</v>
      </c>
      <c r="D144" s="128" t="str">
        <f t="shared" si="11"/>
        <v>-1.41350124204728-0.959320268852739i</v>
      </c>
      <c r="E144" s="128">
        <f t="shared" si="12"/>
        <v>4.651271283567569</v>
      </c>
      <c r="F144" s="132">
        <f t="shared" si="24"/>
        <v>-145.8359006823152</v>
      </c>
      <c r="G144" s="139">
        <v>1</v>
      </c>
      <c r="H144" s="140">
        <f t="shared" si="25"/>
        <v>10</v>
      </c>
      <c r="I144" s="140">
        <f t="shared" si="26"/>
        <v>62.83185307179586</v>
      </c>
      <c r="J144" s="138">
        <f t="shared" si="13"/>
        <v>0.01296111665004985</v>
      </c>
      <c r="K144" s="138" t="str">
        <f t="shared" si="14"/>
        <v>10.8454684954974-93.4763503434658i</v>
      </c>
      <c r="L144" s="135">
        <f t="shared" si="15"/>
        <v>39.47210746123456</v>
      </c>
      <c r="M144" s="135" t="str">
        <f t="shared" si="16"/>
        <v>0.140569382294582-1.21155788082259i</v>
      </c>
      <c r="N144" s="135">
        <f t="shared" si="17"/>
        <v>1.724955846962949</v>
      </c>
      <c r="O144" s="136">
        <f t="shared" si="18"/>
        <v>-83.38192436246248</v>
      </c>
      <c r="P144" s="134" t="str">
        <f>IMPRODUCT(gmv,IMDIV((COMPLEX(1,I144*(Rvcomp*kOhms)*(Cvcomp*uF))),IMPRODUCT((COMPLEX(0,data!I144*((Cvcomp*uF)+(Cvcomp_p*uF)))),(COMPLEX(1,I144*((Rvcomp*kOhms)*(Cvcomp*uF)*(Cvcomp_p*uF))/((Cvcomp*uF)+(Cvcomp_p*uF)))))))</f>
        <v>0.54227443075322-0.281458696548684i</v>
      </c>
      <c r="Q144" s="128">
        <f t="shared" si="19"/>
        <v>-4.279646315399686</v>
      </c>
      <c r="R144" s="128" t="str">
        <f t="shared" si="20"/>
        <v>-0.264776320164486-0.696561335262934i</v>
      </c>
      <c r="S144" s="128">
        <f t="shared" si="21"/>
        <v>-2.55469046843674</v>
      </c>
      <c r="T144" s="132">
        <f t="shared" si="22"/>
        <v>69.18724257707547</v>
      </c>
    </row>
    <row r="145" spans="1:20" ht="13.5">
      <c r="A145" s="134">
        <v>4.1</v>
      </c>
      <c r="B145" s="128">
        <f t="shared" si="23"/>
        <v>12589.254117941671</v>
      </c>
      <c r="C145" s="128">
        <f t="shared" si="10"/>
        <v>79100.61650220121</v>
      </c>
      <c r="D145" s="128" t="str">
        <f t="shared" si="11"/>
        <v>-1.00932362038812-0.544123976012357i</v>
      </c>
      <c r="E145" s="128">
        <f t="shared" si="12"/>
        <v>1.1886137073163145</v>
      </c>
      <c r="F145" s="132">
        <f t="shared" si="24"/>
        <v>-151.67099803115917</v>
      </c>
      <c r="G145" s="137">
        <v>1.1</v>
      </c>
      <c r="H145" s="138">
        <f t="shared" si="25"/>
        <v>12.58925411794168</v>
      </c>
      <c r="I145" s="138">
        <f t="shared" si="26"/>
        <v>79.10061650220126</v>
      </c>
      <c r="J145" s="138">
        <f t="shared" si="13"/>
        <v>0.01296111665004985</v>
      </c>
      <c r="K145" s="138" t="str">
        <f t="shared" si="14"/>
        <v>6.87673692363536-74.6166661143402i</v>
      </c>
      <c r="L145" s="128">
        <f t="shared" si="15"/>
        <v>37.49344839292704</v>
      </c>
      <c r="M145" s="128" t="str">
        <f t="shared" si="16"/>
        <v>0.0891301894389429-0.967115313545785i</v>
      </c>
      <c r="N145" s="128">
        <f t="shared" si="17"/>
        <v>-0.25370322134459067</v>
      </c>
      <c r="O145" s="136">
        <f t="shared" si="18"/>
        <v>-84.73444533589841</v>
      </c>
      <c r="P145" s="134" t="str">
        <f>IMPRODUCT(gmv,IMDIV((COMPLEX(1,I145*(Rvcomp*kOhms)*(Cvcomp*uF))),IMPRODUCT((COMPLEX(0,data!I145*((Cvcomp*uF)+(Cvcomp_p*uF)))),(COMPLEX(1,I145*((Rvcomp*kOhms)*(Cvcomp*uF)*(Cvcomp_p*uF))/((Cvcomp*uF)+(Cvcomp_p*uF)))))))</f>
        <v>0.511931586227503-0.295345198823073i</v>
      </c>
      <c r="Q145" s="128">
        <f t="shared" si="19"/>
        <v>-4.567980133199111</v>
      </c>
      <c r="R145" s="128" t="str">
        <f t="shared" si="20"/>
        <v>-0.240004305303783-0.521421050049385i</v>
      </c>
      <c r="S145" s="128">
        <f t="shared" si="21"/>
        <v>-4.821683354543705</v>
      </c>
      <c r="T145" s="132">
        <f t="shared" si="22"/>
        <v>65.28391085125592</v>
      </c>
    </row>
    <row r="146" spans="1:20" ht="13.5">
      <c r="A146" s="134">
        <v>4.2</v>
      </c>
      <c r="B146" s="128">
        <f t="shared" si="23"/>
        <v>15848.931924611146</v>
      </c>
      <c r="C146" s="128">
        <f aca="true" t="shared" si="27" ref="C146:C164">2*PI()*B146</f>
        <v>99581.77620320623</v>
      </c>
      <c r="D146" s="128" t="str">
        <f aca="true" t="shared" si="28" ref="D146:D164">IMDIV((K_1*2.5*Rsense*Vout_nom)/(K_FQ*M_1*(M_2/us)*Lbst*mH),IMPRODUCT((COMPLEX(0,C146*1)),COMPLEX(1,(C146/(2*PI()*fiavg*kHz)))))</f>
        <v>-0.694559348552738-0.297424532216323i</v>
      </c>
      <c r="E146" s="128">
        <f aca="true" t="shared" si="29" ref="E146:E164">20*LOG(IMABS(D146))</f>
        <v>-2.4345970492717512</v>
      </c>
      <c r="F146" s="132">
        <f aca="true" t="shared" si="30" ref="F146:F164">180/PI()*IMARGUMENT(D146)</f>
        <v>-156.8183997067392</v>
      </c>
      <c r="G146" s="137">
        <v>1.2</v>
      </c>
      <c r="H146" s="138">
        <f t="shared" si="25"/>
        <v>15.848931924611136</v>
      </c>
      <c r="I146" s="138">
        <f>2*PI()*H146</f>
        <v>99.58177620320618</v>
      </c>
      <c r="J146" s="138">
        <f aca="true" t="shared" si="31" ref="J146:J174">(R_fb2*kOhms)/((R_fb1*MegOhm)+(R_fb2*kOhms))</f>
        <v>0.01296111665004985</v>
      </c>
      <c r="K146" s="138" t="str">
        <f aca="true" t="shared" si="32" ref="K146:K174">IMDIV(((M_3/us)*Vout_nom)/(M1M2/us),COMPLEX(1,(I146/(2*PI()*fPWM_PSpole))))</f>
        <v>4.35245558396284-59.4549171694138i</v>
      </c>
      <c r="L146" s="128">
        <f aca="true" t="shared" si="33" ref="L146:L174">20*LOG(IMABS(K146))</f>
        <v>35.506967769111746</v>
      </c>
      <c r="M146" s="128" t="str">
        <f aca="true" t="shared" si="34" ref="M146:M174">IMPRODUCT(J146,K146)</f>
        <v>0.0564126845379032-0.770602116851824i</v>
      </c>
      <c r="N146" s="128">
        <f aca="true" t="shared" si="35" ref="N146:N174">20*LOG(IMABS(M146))</f>
        <v>-2.2401838451598817</v>
      </c>
      <c r="O146" s="136">
        <f aca="true" t="shared" si="36" ref="O146:O174">180/PI()*IMARGUMENT(M146)</f>
        <v>-85.81307495444962</v>
      </c>
      <c r="P146" s="134" t="str">
        <f>IMPRODUCT(gmv,IMDIV((COMPLEX(1,I146*(Rvcomp*kOhms)*(Cvcomp*uF))),IMPRODUCT((COMPLEX(0,data!I146*((Cvcomp*uF)+(Cvcomp_p*uF)))),(COMPLEX(1,I146*((Rvcomp*kOhms)*(Cvcomp*uF)*(Cvcomp_p*uF))/((Cvcomp*uF)+(Cvcomp_p*uF)))))))</f>
        <v>0.470230447794383-0.312955262074427i</v>
      </c>
      <c r="Q146" s="128">
        <f aca="true" t="shared" si="37" ref="Q146:Q174">20*LOG(IMABS(P146))</f>
        <v>-4.961308105494509</v>
      </c>
      <c r="R146" s="128" t="str">
        <f aca="true" t="shared" si="38" ref="R146:R174">IMPRODUCT((M146),(P146))</f>
        <v>-0.214637025522929-0.380015224952414i</v>
      </c>
      <c r="S146" s="128">
        <f aca="true" t="shared" si="39" ref="S146:S174">20*LOG(IMABS(R146))</f>
        <v>-7.201491950654394</v>
      </c>
      <c r="T146" s="132">
        <f aca="true" t="shared" si="40" ref="T146:T174">(180/PI()*IMARGUMENT(R146))+180</f>
        <v>60.54173276851995</v>
      </c>
    </row>
    <row r="147" spans="1:20" ht="13.5">
      <c r="A147" s="134">
        <v>4.3</v>
      </c>
      <c r="B147" s="128">
        <f t="shared" si="23"/>
        <v>19952.623149688792</v>
      </c>
      <c r="C147" s="128">
        <f t="shared" si="27"/>
        <v>125366.0286138159</v>
      </c>
      <c r="D147" s="128" t="str">
        <f t="shared" si="28"/>
        <v>-0.464818437001655-0.158106881250332i</v>
      </c>
      <c r="E147" s="128">
        <f t="shared" si="29"/>
        <v>-6.178857200903396</v>
      </c>
      <c r="F147" s="132">
        <f t="shared" si="30"/>
        <v>-161.21438596847318</v>
      </c>
      <c r="G147" s="137">
        <v>1.3</v>
      </c>
      <c r="H147" s="138">
        <f t="shared" si="25"/>
        <v>19.952623149688804</v>
      </c>
      <c r="I147" s="138">
        <f t="shared" si="26"/>
        <v>125.36602861381597</v>
      </c>
      <c r="J147" s="138">
        <f t="shared" si="31"/>
        <v>0.01296111665004985</v>
      </c>
      <c r="K147" s="138" t="str">
        <f t="shared" si="32"/>
        <v>2.75162681712402-47.3198069185664i</v>
      </c>
      <c r="L147" s="128">
        <f t="shared" si="33"/>
        <v>33.51551962393102</v>
      </c>
      <c r="M147" s="128" t="str">
        <f t="shared" si="34"/>
        <v>0.0356641561541498-0.613317537329375i</v>
      </c>
      <c r="N147" s="128">
        <f t="shared" si="35"/>
        <v>-4.231631990340612</v>
      </c>
      <c r="O147" s="136">
        <f t="shared" si="36"/>
        <v>-86.67202225232988</v>
      </c>
      <c r="P147" s="134" t="str">
        <f>IMPRODUCT(gmv,IMDIV((COMPLEX(1,I147*(Rvcomp*kOhms)*(Cvcomp*uF))),IMPRODUCT((COMPLEX(0,data!I147*((Cvcomp*uF)+(Cvcomp_p*uF)))),(COMPLEX(1,I147*((Rvcomp*kOhms)*(Cvcomp*uF)*(Cvcomp_p*uF))/((Cvcomp*uF)+(Cvcomp_p*uF)))))))</f>
        <v>0.416463769060681-0.328836006794731i</v>
      </c>
      <c r="Q147" s="128">
        <f t="shared" si="37"/>
        <v>-5.504056136930416</v>
      </c>
      <c r="R147" s="128" t="str">
        <f t="shared" si="38"/>
        <v>-0.186828060980244-0.267152191922641i</v>
      </c>
      <c r="S147" s="128">
        <f t="shared" si="39"/>
        <v>-9.735688127271027</v>
      </c>
      <c r="T147" s="132">
        <f t="shared" si="40"/>
        <v>55.03367709185554</v>
      </c>
    </row>
    <row r="148" spans="1:20" ht="13.5">
      <c r="A148" s="134">
        <v>4.4</v>
      </c>
      <c r="B148" s="128">
        <f t="shared" si="23"/>
        <v>25118.86431509586</v>
      </c>
      <c r="C148" s="128">
        <f t="shared" si="27"/>
        <v>157826.47919764792</v>
      </c>
      <c r="D148" s="128" t="str">
        <f t="shared" si="28"/>
        <v>-0.304951234695748-0.0823944240180502i</v>
      </c>
      <c r="E148" s="128">
        <f t="shared" si="29"/>
        <v>-10.009386700027974</v>
      </c>
      <c r="F148" s="132">
        <f t="shared" si="30"/>
        <v>-164.88034014641778</v>
      </c>
      <c r="G148" s="137">
        <v>1.4</v>
      </c>
      <c r="H148" s="138">
        <f t="shared" si="25"/>
        <v>25.1188643150958</v>
      </c>
      <c r="I148" s="138">
        <f t="shared" si="26"/>
        <v>157.82647919764753</v>
      </c>
      <c r="J148" s="138">
        <f t="shared" si="31"/>
        <v>0.01296111665004985</v>
      </c>
      <c r="K148" s="138" t="str">
        <f t="shared" si="32"/>
        <v>1.73832103985715-37.6342631408737i</v>
      </c>
      <c r="L148" s="128">
        <f t="shared" si="33"/>
        <v>31.520924157030763</v>
      </c>
      <c r="M148" s="128" t="str">
        <f t="shared" si="34"/>
        <v>0.0225305817728245-0.487782074607535i</v>
      </c>
      <c r="N148" s="128">
        <f t="shared" si="35"/>
        <v>-6.226227457240874</v>
      </c>
      <c r="O148" s="136">
        <f t="shared" si="36"/>
        <v>-87.35539611872076</v>
      </c>
      <c r="P148" s="134" t="str">
        <f>IMPRODUCT(gmv,IMDIV((COMPLEX(1,I148*(Rvcomp*kOhms)*(Cvcomp*uF))),IMPRODUCT((COMPLEX(0,data!I148*((Cvcomp*uF)+(Cvcomp_p*uF)))),(COMPLEX(1,I148*((Rvcomp*kOhms)*(Cvcomp*uF)*(Cvcomp_p*uF))/((Cvcomp*uF)+(Cvcomp_p*uF)))))))</f>
        <v>0.352571331240422-0.33695047484227i</v>
      </c>
      <c r="Q148" s="128">
        <f t="shared" si="37"/>
        <v>-6.237111485183284</v>
      </c>
      <c r="R148" s="128" t="str">
        <f t="shared" si="38"/>
        <v>-0.156414764449291-0.179569665626419i</v>
      </c>
      <c r="S148" s="128">
        <f t="shared" si="39"/>
        <v>-12.463338942424155</v>
      </c>
      <c r="T148" s="132">
        <f t="shared" si="40"/>
        <v>48.94239615916737</v>
      </c>
    </row>
    <row r="149" spans="1:20" ht="13.5">
      <c r="A149" s="134">
        <v>4.5</v>
      </c>
      <c r="B149" s="128">
        <f t="shared" si="23"/>
        <v>31622.77660168384</v>
      </c>
      <c r="C149" s="128">
        <f t="shared" si="27"/>
        <v>198691.7653159223</v>
      </c>
      <c r="D149" s="128" t="str">
        <f t="shared" si="28"/>
        <v>-0.197366689952892-0.0423585693652573i</v>
      </c>
      <c r="E149" s="128">
        <f t="shared" si="29"/>
        <v>-13.898952084822692</v>
      </c>
      <c r="F149" s="132">
        <f t="shared" si="30"/>
        <v>-167.88700671550404</v>
      </c>
      <c r="G149" s="137">
        <v>1.5</v>
      </c>
      <c r="H149" s="138">
        <f t="shared" si="25"/>
        <v>31.622776601683803</v>
      </c>
      <c r="I149" s="138">
        <f t="shared" si="26"/>
        <v>198.69176531592208</v>
      </c>
      <c r="J149" s="138">
        <f t="shared" si="31"/>
        <v>0.01296111665004985</v>
      </c>
      <c r="K149" s="138" t="str">
        <f t="shared" si="32"/>
        <v>1.09766884049196-29.9174632732118i</v>
      </c>
      <c r="L149" s="128">
        <f t="shared" si="33"/>
        <v>29.524337650679904</v>
      </c>
      <c r="M149" s="128" t="str">
        <f t="shared" si="34"/>
        <v>0.0142270138847413-0.38776373135768i</v>
      </c>
      <c r="N149" s="128">
        <f t="shared" si="35"/>
        <v>-8.22281396359173</v>
      </c>
      <c r="O149" s="136">
        <f t="shared" si="36"/>
        <v>-87.89876589849702</v>
      </c>
      <c r="P149" s="134" t="str">
        <f>IMPRODUCT(gmv,IMDIV((COMPLEX(1,I149*(Rvcomp*kOhms)*(Cvcomp*uF))),IMPRODUCT((COMPLEX(0,data!I149*((Cvcomp*uF)+(Cvcomp_p*uF)))),(COMPLEX(1,I149*((Rvcomp*kOhms)*(Cvcomp*uF)*(Cvcomp_p*uF))/((Cvcomp*uF)+(Cvcomp_p*uF)))))))</f>
        <v>0.28361151525485-0.3325890298398i</v>
      </c>
      <c r="Q149" s="128">
        <f t="shared" si="37"/>
        <v>-7.188507885432495</v>
      </c>
      <c r="R149" s="128" t="str">
        <f t="shared" si="38"/>
        <v>-0.124931018253908-0.11470600815667i</v>
      </c>
      <c r="S149" s="128">
        <f t="shared" si="39"/>
        <v>-15.41132184902423</v>
      </c>
      <c r="T149" s="132">
        <f t="shared" si="40"/>
        <v>42.55674328077802</v>
      </c>
    </row>
    <row r="150" spans="1:20" ht="13.5">
      <c r="A150" s="134">
        <v>4.6</v>
      </c>
      <c r="B150" s="128">
        <f t="shared" si="23"/>
        <v>39810.71705534974</v>
      </c>
      <c r="C150" s="128">
        <f t="shared" si="27"/>
        <v>250138.11247045727</v>
      </c>
      <c r="D150" s="128" t="str">
        <f t="shared" si="28"/>
        <v>-0.12658700605819-0.0215802541190247i</v>
      </c>
      <c r="E150" s="128">
        <f t="shared" si="29"/>
        <v>-17.827799377086045</v>
      </c>
      <c r="F150" s="132">
        <f t="shared" si="30"/>
        <v>-170.3253586813905</v>
      </c>
      <c r="G150" s="137">
        <v>1.6</v>
      </c>
      <c r="H150" s="138">
        <f t="shared" si="25"/>
        <v>39.810717055349755</v>
      </c>
      <c r="I150" s="138">
        <f t="shared" si="26"/>
        <v>250.13811247045734</v>
      </c>
      <c r="J150" s="138">
        <f t="shared" si="31"/>
        <v>0.01296111665004985</v>
      </c>
      <c r="K150" s="138" t="str">
        <f t="shared" si="32"/>
        <v>0.692925990159295-23.776081544557i</v>
      </c>
      <c r="L150" s="128">
        <f t="shared" si="33"/>
        <v>27.52649280085519</v>
      </c>
      <c r="M150" s="128" t="str">
        <f t="shared" si="34"/>
        <v>0.00898109458830592-0.308164566380101i</v>
      </c>
      <c r="N150" s="128">
        <f t="shared" si="35"/>
        <v>-10.22065881341643</v>
      </c>
      <c r="O150" s="136">
        <f t="shared" si="36"/>
        <v>-88.33065427489342</v>
      </c>
      <c r="P150" s="134" t="str">
        <f>IMPRODUCT(gmv,IMDIV((COMPLEX(1,I150*(Rvcomp*kOhms)*(Cvcomp*uF))),IMPRODUCT((COMPLEX(0,data!I150*((Cvcomp*uF)+(Cvcomp_p*uF)))),(COMPLEX(1,I150*((Rvcomp*kOhms)*(Cvcomp*uF)*(Cvcomp_p*uF))/((Cvcomp*uF)+(Cvcomp_p*uF)))))))</f>
        <v>0.216498825707745-0.314386645328642i</v>
      </c>
      <c r="Q150" s="128">
        <f t="shared" si="37"/>
        <v>-8.3650854263645</v>
      </c>
      <c r="R150" s="128" t="str">
        <f t="shared" si="38"/>
        <v>-0.0949384278014572-0.069540802945025i</v>
      </c>
      <c r="S150" s="128">
        <f t="shared" si="39"/>
        <v>-18.58574423978093</v>
      </c>
      <c r="T150" s="132">
        <f t="shared" si="40"/>
        <v>36.22214975423222</v>
      </c>
    </row>
    <row r="151" spans="1:20" ht="13.5">
      <c r="A151" s="134">
        <v>4.7</v>
      </c>
      <c r="B151" s="128">
        <f t="shared" si="23"/>
        <v>50118.723362727294</v>
      </c>
      <c r="C151" s="128">
        <f t="shared" si="27"/>
        <v>314905.2262472864</v>
      </c>
      <c r="D151" s="128" t="str">
        <f t="shared" si="28"/>
        <v>-0.0807122198628948-0.0109296616607364i</v>
      </c>
      <c r="E151" s="128">
        <f t="shared" si="29"/>
        <v>-21.782297740235297</v>
      </c>
      <c r="F151" s="132">
        <f t="shared" si="30"/>
        <v>-172.2881899228124</v>
      </c>
      <c r="G151" s="137">
        <v>1.7</v>
      </c>
      <c r="H151" s="138">
        <f t="shared" si="25"/>
        <v>50.11872336272724</v>
      </c>
      <c r="I151" s="138">
        <f t="shared" si="26"/>
        <v>314.90522624728607</v>
      </c>
      <c r="J151" s="138">
        <f t="shared" si="31"/>
        <v>0.01296111665004985</v>
      </c>
      <c r="K151" s="138" t="str">
        <f t="shared" si="32"/>
        <v>0.437343712173883-18.8919295513875i</v>
      </c>
      <c r="L151" s="128">
        <f t="shared" si="33"/>
        <v>25.527853159172285</v>
      </c>
      <c r="M151" s="128" t="str">
        <f t="shared" si="34"/>
        <v>0.00566846286965152-0.244860502660057i</v>
      </c>
      <c r="N151" s="128">
        <f t="shared" si="35"/>
        <v>-12.219298455099352</v>
      </c>
      <c r="O151" s="136">
        <f t="shared" si="36"/>
        <v>-88.67385308667673</v>
      </c>
      <c r="P151" s="134" t="str">
        <f>IMPRODUCT(gmv,IMDIV((COMPLEX(1,I151*(Rvcomp*kOhms)*(Cvcomp*uF))),IMPRODUCT((COMPLEX(0,data!I151*((Cvcomp*uF)+(Cvcomp_p*uF)))),(COMPLEX(1,I151*((Rvcomp*kOhms)*(Cvcomp*uF)*(Cvcomp_p*uF))/((Cvcomp*uF)+(Cvcomp_p*uF)))))))</f>
        <v>0.157448795318218-0.284812254556874i</v>
      </c>
      <c r="Q151" s="128">
        <f t="shared" si="37"/>
        <v>-9.750706448210572</v>
      </c>
      <c r="R151" s="128" t="str">
        <f t="shared" si="38"/>
        <v>-0.0688467791644076-0.0401674388546167i</v>
      </c>
      <c r="S151" s="128">
        <f t="shared" si="39"/>
        <v>-21.970004903309924</v>
      </c>
      <c r="T151" s="132">
        <f t="shared" si="40"/>
        <v>30.26067029530526</v>
      </c>
    </row>
    <row r="152" spans="1:20" ht="13.5">
      <c r="A152" s="134">
        <v>4.8</v>
      </c>
      <c r="B152" s="128">
        <f t="shared" si="23"/>
        <v>63095.73444801934</v>
      </c>
      <c r="C152" s="128">
        <f t="shared" si="27"/>
        <v>396442.1916295</v>
      </c>
      <c r="D152" s="128" t="str">
        <f t="shared" si="28"/>
        <v>-0.0512666542769361-0.00551445252107934i</v>
      </c>
      <c r="E152" s="128">
        <f t="shared" si="29"/>
        <v>-25.753340902958467</v>
      </c>
      <c r="F152" s="132">
        <f t="shared" si="30"/>
        <v>-173.86063488444853</v>
      </c>
      <c r="G152" s="137">
        <v>1.8</v>
      </c>
      <c r="H152" s="138">
        <f t="shared" si="25"/>
        <v>63.095734448019364</v>
      </c>
      <c r="I152" s="138">
        <f t="shared" si="26"/>
        <v>396.44219162950014</v>
      </c>
      <c r="J152" s="138">
        <f t="shared" si="31"/>
        <v>0.01296111665004985</v>
      </c>
      <c r="K152" s="138" t="str">
        <f t="shared" si="32"/>
        <v>0.275999783666048-15.0093599257317i</v>
      </c>
      <c r="L152" s="128">
        <f t="shared" si="33"/>
        <v>23.528711706543053</v>
      </c>
      <c r="M152" s="128" t="str">
        <f t="shared" si="34"/>
        <v>0.00357726539148417-0.194538064839992i</v>
      </c>
      <c r="N152" s="128">
        <f t="shared" si="35"/>
        <v>-14.218439907728577</v>
      </c>
      <c r="O152" s="136">
        <f t="shared" si="36"/>
        <v>-88.94653464250202</v>
      </c>
      <c r="P152" s="134" t="str">
        <f>IMPRODUCT(gmv,IMDIV((COMPLEX(1,I152*(Rvcomp*kOhms)*(Cvcomp*uF))),IMPRODUCT((COMPLEX(0,data!I152*((Cvcomp*uF)+(Cvcomp_p*uF)))),(COMPLEX(1,I152*((Rvcomp*kOhms)*(Cvcomp*uF)*(Cvcomp_p*uF))/((Cvcomp*uF)+(Cvcomp_p*uF)))))))</f>
        <v>0.109928824571555-0.248662423765522i</v>
      </c>
      <c r="Q152" s="128">
        <f t="shared" si="37"/>
        <v>-11.31253626232545</v>
      </c>
      <c r="R152" s="128" t="str">
        <f t="shared" si="38"/>
        <v>-0.0479810621381003-0.0222748722849842i</v>
      </c>
      <c r="S152" s="128">
        <f t="shared" si="39"/>
        <v>-25.530976170054032</v>
      </c>
      <c r="T152" s="132">
        <f t="shared" si="40"/>
        <v>24.90275548064878</v>
      </c>
    </row>
    <row r="153" spans="1:20" ht="13.5">
      <c r="A153" s="134">
        <v>4.9</v>
      </c>
      <c r="B153" s="128">
        <f t="shared" si="23"/>
        <v>79432.82347242824</v>
      </c>
      <c r="C153" s="128">
        <f t="shared" si="27"/>
        <v>499091.14934975083</v>
      </c>
      <c r="D153" s="128" t="str">
        <f t="shared" si="28"/>
        <v>-0.0324841878340579-0.00277548854407967i</v>
      </c>
      <c r="E153" s="128">
        <f t="shared" si="29"/>
        <v>-29.734970530284116</v>
      </c>
      <c r="F153" s="132">
        <f t="shared" si="30"/>
        <v>-175.11643947803748</v>
      </c>
      <c r="G153" s="137">
        <v>1.9</v>
      </c>
      <c r="H153" s="138">
        <f t="shared" si="25"/>
        <v>79.4328234724282</v>
      </c>
      <c r="I153" s="138">
        <f t="shared" si="26"/>
        <v>499.0911493497506</v>
      </c>
      <c r="J153" s="138">
        <f t="shared" si="31"/>
        <v>0.01296111665004985</v>
      </c>
      <c r="K153" s="138" t="str">
        <f t="shared" si="32"/>
        <v>0.174165816880456-11.9238458133758i</v>
      </c>
      <c r="L153" s="128">
        <f t="shared" si="33"/>
        <v>21.529253500653862</v>
      </c>
      <c r="M153" s="128" t="str">
        <f t="shared" si="34"/>
        <v>0.00225738346903881-0.154546356504372i</v>
      </c>
      <c r="N153" s="128">
        <f t="shared" si="35"/>
        <v>-16.217898113617778</v>
      </c>
      <c r="O153" s="136">
        <f t="shared" si="36"/>
        <v>-89.16316792265825</v>
      </c>
      <c r="P153" s="134" t="str">
        <f>IMPRODUCT(gmv,IMDIV((COMPLEX(1,I153*(Rvcomp*kOhms)*(Cvcomp*uF))),IMPRODUCT((COMPLEX(0,data!I153*((Cvcomp*uF)+(Cvcomp_p*uF)))),(COMPLEX(1,I153*((Rvcomp*kOhms)*(Cvcomp*uF)*(Cvcomp_p*uF))/((Cvcomp*uF)+(Cvcomp_p*uF)))))))</f>
        <v>0.074359629361047-0.210854447902349i</v>
      </c>
      <c r="Q153" s="128">
        <f t="shared" si="37"/>
        <v>-13.011259620778153</v>
      </c>
      <c r="R153" s="128" t="str">
        <f t="shared" si="38"/>
        <v>-0.0324189284779655-0.0119679891338334i</v>
      </c>
      <c r="S153" s="128">
        <f t="shared" si="39"/>
        <v>-29.22915773439593</v>
      </c>
      <c r="T153" s="132">
        <f t="shared" si="40"/>
        <v>20.26246737420206</v>
      </c>
    </row>
    <row r="154" spans="1:20" ht="13.5">
      <c r="A154" s="134">
        <v>5</v>
      </c>
      <c r="B154" s="128">
        <f t="shared" si="23"/>
        <v>100000</v>
      </c>
      <c r="C154" s="128">
        <f t="shared" si="27"/>
        <v>628318.5307179586</v>
      </c>
      <c r="D154" s="128" t="str">
        <f t="shared" si="28"/>
        <v>-0.0205511020682566-0.0013947698222596i</v>
      </c>
      <c r="E154" s="128">
        <f t="shared" si="29"/>
        <v>-33.723339498808905</v>
      </c>
      <c r="F154" s="132">
        <f t="shared" si="30"/>
        <v>-176.1173827289294</v>
      </c>
      <c r="G154" s="137">
        <v>2</v>
      </c>
      <c r="H154" s="138">
        <f t="shared" si="25"/>
        <v>100</v>
      </c>
      <c r="I154" s="138">
        <f t="shared" si="26"/>
        <v>628.3185307179587</v>
      </c>
      <c r="J154" s="138">
        <f t="shared" si="31"/>
        <v>0.01296111665004985</v>
      </c>
      <c r="K154" s="138" t="str">
        <f t="shared" si="32"/>
        <v>0.109899852474609-9.47219303331781i</v>
      </c>
      <c r="L154" s="128">
        <f t="shared" si="33"/>
        <v>19.529595384407944</v>
      </c>
      <c r="M154" s="128" t="str">
        <f t="shared" si="34"/>
        <v>0.00142442480774668-0.122770198836622i</v>
      </c>
      <c r="N154" s="128">
        <f t="shared" si="35"/>
        <v>-18.217556229863657</v>
      </c>
      <c r="O154" s="136">
        <f t="shared" si="36"/>
        <v>-89.33526321001119</v>
      </c>
      <c r="P154" s="134" t="str">
        <f>IMPRODUCT(gmv,IMDIV((COMPLEX(1,I154*(Rvcomp*kOhms)*(Cvcomp*uF))),IMPRODUCT((COMPLEX(0,data!I154*((Cvcomp*uF)+(Cvcomp_p*uF)))),(COMPLEX(1,I154*((Rvcomp*kOhms)*(Cvcomp*uF)*(Cvcomp_p*uF))/((Cvcomp*uF)+(Cvcomp_p*uF)))))))</f>
        <v>0.0491530879030459-0.174993974025062i</v>
      </c>
      <c r="Q154" s="128">
        <f t="shared" si="37"/>
        <v>-14.809741971443891</v>
      </c>
      <c r="R154" s="128" t="str">
        <f t="shared" si="38"/>
        <v>-0.0214140301084811-0.00628380013309838i</v>
      </c>
      <c r="S154" s="128">
        <f t="shared" si="39"/>
        <v>-33.02729820130754</v>
      </c>
      <c r="T154" s="132">
        <f t="shared" si="40"/>
        <v>16.35396412712936</v>
      </c>
    </row>
    <row r="155" spans="1:20" ht="13.5">
      <c r="A155" s="134">
        <v>5.1</v>
      </c>
      <c r="B155" s="128">
        <f t="shared" si="23"/>
        <v>125892.54117941685</v>
      </c>
      <c r="C155" s="128">
        <f t="shared" si="27"/>
        <v>791006.1650220129</v>
      </c>
      <c r="D155" s="128" t="str">
        <f t="shared" si="28"/>
        <v>-0.0129888466870637-0.000700225652151318i</v>
      </c>
      <c r="E155" s="128">
        <f t="shared" si="29"/>
        <v>-37.715984754181434</v>
      </c>
      <c r="F155" s="132">
        <f t="shared" si="30"/>
        <v>-176.9141851636146</v>
      </c>
      <c r="G155" s="137">
        <v>2.1</v>
      </c>
      <c r="H155" s="138">
        <f t="shared" si="25"/>
        <v>125.89254117941677</v>
      </c>
      <c r="I155" s="138">
        <f t="shared" si="26"/>
        <v>791.0061650220124</v>
      </c>
      <c r="J155" s="138">
        <f t="shared" si="31"/>
        <v>0.01296111665004985</v>
      </c>
      <c r="K155" s="138" t="str">
        <f t="shared" si="32"/>
        <v>0.0693455636058102-7.52440412298059i</v>
      </c>
      <c r="L155" s="128">
        <f t="shared" si="33"/>
        <v>17.529811112322335</v>
      </c>
      <c r="M155" s="128" t="str">
        <f t="shared" si="34"/>
        <v>0.000898795939058358-0.0975246795600675i</v>
      </c>
      <c r="N155" s="128">
        <f t="shared" si="35"/>
        <v>-20.217340501949295</v>
      </c>
      <c r="O155" s="136">
        <f t="shared" si="36"/>
        <v>-89.47197205605255</v>
      </c>
      <c r="P155" s="134" t="str">
        <f>IMPRODUCT(gmv,IMDIV((COMPLEX(1,I155*(Rvcomp*kOhms)*(Cvcomp*uF))),IMPRODUCT((COMPLEX(0,data!I155*((Cvcomp*uF)+(Cvcomp_p*uF)))),(COMPLEX(1,I155*((Rvcomp*kOhms)*(Cvcomp*uF)*(Cvcomp_p*uF))/((Cvcomp*uF)+(Cvcomp_p*uF)))))))</f>
        <v>0.031974696968749-0.143066124185785i</v>
      </c>
      <c r="Q155" s="128">
        <f t="shared" si="37"/>
        <v>-16.67757579690501</v>
      </c>
      <c r="R155" s="128" t="str">
        <f t="shared" si="38"/>
        <v>-0.0139237391893314-0.00324690932734251i</v>
      </c>
      <c r="S155" s="128">
        <f t="shared" si="39"/>
        <v>-36.894916298854284</v>
      </c>
      <c r="T155" s="132">
        <f t="shared" si="40"/>
        <v>13.126360871443012</v>
      </c>
    </row>
    <row r="156" spans="1:20" ht="13.5">
      <c r="A156" s="134">
        <v>5.2</v>
      </c>
      <c r="B156" s="128">
        <f t="shared" si="23"/>
        <v>158489.31924611164</v>
      </c>
      <c r="C156" s="128">
        <f t="shared" si="27"/>
        <v>995817.7620320634</v>
      </c>
      <c r="D156" s="128" t="str">
        <f t="shared" si="28"/>
        <v>-0.00820418198586283-0.000351319868409712i</v>
      </c>
      <c r="E156" s="128">
        <f t="shared" si="29"/>
        <v>-41.71133780724338</v>
      </c>
      <c r="F156" s="132">
        <f t="shared" si="30"/>
        <v>-177.54797547371265</v>
      </c>
      <c r="G156" s="137">
        <v>2.2</v>
      </c>
      <c r="H156" s="138">
        <f t="shared" si="25"/>
        <v>158.48931924611153</v>
      </c>
      <c r="I156" s="138">
        <f t="shared" si="26"/>
        <v>995.8177620320628</v>
      </c>
      <c r="J156" s="138">
        <f t="shared" si="31"/>
        <v>0.01296111665004985</v>
      </c>
      <c r="K156" s="138" t="str">
        <f t="shared" si="32"/>
        <v>0.043755464067264-5.97703397919535i</v>
      </c>
      <c r="L156" s="128">
        <f t="shared" si="33"/>
        <v>15.529947232948146</v>
      </c>
      <c r="M156" s="128" t="str">
        <f t="shared" si="34"/>
        <v>0.000567119673852873-0.0774690346256626i</v>
      </c>
      <c r="N156" s="128">
        <f t="shared" si="35"/>
        <v>-22.217204381323477</v>
      </c>
      <c r="O156" s="136">
        <f t="shared" si="36"/>
        <v>-89.58056811330647</v>
      </c>
      <c r="P156" s="134" t="str">
        <f>IMPRODUCT(gmv,IMDIV((COMPLEX(1,I156*(Rvcomp*kOhms)*(Cvcomp*uF))),IMPRODUCT((COMPLEX(0,data!I156*((Cvcomp*uF)+(Cvcomp_p*uF)))),(COMPLEX(1,I156*((Rvcomp*kOhms)*(Cvcomp*uF)*(Cvcomp_p*uF))/((Cvcomp*uF)+(Cvcomp_p*uF)))))))</f>
        <v>0.0205770569678182-0.115783018095914i</v>
      </c>
      <c r="Q156" s="128">
        <f t="shared" si="37"/>
        <v>-18.592053746659634</v>
      </c>
      <c r="R156" s="128" t="str">
        <f t="shared" si="38"/>
        <v>-0.00895792898409964-0.0016597475661944i</v>
      </c>
      <c r="S156" s="128">
        <f t="shared" si="39"/>
        <v>-40.809258127983114</v>
      </c>
      <c r="T156" s="132">
        <f t="shared" si="40"/>
        <v>10.496868326520797</v>
      </c>
    </row>
    <row r="157" spans="1:20" ht="13.5">
      <c r="A157" s="134">
        <v>5.3</v>
      </c>
      <c r="B157" s="128">
        <f t="shared" si="23"/>
        <v>199526.23149688813</v>
      </c>
      <c r="C157" s="128">
        <f t="shared" si="27"/>
        <v>1253660.2861381602</v>
      </c>
      <c r="D157" s="128" t="str">
        <f t="shared" si="28"/>
        <v>-0.005179987884038-0.000176196050772581i</v>
      </c>
      <c r="E157" s="128">
        <f t="shared" si="29"/>
        <v>-45.708403221505456</v>
      </c>
      <c r="F157" s="132">
        <f t="shared" si="30"/>
        <v>-178.05184885131175</v>
      </c>
      <c r="G157" s="137">
        <v>2.3</v>
      </c>
      <c r="H157" s="138">
        <f t="shared" si="25"/>
        <v>199.52623149688802</v>
      </c>
      <c r="I157" s="138">
        <f t="shared" si="26"/>
        <v>1253.6602861381596</v>
      </c>
      <c r="J157" s="138">
        <f t="shared" si="31"/>
        <v>0.01296111665004985</v>
      </c>
      <c r="K157" s="138" t="str">
        <f t="shared" si="32"/>
        <v>0.0276083774076814-4.74782074420927i</v>
      </c>
      <c r="L157" s="128">
        <f t="shared" si="33"/>
        <v>13.530033121452012</v>
      </c>
      <c r="M157" s="128" t="str">
        <f t="shared" si="34"/>
        <v>0.00035783540009956-0.0615370584992228i</v>
      </c>
      <c r="N157" s="128">
        <f t="shared" si="35"/>
        <v>-24.217118492819623</v>
      </c>
      <c r="O157" s="136">
        <f t="shared" si="36"/>
        <v>-89.66683121353938</v>
      </c>
      <c r="P157" s="134" t="str">
        <f>IMPRODUCT(gmv,IMDIV((COMPLEX(1,I157*(Rvcomp*kOhms)*(Cvcomp*uF))),IMPRODUCT((COMPLEX(0,data!I157*((Cvcomp*uF)+(Cvcomp_p*uF)))),(COMPLEX(1,I157*((Rvcomp*kOhms)*(Cvcomp*uF)*(Cvcomp_p*uF))/((Cvcomp*uF)+(Cvcomp_p*uF)))))))</f>
        <v>0.0131487158547248-0.093078400810113i</v>
      </c>
      <c r="Q157" s="128">
        <f t="shared" si="37"/>
        <v>-20.537208276722254</v>
      </c>
      <c r="R157" s="128" t="str">
        <f t="shared" si="38"/>
        <v>-0.00572306591966736-0.000842440043536372i</v>
      </c>
      <c r="S157" s="128">
        <f t="shared" si="39"/>
        <v>-44.754326769541876</v>
      </c>
      <c r="T157" s="132">
        <f t="shared" si="40"/>
        <v>8.37384999999955</v>
      </c>
    </row>
    <row r="158" spans="1:20" ht="13.5">
      <c r="A158" s="134">
        <v>5.4</v>
      </c>
      <c r="B158" s="128">
        <f t="shared" si="23"/>
        <v>251188.64315095844</v>
      </c>
      <c r="C158" s="128">
        <f t="shared" si="27"/>
        <v>1578264.7919764782</v>
      </c>
      <c r="D158" s="128" t="str">
        <f t="shared" si="28"/>
        <v>-0.00326974591489525-0.0000883448895073201i</v>
      </c>
      <c r="E158" s="128">
        <f t="shared" si="29"/>
        <v>-49.70655060227514</v>
      </c>
      <c r="F158" s="132">
        <f t="shared" si="30"/>
        <v>-178.45230845295242</v>
      </c>
      <c r="G158" s="137">
        <v>2.4</v>
      </c>
      <c r="H158" s="138">
        <f t="shared" si="25"/>
        <v>251.18864315095806</v>
      </c>
      <c r="I158" s="138">
        <f t="shared" si="26"/>
        <v>1578.2647919764759</v>
      </c>
      <c r="J158" s="138">
        <f t="shared" si="31"/>
        <v>0.01296111665004985</v>
      </c>
      <c r="K158" s="138" t="str">
        <f t="shared" si="32"/>
        <v>0.0174199258654176-3.77137513084184i</v>
      </c>
      <c r="L158" s="128">
        <f t="shared" si="33"/>
        <v>11.53008731430835</v>
      </c>
      <c r="M158" s="128" t="str">
        <f t="shared" si="34"/>
        <v>0.000225781691176898-0.0488812330019381i</v>
      </c>
      <c r="N158" s="128">
        <f t="shared" si="35"/>
        <v>-26.21706429996328</v>
      </c>
      <c r="O158" s="136">
        <f t="shared" si="36"/>
        <v>-89.73535352519853</v>
      </c>
      <c r="P158" s="134" t="str">
        <f>IMPRODUCT(gmv,IMDIV((COMPLEX(1,I158*(Rvcomp*kOhms)*(Cvcomp*uF))),IMPRODUCT((COMPLEX(0,data!I158*((Cvcomp*uF)+(Cvcomp_p*uF)))),(COMPLEX(1,I158*((Rvcomp*kOhms)*(Cvcomp*uF)*(Cvcomp_p*uF))/((Cvcomp*uF)+(Cvcomp_p*uF)))))))</f>
        <v>0.00836353429331593-0.0745021020442429i</v>
      </c>
      <c r="Q158" s="128">
        <f t="shared" si="37"/>
        <v>-22.50224127191528</v>
      </c>
      <c r="R158" s="128" t="str">
        <f t="shared" si="38"/>
        <v>-0.00363986627624185-0.000425641079107059i</v>
      </c>
      <c r="S158" s="128">
        <f t="shared" si="39"/>
        <v>-48.71930557187855</v>
      </c>
      <c r="T158" s="132">
        <f t="shared" si="40"/>
        <v>6.66979927592746</v>
      </c>
    </row>
    <row r="159" spans="1:20" ht="13.5">
      <c r="A159" s="134">
        <v>5.5</v>
      </c>
      <c r="B159" s="128">
        <f t="shared" si="23"/>
        <v>316227.7660168382</v>
      </c>
      <c r="C159" s="128">
        <f t="shared" si="27"/>
        <v>1986917.6531592219</v>
      </c>
      <c r="D159" s="128" t="str">
        <f t="shared" si="28"/>
        <v>-0.0020636257525009-0.0000442892539780164i</v>
      </c>
      <c r="E159" s="128">
        <f t="shared" si="29"/>
        <v>-53.705381271803205</v>
      </c>
      <c r="F159" s="132">
        <f t="shared" si="30"/>
        <v>-178.7705145561142</v>
      </c>
      <c r="G159" s="137">
        <v>2.5</v>
      </c>
      <c r="H159" s="138">
        <f t="shared" si="25"/>
        <v>316.22776601683825</v>
      </c>
      <c r="I159" s="138">
        <f t="shared" si="26"/>
        <v>1986.917653159222</v>
      </c>
      <c r="J159" s="138">
        <f t="shared" si="31"/>
        <v>0.01296111665004985</v>
      </c>
      <c r="K159" s="138" t="str">
        <f t="shared" si="32"/>
        <v>0.0109913167037448-2.99573333666963i</v>
      </c>
      <c r="L159" s="128">
        <f t="shared" si="33"/>
        <v>9.530121508037</v>
      </c>
      <c r="M159" s="128" t="str">
        <f t="shared" si="34"/>
        <v>0.000142459737934878-0.0388280492290181i</v>
      </c>
      <c r="N159" s="128">
        <f t="shared" si="35"/>
        <v>-28.21703010623464</v>
      </c>
      <c r="O159" s="136">
        <f t="shared" si="36"/>
        <v>-89.78978328113783</v>
      </c>
      <c r="P159" s="134" t="str">
        <f>IMPRODUCT(gmv,IMDIV((COMPLEX(1,I159*(Rvcomp*kOhms)*(Cvcomp*uF))),IMPRODUCT((COMPLEX(0,data!I159*((Cvcomp*uF)+(Cvcomp_p*uF)))),(COMPLEX(1,I159*((Rvcomp*kOhms)*(Cvcomp*uF)*(Cvcomp_p*uF))/((Cvcomp*uF)+(Cvcomp_p*uF)))))))</f>
        <v>0.00530416409583638-0.0594672254014345i</v>
      </c>
      <c r="Q159" s="128">
        <f t="shared" si="37"/>
        <v>-24.480032019943284</v>
      </c>
      <c r="R159" s="128" t="str">
        <f t="shared" si="38"/>
        <v>-0.00230824072557296-0.000214422029978328i</v>
      </c>
      <c r="S159" s="128">
        <f t="shared" si="39"/>
        <v>-52.69706212617791</v>
      </c>
      <c r="T159" s="132">
        <f t="shared" si="40"/>
        <v>5.307211082111252</v>
      </c>
    </row>
    <row r="160" spans="1:20" ht="13.5">
      <c r="A160" s="134">
        <v>5.6</v>
      </c>
      <c r="B160" s="128">
        <f t="shared" si="23"/>
        <v>398107.17055349716</v>
      </c>
      <c r="C160" s="128">
        <f t="shared" si="27"/>
        <v>2501381.124704571</v>
      </c>
      <c r="D160" s="128" t="str">
        <f t="shared" si="28"/>
        <v>-0.00130228109154977-0.00002220098078402i</v>
      </c>
      <c r="E160" s="128">
        <f t="shared" si="29"/>
        <v>-57.704643312125555</v>
      </c>
      <c r="F160" s="132">
        <f t="shared" si="30"/>
        <v>-179.0233296774419</v>
      </c>
      <c r="G160" s="137">
        <v>2.6</v>
      </c>
      <c r="H160" s="138">
        <f t="shared" si="25"/>
        <v>398.1071705534976</v>
      </c>
      <c r="I160" s="138">
        <f t="shared" si="26"/>
        <v>2501.3811247045737</v>
      </c>
      <c r="J160" s="138">
        <f t="shared" si="31"/>
        <v>0.01296111665004985</v>
      </c>
      <c r="K160" s="138" t="str">
        <f t="shared" si="32"/>
        <v>0.00693508645183877-2.37960739442845i</v>
      </c>
      <c r="L160" s="128">
        <f t="shared" si="33"/>
        <v>7.530143082959755</v>
      </c>
      <c r="M160" s="128" t="str">
        <f t="shared" si="34"/>
        <v>0.0000898864644804626-0.0308423690205083i</v>
      </c>
      <c r="N160" s="128">
        <f t="shared" si="35"/>
        <v>-30.21700853131188</v>
      </c>
      <c r="O160" s="136">
        <f t="shared" si="36"/>
        <v>-89.833018648286</v>
      </c>
      <c r="P160" s="134" t="str">
        <f>IMPRODUCT(gmv,IMDIV((COMPLEX(1,I160*(Rvcomp*kOhms)*(Cvcomp*uF))),IMPRODUCT((COMPLEX(0,data!I160*((Cvcomp*uF)+(Cvcomp_p*uF)))),(COMPLEX(1,I160*((Rvcomp*kOhms)*(Cvcomp*uF)*(Cvcomp_p*uF))/((Cvcomp*uF)+(Cvcomp_p*uF)))))))</f>
        <v>0.0033575930846562-0.0473821040294843i</v>
      </c>
      <c r="Q160" s="128">
        <f t="shared" si="37"/>
        <v>-26.465959937604282</v>
      </c>
      <c r="R160" s="128" t="str">
        <f t="shared" si="38"/>
        <v>-0.00146107453527392-0.000107815134748529i</v>
      </c>
      <c r="S160" s="128">
        <f t="shared" si="39"/>
        <v>-56.68296846891619</v>
      </c>
      <c r="T160" s="132">
        <f t="shared" si="40"/>
        <v>4.220302387926239</v>
      </c>
    </row>
    <row r="161" spans="1:20" ht="13.5">
      <c r="A161" s="134">
        <v>5.7</v>
      </c>
      <c r="B161" s="128">
        <f t="shared" si="23"/>
        <v>501187.23362727347</v>
      </c>
      <c r="C161" s="128">
        <f t="shared" si="27"/>
        <v>3149052.2624728675</v>
      </c>
      <c r="D161" s="128" t="str">
        <f t="shared" si="28"/>
        <v>-0.000821771931588038-0.0000111280413174166i</v>
      </c>
      <c r="E161" s="128">
        <f t="shared" si="29"/>
        <v>-61.704177626518835</v>
      </c>
      <c r="F161" s="132">
        <f t="shared" si="30"/>
        <v>-179.2241754563372</v>
      </c>
      <c r="G161" s="137">
        <v>2.7</v>
      </c>
      <c r="H161" s="138">
        <f t="shared" si="25"/>
        <v>501.1872336272727</v>
      </c>
      <c r="I161" s="138">
        <f t="shared" si="26"/>
        <v>3149.0522624728624</v>
      </c>
      <c r="J161" s="138">
        <f t="shared" si="31"/>
        <v>0.01296111665004985</v>
      </c>
      <c r="K161" s="138" t="str">
        <f t="shared" si="32"/>
        <v>0.0043757574471332-1.89019526573947i</v>
      </c>
      <c r="L161" s="128">
        <f t="shared" si="33"/>
        <v>5.5301566958708985</v>
      </c>
      <c r="M161" s="128" t="str">
        <f t="shared" si="34"/>
        <v>0.0000567147027046178-0.0244990413306212i</v>
      </c>
      <c r="N161" s="128">
        <f t="shared" si="35"/>
        <v>-32.216994918400744</v>
      </c>
      <c r="O161" s="136">
        <f t="shared" si="36"/>
        <v>-89.86736185907684</v>
      </c>
      <c r="P161" s="134" t="str">
        <f>IMPRODUCT(gmv,IMDIV((COMPLEX(1,I161*(Rvcomp*kOhms)*(Cvcomp*uF))),IMPRODUCT((COMPLEX(0,data!I161*((Cvcomp*uF)+(Cvcomp_p*uF)))),(COMPLEX(1,I161*((Rvcomp*kOhms)*(Cvcomp*uF)*(Cvcomp_p*uF))/((Cvcomp*uF)+(Cvcomp_p*uF)))))))</f>
        <v>0.00212285718012543-0.0377103080006114i</v>
      </c>
      <c r="Q161" s="128">
        <f t="shared" si="37"/>
        <v>-28.4570574049282</v>
      </c>
      <c r="R161" s="128" t="str">
        <f t="shared" si="38"/>
        <v>-0.000923745997083579-0.0000541466947020531i</v>
      </c>
      <c r="S161" s="128">
        <f t="shared" si="39"/>
        <v>-60.674052323328944</v>
      </c>
      <c r="T161" s="132">
        <f t="shared" si="40"/>
        <v>3.3546356462046276</v>
      </c>
    </row>
    <row r="162" spans="1:20" ht="13.5">
      <c r="A162" s="134">
        <v>5.8</v>
      </c>
      <c r="B162" s="128">
        <f t="shared" si="23"/>
        <v>630957.3444801942</v>
      </c>
      <c r="C162" s="128">
        <f t="shared" si="27"/>
        <v>3964421.9162950045</v>
      </c>
      <c r="D162" s="128" t="str">
        <f t="shared" si="28"/>
        <v>-0.000518538119995774-5.57760962445497E-06i</v>
      </c>
      <c r="E162" s="128">
        <f t="shared" si="29"/>
        <v>-65.70388377306999</v>
      </c>
      <c r="F162" s="132">
        <f t="shared" si="30"/>
        <v>-179.38372676017673</v>
      </c>
      <c r="G162" s="137">
        <v>2.8</v>
      </c>
      <c r="H162" s="138">
        <f t="shared" si="25"/>
        <v>630.9573444801932</v>
      </c>
      <c r="I162" s="138">
        <f t="shared" si="26"/>
        <v>3964.421916294999</v>
      </c>
      <c r="J162" s="138">
        <f t="shared" si="31"/>
        <v>0.01296111665004985</v>
      </c>
      <c r="K162" s="138" t="str">
        <f t="shared" si="32"/>
        <v>0.00276092175929513-1.50143843816145i</v>
      </c>
      <c r="L162" s="128">
        <f t="shared" si="33"/>
        <v>3.530165285059121</v>
      </c>
      <c r="M162" s="128" t="str">
        <f t="shared" si="34"/>
        <v>0.000035784628983885-0.0194603187398792i</v>
      </c>
      <c r="N162" s="128">
        <f t="shared" si="35"/>
        <v>-34.21698632921251</v>
      </c>
      <c r="O162" s="136">
        <f t="shared" si="36"/>
        <v>-89.8946417102065</v>
      </c>
      <c r="P162" s="134" t="str">
        <f>IMPRODUCT(gmv,IMDIV((COMPLEX(1,I162*(Rvcomp*kOhms)*(Cvcomp*uF))),IMPRODUCT((COMPLEX(0,data!I162*((Cvcomp*uF)+(Cvcomp_p*uF)))),(COMPLEX(1,I162*((Rvcomp*kOhms)*(Cvcomp*uF)*(Cvcomp_p*uF))/((Cvcomp*uF)+(Cvcomp_p*uF)))))))</f>
        <v>0.00134117357492827-0.0299912555189505i</v>
      </c>
      <c r="Q162" s="128">
        <f t="shared" si="37"/>
        <v>-30.451430830178154</v>
      </c>
      <c r="R162" s="128" t="str">
        <f t="shared" si="38"/>
        <v>-0.000583591398409156-0.0000271728912051139i</v>
      </c>
      <c r="S162" s="128">
        <f t="shared" si="39"/>
        <v>-64.66841715939067</v>
      </c>
      <c r="T162" s="132">
        <f t="shared" si="40"/>
        <v>2.665852081802427</v>
      </c>
    </row>
    <row r="163" spans="1:20" ht="13.5">
      <c r="A163" s="134">
        <v>5.9</v>
      </c>
      <c r="B163" s="128">
        <f t="shared" si="23"/>
        <v>794328.2347242833</v>
      </c>
      <c r="C163" s="128">
        <f t="shared" si="27"/>
        <v>4990911.493497515</v>
      </c>
      <c r="D163" s="128" t="str">
        <f t="shared" si="28"/>
        <v>-0.000327189404046259-2.79554608941936E-06i</v>
      </c>
      <c r="E163" s="128">
        <f t="shared" si="29"/>
        <v>-69.70369835384743</v>
      </c>
      <c r="F163" s="132">
        <f t="shared" si="30"/>
        <v>-179.5104697985401</v>
      </c>
      <c r="G163" s="137">
        <v>2.9</v>
      </c>
      <c r="H163" s="138">
        <f t="shared" si="25"/>
        <v>794.3282347242821</v>
      </c>
      <c r="I163" s="138">
        <f t="shared" si="26"/>
        <v>4990.911493497507</v>
      </c>
      <c r="J163" s="138">
        <f t="shared" si="31"/>
        <v>0.01296111665004985</v>
      </c>
      <c r="K163" s="138" t="str">
        <f t="shared" si="32"/>
        <v>0.00174202603537892-1.19263643238339i</v>
      </c>
      <c r="L163" s="128">
        <f t="shared" si="33"/>
        <v>1.530170704479179</v>
      </c>
      <c r="M163" s="128" t="str">
        <f t="shared" si="34"/>
        <v>0.0000225786026519701-0.0154578999212204i</v>
      </c>
      <c r="N163" s="128">
        <f t="shared" si="35"/>
        <v>-36.216980909792454</v>
      </c>
      <c r="O163" s="136">
        <f t="shared" si="36"/>
        <v>-89.91631090084378</v>
      </c>
      <c r="P163" s="134" t="str">
        <f>IMPRODUCT(gmv,IMDIV((COMPLEX(1,I163*(Rvcomp*kOhms)*(Cvcomp*uF))),IMPRODUCT((COMPLEX(0,data!I163*((Cvcomp*uF)+(Cvcomp_p*uF)))),(COMPLEX(1,I163*((Rvcomp*kOhms)*(Cvcomp*uF)*(Cvcomp_p*uF))/((Cvcomp*uF)+(Cvcomp_p*uF)))))))</f>
        <v>0.000846917990732184-0.0238414306571797i</v>
      </c>
      <c r="Q163" s="128">
        <f t="shared" si="37"/>
        <v>-32.44787692637051</v>
      </c>
      <c r="R163" s="128" t="str">
        <f t="shared" si="38"/>
        <v>-0.000368519326852608-0.0000136298797316821i</v>
      </c>
      <c r="S163" s="128">
        <f t="shared" si="39"/>
        <v>-68.66485783616297</v>
      </c>
      <c r="T163" s="132">
        <f t="shared" si="40"/>
        <v>2.1181488495872145</v>
      </c>
    </row>
    <row r="164" spans="1:20" ht="14.25" thickBot="1">
      <c r="A164" s="141">
        <v>6</v>
      </c>
      <c r="B164" s="142">
        <f t="shared" si="23"/>
        <v>1000000</v>
      </c>
      <c r="C164" s="142">
        <f t="shared" si="27"/>
        <v>6283185.307179586</v>
      </c>
      <c r="D164" s="142" t="str">
        <f t="shared" si="28"/>
        <v>-0.000206448119002493-1.40112975591563E-06i</v>
      </c>
      <c r="E164" s="142">
        <f t="shared" si="29"/>
        <v>-73.70358135815373</v>
      </c>
      <c r="F164" s="143">
        <f t="shared" si="30"/>
        <v>-179.61114884743145</v>
      </c>
      <c r="G164" s="137">
        <v>3</v>
      </c>
      <c r="H164" s="138">
        <f t="shared" si="25"/>
        <v>1000</v>
      </c>
      <c r="I164" s="138">
        <f t="shared" si="26"/>
        <v>6283.185307179586</v>
      </c>
      <c r="J164" s="138">
        <f t="shared" si="31"/>
        <v>0.01296111665004985</v>
      </c>
      <c r="K164" s="138" t="str">
        <f t="shared" si="32"/>
        <v>0.00109914498671174-0.947345537897103i</v>
      </c>
      <c r="L164" s="128">
        <f t="shared" si="33"/>
        <v>-0.4698258760943804</v>
      </c>
      <c r="M164" s="128" t="str">
        <f t="shared" si="34"/>
        <v>0.0000142461463880884-0.0122786560245886i</v>
      </c>
      <c r="N164" s="128">
        <f t="shared" si="35"/>
        <v>-38.21697749036599</v>
      </c>
      <c r="O164" s="136">
        <f t="shared" si="36"/>
        <v>-89.93352336815474</v>
      </c>
      <c r="P164" s="134" t="str">
        <f>IMPRODUCT(gmv,IMDIV((COMPLEX(1,I164*(Rvcomp*kOhms)*(Cvcomp*uF))),IMPRODUCT((COMPLEX(0,data!I164*((Cvcomp*uF)+(Cvcomp_p*uF)))),(COMPLEX(1,I164*((Rvcomp*kOhms)*(Cvcomp*uF)*(Cvcomp_p*uF))/((Cvcomp*uF)+(Cvcomp_p*uF)))))))</f>
        <v>0.000534646051352235-0.0189472207682701i</v>
      </c>
      <c r="Q164" s="128">
        <f t="shared" si="37"/>
        <v>-34.44563305910377</v>
      </c>
      <c r="R164" s="128" t="str">
        <f t="shared" si="38"/>
        <v>-0.000232638789789617-6.83465984017083E-06i</v>
      </c>
      <c r="S164" s="128">
        <f t="shared" si="39"/>
        <v>-72.66261054946975</v>
      </c>
      <c r="T164" s="132">
        <f t="shared" si="40"/>
        <v>1.682800006059182</v>
      </c>
    </row>
    <row r="165" spans="7:20" ht="13.5">
      <c r="G165" s="128">
        <v>3.1</v>
      </c>
      <c r="H165" s="138">
        <f t="shared" si="25"/>
        <v>1258.925411794168</v>
      </c>
      <c r="I165" s="138">
        <f t="shared" si="26"/>
        <v>7910.0616502201265</v>
      </c>
      <c r="J165" s="138">
        <f t="shared" si="31"/>
        <v>0.01296111665004985</v>
      </c>
      <c r="K165" s="138" t="str">
        <f t="shared" si="32"/>
        <v>0.000693513946542199-0.752503682624832i</v>
      </c>
      <c r="L165" s="128">
        <f t="shared" si="33"/>
        <v>-2.469823718580761</v>
      </c>
      <c r="M165" s="128" t="str">
        <f t="shared" si="34"/>
        <v>8.98871515956988E-06-0.00975328801009254i</v>
      </c>
      <c r="N165" s="128">
        <f t="shared" si="35"/>
        <v>-40.216975332852385</v>
      </c>
      <c r="O165" s="136">
        <f t="shared" si="36"/>
        <v>-89.9471957256318</v>
      </c>
      <c r="P165" s="134" t="str">
        <f>IMPRODUCT(gmv,IMDIV((COMPLEX(1,I165*(Rvcomp*kOhms)*(Cvcomp*uF))),IMPRODUCT((COMPLEX(0,data!I165*((Cvcomp*uF)+(Cvcomp_p*uF)))),(COMPLEX(1,I165*((Rvcomp*kOhms)*(Cvcomp*uF)*(Cvcomp_p*uF))/((Cvcomp*uF)+(Cvcomp_p*uF)))))))</f>
        <v>0.000337449191808352-0.0150549770272021i</v>
      </c>
      <c r="Q165" s="128">
        <f t="shared" si="37"/>
        <v>-36.444216674532484</v>
      </c>
      <c r="R165" s="128" t="str">
        <f t="shared" si="38"/>
        <v>-0.000146832493696963-3.42656405671121E-06i</v>
      </c>
      <c r="S165" s="128">
        <f t="shared" si="39"/>
        <v>-76.66119200738486</v>
      </c>
      <c r="T165" s="132">
        <f t="shared" si="40"/>
        <v>1.3368432675636654</v>
      </c>
    </row>
    <row r="166" spans="7:20" ht="13.5">
      <c r="G166" s="128">
        <v>3.2</v>
      </c>
      <c r="H166" s="138">
        <f t="shared" si="25"/>
        <v>1584.8931924611156</v>
      </c>
      <c r="I166" s="138">
        <f t="shared" si="26"/>
        <v>9958.17762032063</v>
      </c>
      <c r="J166" s="138">
        <f t="shared" si="31"/>
        <v>0.01296111665004985</v>
      </c>
      <c r="K166" s="138" t="str">
        <f t="shared" si="32"/>
        <v>0.000437577855229355-0.59773510920343i</v>
      </c>
      <c r="L166" s="128">
        <f t="shared" si="33"/>
        <v>-4.469822357281194</v>
      </c>
      <c r="M166" s="128" t="str">
        <f t="shared" si="34"/>
        <v>0.0000056714976251063-0.00774731447621594i</v>
      </c>
      <c r="N166" s="128">
        <f t="shared" si="35"/>
        <v>-42.216973971552825</v>
      </c>
      <c r="O166" s="136">
        <f t="shared" si="36"/>
        <v>-89.95805606957275</v>
      </c>
      <c r="P166" s="134" t="str">
        <f>IMPRODUCT(gmv,IMDIV((COMPLEX(1,I166*(Rvcomp*kOhms)*(Cvcomp*uF))),IMPRODUCT((COMPLEX(0,data!I166*((Cvcomp*uF)+(Cvcomp_p*uF)))),(COMPLEX(1,I166*((Rvcomp*kOhms)*(Cvcomp*uF)*(Cvcomp_p*uF))/((Cvcomp*uF)+(Cvcomp_p*uF)))))))</f>
        <v>0.000212959996149776-0.0119609324119198i</v>
      </c>
      <c r="Q166" s="128">
        <f t="shared" si="37"/>
        <v>-38.443322757237254</v>
      </c>
      <c r="R166" s="128" t="str">
        <f t="shared" si="38"/>
        <v>-0.0000926638970217943-1.71770446079431E-06i</v>
      </c>
      <c r="S166" s="128">
        <f t="shared" si="39"/>
        <v>-80.66029672879009</v>
      </c>
      <c r="T166" s="132">
        <f t="shared" si="40"/>
        <v>1.0619664065715142</v>
      </c>
    </row>
    <row r="167" spans="1:20" ht="13.5">
      <c r="A167" s="268"/>
      <c r="B167" s="268"/>
      <c r="C167" s="268"/>
      <c r="D167" s="268"/>
      <c r="G167" s="128">
        <v>3.3</v>
      </c>
      <c r="H167" s="138">
        <f t="shared" si="25"/>
        <v>1995.2623149688804</v>
      </c>
      <c r="I167" s="138">
        <f t="shared" si="26"/>
        <v>12536.602861381598</v>
      </c>
      <c r="J167" s="138">
        <f t="shared" si="31"/>
        <v>0.01296111665004985</v>
      </c>
      <c r="K167" s="138" t="str">
        <f t="shared" si="32"/>
        <v>0.000276093016142906-0.474797968029038i</v>
      </c>
      <c r="L167" s="128">
        <f t="shared" si="33"/>
        <v>-6.469821498359016</v>
      </c>
      <c r="M167" s="128" t="str">
        <f t="shared" si="34"/>
        <v>0.0000035784737884923-0.006153911848831i</v>
      </c>
      <c r="N167" s="128">
        <f t="shared" si="35"/>
        <v>-44.21697311263064</v>
      </c>
      <c r="O167" s="136">
        <f t="shared" si="36"/>
        <v>-89.96668274958989</v>
      </c>
      <c r="P167" s="134" t="str">
        <f>IMPRODUCT(gmv,IMDIV((COMPLEX(1,I167*(Rvcomp*kOhms)*(Cvcomp*uF))),IMPRODUCT((COMPLEX(0,data!I167*((Cvcomp*uF)+(Cvcomp_p*uF)))),(COMPLEX(1,I167*((Rvcomp*kOhms)*(Cvcomp*uF)*(Cvcomp_p*uF))/((Cvcomp*uF)+(Cvcomp_p*uF)))))))</f>
        <v>0.000134386176428035-0.00950207904323009i</v>
      </c>
      <c r="Q167" s="128">
        <f t="shared" si="37"/>
        <v>-40.44275863834581</v>
      </c>
      <c r="R167" s="128" t="str">
        <f t="shared" si="38"/>
        <v>-0.0000584744759152525-8.61003624231959E-07i</v>
      </c>
      <c r="S167" s="128">
        <f t="shared" si="39"/>
        <v>-84.65973175097645</v>
      </c>
      <c r="T167" s="132">
        <f t="shared" si="40"/>
        <v>0.8435870233582818</v>
      </c>
    </row>
    <row r="168" spans="1:20" ht="13.5">
      <c r="A168" s="131"/>
      <c r="B168" s="131"/>
      <c r="C168" s="131"/>
      <c r="D168" s="131"/>
      <c r="G168" s="128">
        <v>3.4</v>
      </c>
      <c r="H168" s="138">
        <f t="shared" si="25"/>
        <v>2511.886431509581</v>
      </c>
      <c r="I168" s="138">
        <f t="shared" si="26"/>
        <v>15782.647919764762</v>
      </c>
      <c r="J168" s="138">
        <f t="shared" si="31"/>
        <v>0.01296111665004985</v>
      </c>
      <c r="K168" s="138" t="str">
        <f t="shared" si="32"/>
        <v>0.000174202938033329-0.377145478858059i</v>
      </c>
      <c r="L168" s="128">
        <f t="shared" si="33"/>
        <v>-8.46982095641563</v>
      </c>
      <c r="M168" s="128" t="str">
        <f t="shared" si="34"/>
        <v>2.25786460063138E-06-0.00488822654551821i</v>
      </c>
      <c r="N168" s="128">
        <f t="shared" si="35"/>
        <v>-46.21697257068726</v>
      </c>
      <c r="O168" s="136">
        <f t="shared" si="36"/>
        <v>-89.97353516619506</v>
      </c>
      <c r="P168" s="134" t="str">
        <f>IMPRODUCT(gmv,IMDIV((COMPLEX(1,I168*(Rvcomp*kOhms)*(Cvcomp*uF))),IMPRODUCT((COMPLEX(0,data!I168*((Cvcomp*uF)+(Cvcomp_p*uF)))),(COMPLEX(1,I168*((Rvcomp*kOhms)*(Cvcomp*uF)*(Cvcomp_p*uF))/((Cvcomp*uF)+(Cvcomp_p*uF)))))))</f>
        <v>0.0000847989144753033-0.00754835754718898i</v>
      </c>
      <c r="Q168" s="128">
        <f t="shared" si="37"/>
        <v>-42.442402665474155</v>
      </c>
      <c r="R168" s="128" t="str">
        <f t="shared" si="38"/>
        <v>-0.0000368978902727647-4.31559474068013E-07i</v>
      </c>
      <c r="S168" s="128">
        <f t="shared" si="39"/>
        <v>-88.65937523616142</v>
      </c>
      <c r="T168" s="132">
        <f t="shared" si="40"/>
        <v>0.6701035986901331</v>
      </c>
    </row>
    <row r="169" spans="1:20" ht="13.5">
      <c r="A169" s="131"/>
      <c r="B169" s="131"/>
      <c r="C169" s="131"/>
      <c r="D169" s="131"/>
      <c r="G169" s="128">
        <v>3.5</v>
      </c>
      <c r="H169" s="138">
        <f t="shared" si="25"/>
        <v>3162.2776601683804</v>
      </c>
      <c r="I169" s="138">
        <f t="shared" si="26"/>
        <v>19869.17653159221</v>
      </c>
      <c r="J169" s="138">
        <f t="shared" si="31"/>
        <v>0.01296111665004985</v>
      </c>
      <c r="K169" s="138" t="str">
        <f t="shared" si="32"/>
        <v>0.000109914631836321-0.299577326042883i</v>
      </c>
      <c r="L169" s="128">
        <f t="shared" si="33"/>
        <v>-10.469820614472463</v>
      </c>
      <c r="M169" s="128" t="str">
        <f t="shared" si="34"/>
        <v>1.42461636477784E-06-0.00388285666855182i</v>
      </c>
      <c r="N169" s="128">
        <f t="shared" si="35"/>
        <v>-48.2169722287441</v>
      </c>
      <c r="O169" s="136">
        <f t="shared" si="36"/>
        <v>-89.97897823472972</v>
      </c>
      <c r="P169" s="134" t="str">
        <f>IMPRODUCT(gmv,IMDIV((COMPLEX(1,I169*(Rvcomp*kOhms)*(Cvcomp*uF))),IMPRODUCT((COMPLEX(0,data!I169*((Cvcomp*uF)+(Cvcomp_p*uF)))),(COMPLEX(1,I169*((Rvcomp*kOhms)*(Cvcomp*uF)*(Cvcomp_p*uF))/((Cvcomp*uF)+(Cvcomp_p*uF)))))))</f>
        <v>0.000053507272856679-0.00599616820025518i</v>
      </c>
      <c r="Q169" s="128">
        <f t="shared" si="37"/>
        <v>-44.442178046680056</v>
      </c>
      <c r="R169" s="128" t="str">
        <f t="shared" si="38"/>
        <v>-0.0000232821854547826-2.16303310571622E-07i</v>
      </c>
      <c r="S169" s="128">
        <f t="shared" si="39"/>
        <v>-92.65915027542418</v>
      </c>
      <c r="T169" s="132">
        <f t="shared" si="40"/>
        <v>0.532291535266495</v>
      </c>
    </row>
    <row r="170" spans="1:20" ht="13.5">
      <c r="A170" s="131"/>
      <c r="B170" s="131"/>
      <c r="C170" s="131"/>
      <c r="D170" s="131"/>
      <c r="G170" s="128">
        <v>3.6</v>
      </c>
      <c r="H170" s="138">
        <f t="shared" si="25"/>
        <v>3981.071705534977</v>
      </c>
      <c r="I170" s="138">
        <f t="shared" si="26"/>
        <v>25013.81124704574</v>
      </c>
      <c r="J170" s="138">
        <f t="shared" si="31"/>
        <v>0.01296111665004985</v>
      </c>
      <c r="K170" s="138" t="str">
        <f t="shared" si="32"/>
        <v>0.0000693514476682482-0.237962740380728i</v>
      </c>
      <c r="L170" s="128">
        <f t="shared" si="33"/>
        <v>-12.46982039872088</v>
      </c>
      <c r="M170" s="128" t="str">
        <f t="shared" si="34"/>
        <v>8.98872203077993E-07-0.00308426283644014i</v>
      </c>
      <c r="N170" s="128">
        <f t="shared" si="35"/>
        <v>-50.216972012992514</v>
      </c>
      <c r="O170" s="136">
        <f t="shared" si="36"/>
        <v>-89.98330181802557</v>
      </c>
      <c r="P170" s="134" t="str">
        <f>IMPRODUCT(gmv,IMDIV((COMPLEX(1,I170*(Rvcomp*kOhms)*(Cvcomp*uF))),IMPRODUCT((COMPLEX(0,data!I170*((Cvcomp*uF)+(Cvcomp_p*uF)))),(COMPLEX(1,I170*((Rvcomp*kOhms)*(Cvcomp*uF)*(Cvcomp_p*uF))/((Cvcomp*uF)+(Cvcomp_p*uF)))))))</f>
        <v>0.0000337619116187588-0.00476307340132379i</v>
      </c>
      <c r="Q170" s="128">
        <f t="shared" si="37"/>
        <v>-46.442036315791455</v>
      </c>
      <c r="R170" s="128" t="str">
        <f t="shared" si="38"/>
        <v>-0.0000146905399312956-1.08412003574584E-07i</v>
      </c>
      <c r="S170" s="128">
        <f t="shared" si="39"/>
        <v>-96.659008328784</v>
      </c>
      <c r="T170" s="132">
        <f t="shared" si="40"/>
        <v>0.42281887019538544</v>
      </c>
    </row>
    <row r="171" spans="1:20" ht="13.5">
      <c r="A171" s="131"/>
      <c r="B171" s="131"/>
      <c r="C171" s="131"/>
      <c r="D171" s="131"/>
      <c r="G171" s="128">
        <v>3.7</v>
      </c>
      <c r="H171" s="138">
        <f t="shared" si="25"/>
        <v>5011.872336272732</v>
      </c>
      <c r="I171" s="138">
        <f t="shared" si="26"/>
        <v>31490.52262472866</v>
      </c>
      <c r="J171" s="138">
        <f t="shared" si="31"/>
        <v>0.01296111665004985</v>
      </c>
      <c r="K171" s="138" t="str">
        <f t="shared" si="32"/>
        <v>0.0000437578066282077-0.189020529421643i</v>
      </c>
      <c r="L171" s="128">
        <f t="shared" si="33"/>
        <v>-14.469820262590869</v>
      </c>
      <c r="M171" s="128" t="str">
        <f t="shared" si="34"/>
        <v>5.67150036058525E-07-0.00244991713108809i</v>
      </c>
      <c r="N171" s="128">
        <f t="shared" si="35"/>
        <v>-52.216971876862516</v>
      </c>
      <c r="O171" s="136">
        <f t="shared" si="36"/>
        <v>-89.98673616245055</v>
      </c>
      <c r="P171" s="134" t="str">
        <f>IMPRODUCT(gmv,IMDIV((COMPLEX(1,I171*(Rvcomp*kOhms)*(Cvcomp*uF))),IMPRODUCT((COMPLEX(0,data!I171*((Cvcomp*uF)+(Cvcomp_p*uF)))),(COMPLEX(1,I171*((Rvcomp*kOhms)*(Cvcomp*uF)*(Cvcomp_p*uF))/((Cvcomp*uF)+(Cvcomp_p*uF)))))))</f>
        <v>0.000021302765962467-0.00378351771589339i</v>
      </c>
      <c r="Q171" s="128">
        <f t="shared" si="37"/>
        <v>-48.44194688725338</v>
      </c>
      <c r="R171" s="128" t="str">
        <f t="shared" si="38"/>
        <v>-9.26929278607801E-06-5.43358334800052E-08i</v>
      </c>
      <c r="S171" s="128">
        <f t="shared" si="39"/>
        <v>-100.6589187641159</v>
      </c>
      <c r="T171" s="132">
        <f t="shared" si="40"/>
        <v>0.3358593097095479</v>
      </c>
    </row>
    <row r="172" spans="1:20" ht="13.5">
      <c r="A172" s="131"/>
      <c r="B172" s="131"/>
      <c r="C172" s="131"/>
      <c r="D172" s="131"/>
      <c r="G172" s="128">
        <v>3.8</v>
      </c>
      <c r="H172" s="138">
        <f t="shared" si="25"/>
        <v>6309.573444801938</v>
      </c>
      <c r="I172" s="138">
        <f t="shared" si="26"/>
        <v>39644.21916295003</v>
      </c>
      <c r="J172" s="138">
        <f t="shared" si="31"/>
        <v>0.01296111665004985</v>
      </c>
      <c r="K172" s="138" t="str">
        <f t="shared" si="32"/>
        <v>0.0000276093100164528-0.150144346431611i</v>
      </c>
      <c r="L172" s="128">
        <f t="shared" si="33"/>
        <v>-16.46982017669861</v>
      </c>
      <c r="M172" s="128" t="str">
        <f t="shared" si="34"/>
        <v>3.57847487750634E-07-0.00194603838844561i</v>
      </c>
      <c r="N172" s="128">
        <f t="shared" si="35"/>
        <v>-54.21697179097022</v>
      </c>
      <c r="O172" s="136">
        <f t="shared" si="36"/>
        <v>-89.98946415926422</v>
      </c>
      <c r="P172" s="134" t="str">
        <f>IMPRODUCT(gmv,IMDIV((COMPLEX(1,I172*(Rvcomp*kOhms)*(Cvcomp*uF))),IMPRODUCT((COMPLEX(0,data!I172*((Cvcomp*uF)+(Cvcomp_p*uF)))),(COMPLEX(1,I172*((Rvcomp*kOhms)*(Cvcomp*uF)*(Cvcomp_p*uF))/((Cvcomp*uF)+(Cvcomp_p*uF)))))))</f>
        <v>0.0000134413117602411-0.00300539205203191i</v>
      </c>
      <c r="Q172" s="128">
        <f t="shared" si="37"/>
        <v>-50.441890460707725</v>
      </c>
      <c r="R172" s="128" t="str">
        <f t="shared" si="38"/>
        <v>-5.84860349564378E-06-2.723278067202E-08i</v>
      </c>
      <c r="S172" s="128">
        <f t="shared" si="39"/>
        <v>-104.65886225167793</v>
      </c>
      <c r="T172" s="132">
        <f t="shared" si="40"/>
        <v>0.2667837068722463</v>
      </c>
    </row>
    <row r="173" spans="1:20" ht="13.5">
      <c r="A173" s="131"/>
      <c r="B173" s="131"/>
      <c r="C173" s="131"/>
      <c r="D173" s="131"/>
      <c r="G173" s="128">
        <v>3.9</v>
      </c>
      <c r="H173" s="138">
        <f t="shared" si="25"/>
        <v>7943.282347242815</v>
      </c>
      <c r="I173" s="138">
        <f t="shared" si="26"/>
        <v>49909.114934975034</v>
      </c>
      <c r="J173" s="138">
        <f t="shared" si="31"/>
        <v>0.01296111665004985</v>
      </c>
      <c r="K173" s="138" t="str">
        <f t="shared" si="32"/>
        <v>0.0000174202971482943-0.119263895143112i</v>
      </c>
      <c r="L173" s="128">
        <f t="shared" si="33"/>
        <v>-18.469820122504267</v>
      </c>
      <c r="M173" s="128" t="str">
        <f t="shared" si="34"/>
        <v>2.25786503417573E-07-0.00154579325708919i</v>
      </c>
      <c r="N173" s="128">
        <f t="shared" si="35"/>
        <v>-56.21697173677589</v>
      </c>
      <c r="O173" s="136">
        <f t="shared" si="36"/>
        <v>-89.9916310841922</v>
      </c>
      <c r="P173" s="134" t="str">
        <f>IMPRODUCT(gmv,IMDIV((COMPLEX(1,I173*(Rvcomp*kOhms)*(Cvcomp*uF))),IMPRODUCT((COMPLEX(0,data!I173*((Cvcomp*uF)+(Cvcomp_p*uF)))),(COMPLEX(1,I173*((Rvcomp*kOhms)*(Cvcomp*uF)*(Cvcomp_p*uF))/((Cvcomp*uF)+(Cvcomp_p*uF)))))))</f>
        <v>8.48096409197604E-06-0.00238728635964996i</v>
      </c>
      <c r="Q173" s="128">
        <f t="shared" si="37"/>
        <v>-52.441854857585</v>
      </c>
      <c r="R173" s="128" t="str">
        <f t="shared" si="38"/>
        <v>-3.69024924260068E-06-1.36488341467939E-08i</v>
      </c>
      <c r="S173" s="128">
        <f t="shared" si="39"/>
        <v>-108.65882659436089</v>
      </c>
      <c r="T173" s="132">
        <f t="shared" si="40"/>
        <v>0.21191441947212297</v>
      </c>
    </row>
    <row r="174" spans="1:20" ht="14.25" thickBot="1">
      <c r="A174" s="131"/>
      <c r="B174" s="131"/>
      <c r="C174" s="131"/>
      <c r="D174" s="131"/>
      <c r="G174" s="128">
        <v>4</v>
      </c>
      <c r="H174" s="138">
        <f t="shared" si="25"/>
        <v>10000</v>
      </c>
      <c r="I174" s="138">
        <f t="shared" si="26"/>
        <v>62831.853071795864</v>
      </c>
      <c r="J174" s="138">
        <f t="shared" si="31"/>
        <v>0.01296111665004985</v>
      </c>
      <c r="K174" s="138" t="str">
        <f t="shared" si="32"/>
        <v>0.0000109914645152853-0.0947346800412669i</v>
      </c>
      <c r="L174" s="128">
        <f t="shared" si="33"/>
        <v>-20.469820088309923</v>
      </c>
      <c r="M174" s="128" t="str">
        <f t="shared" si="34"/>
        <v>1.42461653737496E-07-0.00122786723882001i</v>
      </c>
      <c r="N174" s="128">
        <f t="shared" si="35"/>
        <v>-58.216971702581546</v>
      </c>
      <c r="O174" s="136">
        <f t="shared" si="36"/>
        <v>-89.99335233386239</v>
      </c>
      <c r="P174" s="141" t="str">
        <f>IMPRODUCT(gmv,IMDIV((COMPLEX(1,I174*(Rvcomp*kOhms)*(Cvcomp*uF))),IMPRODUCT((COMPLEX(0,data!I174*((Cvcomp*uF)+(Cvcomp_p*uF)))),(COMPLEX(1,I174*((Rvcomp*kOhms)*(Cvcomp*uF)*(Cvcomp_p*uF))/((Cvcomp*uF)+(Cvcomp_p*uF)))))))</f>
        <v>5.35115433747571E-06-0.00189629828019778i</v>
      </c>
      <c r="Q174" s="142">
        <f t="shared" si="37"/>
        <v>-54.44183239338215</v>
      </c>
      <c r="R174" s="142" t="str">
        <f t="shared" si="38"/>
        <v>-2.32840177095129E-06-6.84065688983257E-09i</v>
      </c>
      <c r="S174" s="142">
        <f t="shared" si="39"/>
        <v>-112.65880409596366</v>
      </c>
      <c r="T174" s="143">
        <f t="shared" si="40"/>
        <v>0.16832990170257744</v>
      </c>
    </row>
    <row r="175" spans="1:4" ht="13.5">
      <c r="A175" s="131"/>
      <c r="B175" s="131"/>
      <c r="C175" s="131"/>
      <c r="D175" s="131"/>
    </row>
    <row r="176" spans="1:4" ht="13.5">
      <c r="A176" s="131"/>
      <c r="B176" s="131"/>
      <c r="C176" s="131"/>
      <c r="D176" s="131"/>
    </row>
    <row r="177" spans="1:4" ht="13.5">
      <c r="A177" s="131"/>
      <c r="B177" s="131"/>
      <c r="C177" s="131"/>
      <c r="D177" s="131"/>
    </row>
    <row r="178" spans="1:4" ht="13.5">
      <c r="A178" s="131"/>
      <c r="B178" s="131"/>
      <c r="C178" s="131"/>
      <c r="D178" s="131"/>
    </row>
    <row r="179" spans="1:4" ht="13.5">
      <c r="A179" s="131"/>
      <c r="B179" s="131"/>
      <c r="C179" s="131"/>
      <c r="D179" s="131"/>
    </row>
    <row r="180" spans="1:4" ht="13.5">
      <c r="A180" s="273" t="s">
        <v>275</v>
      </c>
      <c r="B180" s="273"/>
      <c r="C180" s="273"/>
      <c r="D180" s="131"/>
    </row>
    <row r="181" spans="1:4" ht="13.5">
      <c r="A181" s="90">
        <v>100</v>
      </c>
      <c r="B181" s="90">
        <v>105</v>
      </c>
      <c r="C181" s="91"/>
      <c r="D181" s="131"/>
    </row>
    <row r="182" spans="1:4" ht="13.5">
      <c r="A182" s="90">
        <v>105</v>
      </c>
      <c r="B182" s="90">
        <v>110</v>
      </c>
      <c r="C182" s="91"/>
      <c r="D182" s="131"/>
    </row>
    <row r="183" spans="1:4" ht="13.5">
      <c r="A183" s="90">
        <v>110</v>
      </c>
      <c r="B183" s="90">
        <v>115</v>
      </c>
      <c r="C183" s="91"/>
      <c r="D183" s="131"/>
    </row>
    <row r="184" spans="1:4" ht="13.5">
      <c r="A184" s="90">
        <v>115</v>
      </c>
      <c r="B184" s="90">
        <v>121</v>
      </c>
      <c r="C184" s="91"/>
      <c r="D184" s="131"/>
    </row>
    <row r="185" spans="1:4" ht="13.5">
      <c r="A185" s="90">
        <v>121</v>
      </c>
      <c r="B185" s="90">
        <v>127</v>
      </c>
      <c r="C185" s="91"/>
      <c r="D185" s="131"/>
    </row>
    <row r="186" spans="1:4" ht="13.5">
      <c r="A186" s="90">
        <v>127</v>
      </c>
      <c r="B186" s="90">
        <v>133</v>
      </c>
      <c r="C186" s="91"/>
      <c r="D186" s="131"/>
    </row>
    <row r="187" spans="1:4" ht="13.5">
      <c r="A187" s="90">
        <v>133</v>
      </c>
      <c r="B187" s="90">
        <v>140</v>
      </c>
      <c r="C187" s="91"/>
      <c r="D187" s="131"/>
    </row>
    <row r="188" spans="1:4" ht="13.5">
      <c r="A188" s="90">
        <v>140</v>
      </c>
      <c r="B188" s="90">
        <v>147</v>
      </c>
      <c r="C188" s="91"/>
      <c r="D188" s="131"/>
    </row>
    <row r="189" spans="1:4" ht="13.5">
      <c r="A189" s="90">
        <v>147</v>
      </c>
      <c r="B189" s="90">
        <v>154</v>
      </c>
      <c r="C189" s="91"/>
      <c r="D189" s="131"/>
    </row>
    <row r="190" spans="1:4" ht="13.5">
      <c r="A190" s="90">
        <v>154</v>
      </c>
      <c r="B190" s="90">
        <v>162</v>
      </c>
      <c r="C190" s="91"/>
      <c r="D190" s="131"/>
    </row>
    <row r="191" spans="1:4" ht="13.5">
      <c r="A191" s="90">
        <v>162</v>
      </c>
      <c r="B191" s="90">
        <v>169</v>
      </c>
      <c r="C191" s="91"/>
      <c r="D191" s="131"/>
    </row>
    <row r="192" spans="1:4" ht="13.5">
      <c r="A192" s="90">
        <v>169</v>
      </c>
      <c r="B192" s="90">
        <v>178</v>
      </c>
      <c r="C192" s="91"/>
      <c r="D192" s="131"/>
    </row>
    <row r="193" spans="1:4" ht="13.5">
      <c r="A193" s="90">
        <v>178</v>
      </c>
      <c r="B193" s="90">
        <v>187</v>
      </c>
      <c r="C193" s="91"/>
      <c r="D193" s="131"/>
    </row>
    <row r="194" spans="1:4" ht="13.5">
      <c r="A194" s="90">
        <v>187</v>
      </c>
      <c r="B194" s="90">
        <v>196</v>
      </c>
      <c r="C194" s="91"/>
      <c r="D194" s="131"/>
    </row>
    <row r="195" spans="1:4" ht="13.5">
      <c r="A195" s="90">
        <v>196</v>
      </c>
      <c r="B195" s="90">
        <v>205</v>
      </c>
      <c r="C195" s="91"/>
      <c r="D195" s="131"/>
    </row>
    <row r="196" spans="1:4" ht="13.5">
      <c r="A196" s="90">
        <v>205</v>
      </c>
      <c r="B196" s="90">
        <v>215</v>
      </c>
      <c r="C196" s="91"/>
      <c r="D196" s="131"/>
    </row>
    <row r="197" spans="1:4" ht="13.5">
      <c r="A197" s="90">
        <v>215</v>
      </c>
      <c r="B197" s="90">
        <v>226</v>
      </c>
      <c r="C197" s="91"/>
      <c r="D197" s="131"/>
    </row>
    <row r="198" spans="1:4" ht="13.5">
      <c r="A198" s="90">
        <v>226</v>
      </c>
      <c r="B198" s="90">
        <v>237</v>
      </c>
      <c r="C198" s="91"/>
      <c r="D198" s="131"/>
    </row>
    <row r="199" spans="1:4" ht="13.5">
      <c r="A199" s="90">
        <v>237</v>
      </c>
      <c r="B199" s="90">
        <v>249</v>
      </c>
      <c r="C199" s="91"/>
      <c r="D199" s="131"/>
    </row>
    <row r="200" spans="1:4" ht="13.5">
      <c r="A200" s="90">
        <v>249</v>
      </c>
      <c r="B200" s="90">
        <v>261</v>
      </c>
      <c r="C200" s="91"/>
      <c r="D200" s="131"/>
    </row>
    <row r="201" spans="1:4" ht="13.5">
      <c r="A201" s="90">
        <v>261</v>
      </c>
      <c r="B201" s="90">
        <v>274</v>
      </c>
      <c r="C201" s="91"/>
      <c r="D201" s="131"/>
    </row>
    <row r="202" spans="1:4" ht="13.5">
      <c r="A202" s="90">
        <v>274</v>
      </c>
      <c r="B202" s="90">
        <v>287</v>
      </c>
      <c r="C202" s="91"/>
      <c r="D202" s="131"/>
    </row>
    <row r="203" spans="1:4" ht="13.5">
      <c r="A203" s="90">
        <v>287</v>
      </c>
      <c r="B203" s="90">
        <v>301</v>
      </c>
      <c r="C203" s="91"/>
      <c r="D203" s="131"/>
    </row>
    <row r="204" spans="1:4" ht="13.5">
      <c r="A204" s="90">
        <v>301</v>
      </c>
      <c r="B204" s="90">
        <v>316</v>
      </c>
      <c r="C204" s="91"/>
      <c r="D204" s="131"/>
    </row>
    <row r="205" spans="1:4" ht="13.5">
      <c r="A205" s="90">
        <v>316</v>
      </c>
      <c r="B205" s="90">
        <v>332</v>
      </c>
      <c r="C205" s="91"/>
      <c r="D205" s="131"/>
    </row>
    <row r="206" spans="1:4" ht="13.5">
      <c r="A206" s="90">
        <v>332</v>
      </c>
      <c r="B206" s="90">
        <v>348</v>
      </c>
      <c r="C206" s="91"/>
      <c r="D206" s="131"/>
    </row>
    <row r="207" spans="1:4" ht="13.5">
      <c r="A207" s="90">
        <v>348</v>
      </c>
      <c r="B207" s="90">
        <v>365</v>
      </c>
      <c r="C207" s="91"/>
      <c r="D207" s="131"/>
    </row>
    <row r="208" spans="1:4" ht="13.5">
      <c r="A208" s="90">
        <v>365</v>
      </c>
      <c r="B208" s="90">
        <v>383</v>
      </c>
      <c r="C208" s="91"/>
      <c r="D208" s="131"/>
    </row>
    <row r="209" spans="1:4" ht="13.5">
      <c r="A209" s="90">
        <v>383</v>
      </c>
      <c r="B209" s="90">
        <v>402</v>
      </c>
      <c r="C209" s="91"/>
      <c r="D209" s="131"/>
    </row>
    <row r="210" spans="1:4" ht="13.5">
      <c r="A210" s="90">
        <v>402</v>
      </c>
      <c r="B210" s="90">
        <v>422</v>
      </c>
      <c r="C210" s="91"/>
      <c r="D210" s="131"/>
    </row>
    <row r="211" spans="1:4" ht="13.5">
      <c r="A211" s="90">
        <v>422</v>
      </c>
      <c r="B211" s="90">
        <v>442</v>
      </c>
      <c r="C211" s="91"/>
      <c r="D211" s="131"/>
    </row>
    <row r="212" spans="1:4" ht="13.5">
      <c r="A212" s="90">
        <v>442</v>
      </c>
      <c r="B212" s="90">
        <v>464</v>
      </c>
      <c r="C212" s="91"/>
      <c r="D212" s="131"/>
    </row>
    <row r="213" spans="1:4" ht="13.5">
      <c r="A213" s="90">
        <v>464</v>
      </c>
      <c r="B213" s="90">
        <v>487</v>
      </c>
      <c r="C213" s="91"/>
      <c r="D213" s="131"/>
    </row>
    <row r="214" spans="1:4" ht="13.5">
      <c r="A214" s="90">
        <v>487</v>
      </c>
      <c r="B214" s="90">
        <v>511</v>
      </c>
      <c r="C214" s="91"/>
      <c r="D214" s="131"/>
    </row>
    <row r="215" spans="1:4" ht="13.5">
      <c r="A215" s="90">
        <v>511</v>
      </c>
      <c r="B215" s="90">
        <v>536</v>
      </c>
      <c r="C215" s="91"/>
      <c r="D215" s="131"/>
    </row>
    <row r="216" spans="1:6" ht="15.75">
      <c r="A216" s="90">
        <v>536</v>
      </c>
      <c r="B216" s="90">
        <v>562</v>
      </c>
      <c r="C216" s="91"/>
      <c r="D216" s="131"/>
      <c r="E216" s="127" t="s">
        <v>316</v>
      </c>
      <c r="F216" s="127">
        <v>5</v>
      </c>
    </row>
    <row r="217" spans="1:6" ht="15.75">
      <c r="A217" s="90">
        <v>562</v>
      </c>
      <c r="B217" s="90">
        <v>590</v>
      </c>
      <c r="C217" s="91"/>
      <c r="D217" s="131"/>
      <c r="E217" s="127" t="s">
        <v>317</v>
      </c>
      <c r="F217" s="127">
        <v>4.93</v>
      </c>
    </row>
    <row r="218" spans="1:6" ht="15.75">
      <c r="A218" s="90">
        <v>590</v>
      </c>
      <c r="B218" s="90">
        <v>619</v>
      </c>
      <c r="C218" s="91"/>
      <c r="D218" s="131"/>
      <c r="E218" s="127" t="s">
        <v>318</v>
      </c>
      <c r="F218" s="127">
        <v>5.07</v>
      </c>
    </row>
    <row r="219" spans="1:4" ht="13.5">
      <c r="A219" s="90">
        <v>619</v>
      </c>
      <c r="B219" s="90">
        <v>649</v>
      </c>
      <c r="C219" s="91"/>
      <c r="D219" s="131"/>
    </row>
    <row r="220" spans="1:4" ht="13.5">
      <c r="A220" s="90">
        <v>649</v>
      </c>
      <c r="B220" s="90">
        <v>681</v>
      </c>
      <c r="C220" s="91"/>
      <c r="D220" s="131"/>
    </row>
    <row r="221" spans="1:4" ht="13.5">
      <c r="A221" s="90">
        <v>681</v>
      </c>
      <c r="B221" s="90">
        <v>715</v>
      </c>
      <c r="C221" s="91"/>
      <c r="D221" s="131"/>
    </row>
    <row r="222" spans="1:4" ht="13.5">
      <c r="A222" s="90">
        <v>715</v>
      </c>
      <c r="B222" s="90">
        <v>750</v>
      </c>
      <c r="C222" s="91"/>
      <c r="D222" s="131"/>
    </row>
    <row r="223" spans="1:4" ht="13.5">
      <c r="A223" s="90">
        <v>750</v>
      </c>
      <c r="B223" s="90">
        <v>787</v>
      </c>
      <c r="C223" s="91"/>
      <c r="D223" s="131"/>
    </row>
    <row r="224" spans="1:4" ht="13.5">
      <c r="A224" s="90">
        <v>787</v>
      </c>
      <c r="B224" s="90">
        <v>825</v>
      </c>
      <c r="C224" s="91"/>
      <c r="D224" s="131"/>
    </row>
    <row r="225" spans="1:5" ht="13.5">
      <c r="A225" s="90">
        <v>825</v>
      </c>
      <c r="B225" s="90">
        <v>866</v>
      </c>
      <c r="C225" s="91"/>
      <c r="D225" s="131"/>
      <c r="E225" s="144" t="s">
        <v>311</v>
      </c>
    </row>
    <row r="226" spans="1:4" ht="13.5">
      <c r="A226" s="90">
        <v>866</v>
      </c>
      <c r="B226" s="90">
        <v>909</v>
      </c>
      <c r="C226" s="91"/>
      <c r="D226" s="131"/>
    </row>
    <row r="227" spans="1:6" ht="15.75">
      <c r="A227" s="90">
        <v>909</v>
      </c>
      <c r="B227" s="90">
        <v>953</v>
      </c>
      <c r="C227" s="91"/>
      <c r="D227" s="131"/>
      <c r="E227" s="127" t="s">
        <v>419</v>
      </c>
      <c r="F227" s="127">
        <f>((L_I_ripple_factor*Iin_peak_max)/(8*fsw*kHz*Vin_ripple))/picoF</f>
        <v>285321.1334783426</v>
      </c>
    </row>
    <row r="228" spans="1:7" ht="13.5">
      <c r="A228" s="90">
        <v>953</v>
      </c>
      <c r="B228" s="90">
        <v>1000</v>
      </c>
      <c r="C228" s="91"/>
      <c r="D228" s="131"/>
      <c r="F228" s="127">
        <f>(IF(Cin_initial&lt;10000,F229*10^INT(LOG(Cin_initial)),F230*10^INT(LOG(Cin_initial))*uF))</f>
        <v>0.26999999999999996</v>
      </c>
      <c r="G228" s="127" t="str">
        <f>IF(Cin_initial&lt;10000,"pF",I236)</f>
        <v>µF</v>
      </c>
    </row>
    <row r="229" spans="1:6" ht="13.5">
      <c r="A229" s="131"/>
      <c r="B229" s="131"/>
      <c r="C229" s="131"/>
      <c r="D229" s="131"/>
      <c r="F229" s="127">
        <f>IF((10^(LOG(Cin_initial)-INT(LOG(Cin_initial))))-VLOOKUP((10^(LOG(Cin_initial)-INT(LOG(Cin_initial)))),C_s1:C_f1,1)&lt;VLOOKUP((10^(LOG(Cin_initial)-INT(LOG(Cin_initial)))),C_s1:C_f1,2)-(10^(LOG(Cin_initial)-INT(LOG(Cin_initial)))),VLOOKUP((10^(LOG(Cin_initial)-INT(LOG(Cin_initial)))),C_s1:C_f1,1),VLOOKUP((10^(LOG(Cin_initial)-INT(LOG(Cin_initial)))),C_s1:C_f1,2))</f>
        <v>2.7</v>
      </c>
    </row>
    <row r="230" spans="1:6" ht="13.5">
      <c r="A230" s="131"/>
      <c r="B230" s="131"/>
      <c r="C230" s="131"/>
      <c r="D230" s="131"/>
      <c r="F230" s="127">
        <f>IF((10^(LOG(Cin_initial)-INT(LOG(Cin_initial))))-VLOOKUP((10^(LOG(Cin_initial)-INT(LOG(Cin_initial)))),C_s2:C_f2,1)&lt;VLOOKUP((10^(LOG(Cin_initial)-INT(LOG(Cin_initial)))),C_s2:C_f2,2)-(10^(LOG(Cin_initial)-INT(LOG(Cin_initial)))),VLOOKUP((10^(LOG(Cin_initial)-INT(LOG(Cin_initial)))),C_s2:C_f2,1),VLOOKUP((10^(LOG(Cin_initial)-INT(LOG(Cin_initial)))),C_s2:C_f2,2))</f>
        <v>2.7</v>
      </c>
    </row>
    <row r="231" spans="1:4" ht="13.5">
      <c r="A231" s="131"/>
      <c r="B231" s="131"/>
      <c r="C231" s="131"/>
      <c r="D231" s="131"/>
    </row>
    <row r="232" spans="1:6" ht="15.75">
      <c r="A232" s="274" t="s">
        <v>276</v>
      </c>
      <c r="B232" s="274"/>
      <c r="C232" s="274"/>
      <c r="D232" s="131"/>
      <c r="E232" s="127" t="s">
        <v>279</v>
      </c>
      <c r="F232" s="127">
        <f>((1*MegOhm*32.7*kOhms*65*kHz)/((1*MegOhm*fSW_target*kHz)+(32.7*kOhms*fSW_target*kHz)-(32.7*kOhms*65*kHz)))/kOhms</f>
        <v>17.45095382948066</v>
      </c>
    </row>
    <row r="233" spans="1:7" ht="14.25">
      <c r="A233" s="274" t="s">
        <v>277</v>
      </c>
      <c r="B233" s="274"/>
      <c r="C233" s="274"/>
      <c r="D233" s="131"/>
      <c r="F233" s="127">
        <f>(IF((10^(LOG(Rfreq_initial)-INT(LOG(Rfreq_initial)))*100)-VLOOKUP((10^(LOG(Rfreq_initial)-INT(LOG(Rfreq_initial)))*100),E_48s:E_48f,1)&lt;VLOOKUP((10^(LOG(Rfreq_initial)-INT(LOG(Rfreq_initial)))*100),E_48s:E_48f,2)-(10^(LOG(Rfreq_initial)-INT(LOG(Rfreq_initial)))*100),VLOOKUP((10^(LOG(Rfreq_initial)-INT(LOG(Rfreq_initial)))*100),E_48s:E_48f,1),VLOOKUP((10^(LOG(Rfreq_initial)-INT(LOG(Rfreq_initial)))*100),E_48s:E_48f,2)))*10^INT(LOG(Rfreq_initial))/100</f>
        <v>17.8</v>
      </c>
      <c r="G233" s="127" t="s">
        <v>280</v>
      </c>
    </row>
    <row r="234" spans="1:4" ht="13.5">
      <c r="A234" s="91">
        <v>1</v>
      </c>
      <c r="B234" s="91">
        <v>1.2</v>
      </c>
      <c r="C234" s="91"/>
      <c r="D234" s="131"/>
    </row>
    <row r="235" spans="1:6" ht="15.75">
      <c r="A235" s="91">
        <v>1.2</v>
      </c>
      <c r="B235" s="91">
        <v>1.5</v>
      </c>
      <c r="C235" s="91"/>
      <c r="D235" s="131"/>
      <c r="E235" s="127" t="s">
        <v>312</v>
      </c>
      <c r="F235" s="127">
        <f>(((2*Pout*t_holdup*ms)/((Vout^2)-(Vout_holdup^2))))/picoF</f>
        <v>1352973267.866885</v>
      </c>
    </row>
    <row r="236" spans="1:9" ht="15.75">
      <c r="A236" s="91">
        <v>1.5</v>
      </c>
      <c r="B236" s="91">
        <v>1.8</v>
      </c>
      <c r="C236" s="91"/>
      <c r="D236" s="131"/>
      <c r="E236" s="127" t="s">
        <v>312</v>
      </c>
      <c r="F236" s="127">
        <f>(IF(Cout_initial&lt;10000,F237*10^INT(LOG(Cout_initial)),F238*10^INT(LOG(Cout_initial))*uF))</f>
        <v>1500</v>
      </c>
      <c r="G236" s="127" t="str">
        <f>IF(Cout_initial&lt;10000,"pF",I236)</f>
        <v>µF</v>
      </c>
      <c r="I236" s="127" t="s">
        <v>320</v>
      </c>
    </row>
    <row r="237" spans="1:6" ht="13.5">
      <c r="A237" s="91">
        <v>1.8</v>
      </c>
      <c r="B237" s="91">
        <v>2.2</v>
      </c>
      <c r="C237" s="91"/>
      <c r="D237" s="131"/>
      <c r="F237" s="127">
        <f>IF((10^(LOG(Cout_initial)-INT(LOG(Cout_initial))))-VLOOKUP((10^(LOG(Cout_initial)-INT(LOG(Cout_initial)))),C_s1:C_f1,1)&lt;VLOOKUP((10^(LOG(Cout_initial)-INT(LOG(Cout_initial)))),C_s1:C_f1,2)-(10^(LOG(Cout_initial)-INT(LOG(Cout_initial)))),VLOOKUP((10^(LOG(Cout_initial)-INT(LOG(Cout_initial)))),C_s1:C_f1,1),VLOOKUP((10^(LOG(Cout_initial)-INT(LOG(Cout_initial)))),C_s1:C_f1,2))</f>
        <v>1.5</v>
      </c>
    </row>
    <row r="238" spans="1:6" ht="13.5">
      <c r="A238" s="91">
        <v>2.2</v>
      </c>
      <c r="B238" s="91">
        <v>2.7</v>
      </c>
      <c r="C238" s="91"/>
      <c r="D238" s="131"/>
      <c r="F238" s="127">
        <f>IF((10^(LOG(Cout_initial)-INT(LOG(Cout_initial))))-VLOOKUP((10^(LOG(Cout_initial)-INT(LOG(Cout_initial)))),C_s2:C_f2,1)&lt;VLOOKUP((10^(LOG(Cout_initial)-INT(LOG(Cout_initial)))),C_s2:C_f2,2)-(10^(LOG(Cout_initial)-INT(LOG(Cout_initial)))),VLOOKUP((10^(LOG(Cout_initial)-INT(LOG(Cout_initial)))),C_s2:C_f2,1),VLOOKUP((10^(LOG(Cout_initial)-INT(LOG(Cout_initial)))),C_s2:C_f2,2))</f>
        <v>1.5</v>
      </c>
    </row>
    <row r="239" spans="1:4" ht="13.5">
      <c r="A239" s="91">
        <v>2.7</v>
      </c>
      <c r="B239" s="91">
        <v>3.3</v>
      </c>
      <c r="C239" s="91"/>
      <c r="D239" s="131"/>
    </row>
    <row r="240" spans="1:4" ht="13.5">
      <c r="A240" s="91">
        <v>3.3</v>
      </c>
      <c r="B240" s="91">
        <v>3.9</v>
      </c>
      <c r="C240" s="91"/>
      <c r="D240" s="131"/>
    </row>
    <row r="241" spans="1:6" ht="15.75">
      <c r="A241" s="91">
        <v>3.9</v>
      </c>
      <c r="B241" s="91">
        <v>4.7</v>
      </c>
      <c r="C241" s="91"/>
      <c r="D241" s="131"/>
      <c r="E241" s="127" t="s">
        <v>315</v>
      </c>
      <c r="F241" s="127">
        <f>(VREF*R_fb1*kOhms)/(Vout-VREF)</f>
        <v>13.026315789473685</v>
      </c>
    </row>
    <row r="242" spans="1:7" ht="14.25">
      <c r="A242" s="91">
        <v>4.7</v>
      </c>
      <c r="B242" s="91">
        <v>5.6</v>
      </c>
      <c r="C242" s="91"/>
      <c r="D242" s="131"/>
      <c r="F242" s="127">
        <f>(IF((10^(LOG(Rfb2initial)-INT(LOG(Rfb2initial)))*100)-VLOOKUP((10^(LOG(Rfb2initial)-INT(LOG(Rfb2initial)))*100),E_48s:E_48f,1)&lt;VLOOKUP((10^(LOG(Rfb2initial)-INT(LOG(Rfb2initial)))*100),E_48s:E_48f,2)-(10^(LOG(Rfb2initial)-INT(LOG(Rfb2initial)))*100),VLOOKUP((10^(LOG(Rfb2initial)-INT(LOG(Rfb2initial)))*100),E_48s:E_48f,1),VLOOKUP((10^(LOG(Rfb2initial)-INT(LOG(Rfb2initial)))*100),E_48s:E_48f,2)))*10^INT(LOG(Rfb2initial))/100</f>
        <v>13.3</v>
      </c>
      <c r="G242" s="127" t="s">
        <v>280</v>
      </c>
    </row>
    <row r="243" spans="1:4" ht="13.5">
      <c r="A243" s="91">
        <v>5.6</v>
      </c>
      <c r="B243" s="91">
        <v>6.8</v>
      </c>
      <c r="C243" s="91"/>
      <c r="D243" s="131"/>
    </row>
    <row r="244" spans="1:6" ht="15">
      <c r="A244" s="91">
        <v>6.8</v>
      </c>
      <c r="B244" s="91">
        <v>8.2</v>
      </c>
      <c r="C244" s="91"/>
      <c r="D244" s="131"/>
      <c r="E244" s="99" t="s">
        <v>168</v>
      </c>
      <c r="F244" s="127">
        <f>((10*us)/(R_fb2*kOhms))/picoF</f>
        <v>769.2307692307692</v>
      </c>
    </row>
    <row r="245" spans="1:7" ht="15">
      <c r="A245" s="91">
        <v>8.2</v>
      </c>
      <c r="B245" s="91">
        <v>10</v>
      </c>
      <c r="C245" s="91"/>
      <c r="D245" s="131"/>
      <c r="E245" s="99" t="s">
        <v>168</v>
      </c>
      <c r="F245" s="127">
        <f>(IF(Cvsense_initial&lt;10000,F246*10^INT(LOG(Cvsense_initial)),F247*10^INT(LOG(Cvsense_initial))*uF))</f>
        <v>819.9999999999999</v>
      </c>
      <c r="G245" s="127" t="str">
        <f>IF(Cvsense_initial&lt;10000,"pF",I236)</f>
        <v>pF</v>
      </c>
    </row>
    <row r="246" spans="1:6" ht="13.5">
      <c r="A246" s="274" t="s">
        <v>278</v>
      </c>
      <c r="B246" s="274"/>
      <c r="C246" s="274"/>
      <c r="D246" s="131"/>
      <c r="F246" s="127">
        <f>IF((10^(LOG(Cvsense_initial)-INT(LOG(Cvsense_initial))))-VLOOKUP((10^(LOG(Cvsense_initial)-INT(LOG(Cvsense_initial)))),C_s1:C_f1,1)&lt;VLOOKUP((10^(LOG(Cvsense_initial)-INT(LOG(Cvsense_initial)))),C_s1:C_f1,2)-(10^(LOG(Cvsense_initial)-INT(LOG(Cvsense_initial)))),VLOOKUP((10^(LOG(Cvsense_initial)-INT(LOG(Cvsense_initial)))),C_s1:C_f1,1),VLOOKUP((10^(LOG(Cvsense_initial)-INT(LOG(Cvsense_initial)))),C_s1:C_f1,2))</f>
        <v>8.2</v>
      </c>
    </row>
    <row r="247" spans="1:6" ht="13.5">
      <c r="A247" s="91">
        <v>1</v>
      </c>
      <c r="B247" s="127">
        <v>1.2</v>
      </c>
      <c r="C247" s="91"/>
      <c r="D247" s="131"/>
      <c r="F247" s="127">
        <f>IF((10^(LOG(Cvsense_initial)-INT(LOG(Cvsense_initial))))-VLOOKUP((10^(LOG(Cvsense_initial)-INT(LOG(Cvsense_initial)))),C_s2:C_f2,1)&lt;VLOOKUP((10^(LOG(Cvsense_initial)-INT(LOG(Cvsense_initial)))),C_s2:C_f2,2)-(10^(LOG(Cvsense_initial)-INT(LOG(Cvsense_initial)))),VLOOKUP((10^(LOG(Cvsense_initial)-INT(LOG(Cvsense_initial)))),C_s2:C_f2,1),VLOOKUP((10^(LOG(Cvsense_initial)-INT(LOG(Cvsense_initial)))),C_s2:C_f2,2))</f>
        <v>8.2</v>
      </c>
    </row>
    <row r="248" spans="1:4" ht="13.5">
      <c r="A248" s="127">
        <v>1.2</v>
      </c>
      <c r="B248" s="91">
        <v>1.5</v>
      </c>
      <c r="C248" s="91"/>
      <c r="D248" s="131"/>
    </row>
    <row r="249" spans="1:9" ht="15.75">
      <c r="A249" s="91">
        <v>1.5</v>
      </c>
      <c r="B249" s="127">
        <v>1.8</v>
      </c>
      <c r="C249" s="91"/>
      <c r="D249" s="131"/>
      <c r="E249" s="127" t="s">
        <v>355</v>
      </c>
      <c r="F249" s="127">
        <f>0.95*10^-3</f>
        <v>0.00095</v>
      </c>
      <c r="H249" s="127" t="s">
        <v>362</v>
      </c>
      <c r="I249" s="127">
        <f>0.056*10^-3</f>
        <v>5.6E-05</v>
      </c>
    </row>
    <row r="250" spans="1:4" ht="13.5">
      <c r="A250" s="127">
        <v>1.8</v>
      </c>
      <c r="B250" s="91">
        <v>2.2</v>
      </c>
      <c r="C250" s="91"/>
      <c r="D250" s="131"/>
    </row>
    <row r="251" spans="1:6" ht="15.75">
      <c r="A251" s="91">
        <v>2.2</v>
      </c>
      <c r="B251" s="127">
        <v>2.7</v>
      </c>
      <c r="C251" s="91"/>
      <c r="D251" s="131"/>
      <c r="E251" s="145" t="s">
        <v>356</v>
      </c>
      <c r="F251" s="127">
        <f>((gmi*M_1)/(K_1*2*PI()*((fsw*kHz)/40)))/picoF</f>
        <v>2255.786535515877</v>
      </c>
    </row>
    <row r="252" spans="1:7" ht="15.75">
      <c r="A252" s="127">
        <v>2.7</v>
      </c>
      <c r="B252" s="91">
        <v>3.3</v>
      </c>
      <c r="C252" s="91"/>
      <c r="D252" s="131"/>
      <c r="E252" s="145" t="s">
        <v>356</v>
      </c>
      <c r="F252" s="127">
        <f>(IF(CICOMPmax_initial&lt;10000,F253*10^INT(LOG(CICOMPmax_initial)),F254*10^INT(LOG(CICOMPmax_initial))*uF))</f>
        <v>2200</v>
      </c>
      <c r="G252" s="127" t="str">
        <f>IF(CICOMPmax_initial&lt;10000,"pF",I236)</f>
        <v>pF</v>
      </c>
    </row>
    <row r="253" spans="1:6" ht="13.5">
      <c r="A253" s="91">
        <v>3.3</v>
      </c>
      <c r="B253" s="127">
        <v>3.9</v>
      </c>
      <c r="C253" s="131"/>
      <c r="D253" s="131"/>
      <c r="F253" s="127">
        <f>IF((10^(LOG(CICOMPmax_initial)-INT(LOG(CICOMPmax_initial))))-VLOOKUP((10^(LOG(CICOMPmax_initial)-INT(LOG(CICOMPmax_initial)))),C_s1:C_f1,1)&lt;VLOOKUP((10^(LOG(CICOMPmax_initial)-INT(LOG(CICOMPmax_initial)))),C_s1:C_f1,2)-(10^(LOG(CICOMPmax_initial)-INT(LOG(CICOMPmax_initial)))),VLOOKUP((10^(LOG(CICOMPmax_initial)-INT(LOG(CICOMPmax_initial)))),C_s1:C_f1,1),VLOOKUP((10^(LOG(CICOMPmax_initial)-INT(LOG(CICOMPmax_initial)))),C_s1:C_f1,2))</f>
        <v>2.2</v>
      </c>
    </row>
    <row r="254" spans="1:6" ht="13.5">
      <c r="A254" s="127">
        <v>3.9</v>
      </c>
      <c r="B254" s="91">
        <v>4.7</v>
      </c>
      <c r="C254" s="131"/>
      <c r="D254" s="131"/>
      <c r="F254" s="127">
        <f>IF((10^(LOG(CICOMPmax_initial)-INT(LOG(CICOMPmax_initial))))-VLOOKUP((10^(LOG(CICOMPmax_initial)-INT(LOG(CICOMPmax_initial)))),C_s2:C_f2,1)&lt;VLOOKUP((10^(LOG(CICOMPmax_initial)-INT(LOG(CICOMPmax_initial)))),C_s2:C_f2,2)-(10^(LOG(CICOMPmax_initial)-INT(LOG(CICOMPmax_initial)))),VLOOKUP((10^(LOG(CICOMPmax_initial)-INT(LOG(CICOMPmax_initial)))),C_s2:C_f2,1),VLOOKUP((10^(LOG(CICOMPmax_initial)-INT(LOG(CICOMPmax_initial)))),C_s2:C_f2,2))</f>
        <v>2.2</v>
      </c>
    </row>
    <row r="255" spans="1:4" ht="13.5">
      <c r="A255" s="91">
        <v>4.7</v>
      </c>
      <c r="B255" s="91">
        <v>6.8</v>
      </c>
      <c r="C255" s="131"/>
      <c r="D255" s="131"/>
    </row>
    <row r="256" spans="1:6" ht="15.75">
      <c r="A256" s="91">
        <v>6.8</v>
      </c>
      <c r="B256" s="127">
        <v>8.2</v>
      </c>
      <c r="C256" s="131"/>
      <c r="E256" s="145" t="s">
        <v>357</v>
      </c>
      <c r="F256" s="127">
        <f>((gmi*M_1)/(K_1*2*PI()*((fsw*kHz)/20)))/picoF</f>
        <v>1127.8932677579385</v>
      </c>
    </row>
    <row r="257" spans="1:7" ht="15.75">
      <c r="A257" s="146">
        <v>8.2</v>
      </c>
      <c r="B257" s="91">
        <v>10</v>
      </c>
      <c r="C257" s="131"/>
      <c r="E257" s="145" t="s">
        <v>357</v>
      </c>
      <c r="F257" s="127">
        <f>(IF(CICOMPmin_initial&lt;10000,F258*10^INT(LOG(CICOMPmin_initial)),F259*10^INT(LOG(CICOMPmin_initial))*uF))</f>
        <v>1200</v>
      </c>
      <c r="G257" s="127" t="str">
        <f>IF(CICOMPmax_initial&lt;10000,"pF",I241)</f>
        <v>pF</v>
      </c>
    </row>
    <row r="258" spans="1:6" ht="13.5">
      <c r="A258" s="131"/>
      <c r="B258" s="131"/>
      <c r="C258" s="131"/>
      <c r="D258" s="131"/>
      <c r="F258" s="127">
        <f>IF((10^(LOG(CICOMPmin_initial)-INT(LOG(CICOMPmin_initial))))-VLOOKUP((10^(LOG(CICOMPmin_initial)-INT(LOG(CICOMPmin_initial)))),C_s1:C_f1,1)&lt;VLOOKUP((10^(LOG(CICOMPmin_initial)-INT(LOG(CICOMPmin_initial)))),C_s1:C_f1,2)-(10^(LOG(CICOMPmin_initial)-INT(LOG(CICOMPmin_initial)))),VLOOKUP((10^(LOG(CICOMPmin_initial)-INT(LOG(CICOMPmin_initial)))),C_s1:C_f1,1),VLOOKUP((10^(LOG(CICOMPmin_initial)-INT(LOG(CICOMPmin_initial)))),C_s1:C_f1,2))</f>
        <v>1.2</v>
      </c>
    </row>
    <row r="259" spans="1:6" ht="13.5">
      <c r="A259" s="131"/>
      <c r="B259" s="131"/>
      <c r="C259" s="131"/>
      <c r="D259" s="131"/>
      <c r="F259" s="127">
        <f>IF((10^(LOG(CICOMPmin_initial)-INT(LOG(CICOMPmin_initial))))-VLOOKUP((10^(LOG(CICOMPmin_initial)-INT(LOG(CICOMPmin_initial)))),C_s2:C_f2,1)&lt;VLOOKUP((10^(LOG(CICOMPmin_initial)-INT(LOG(CICOMPmin_initial)))),C_s2:C_f2,2)-(10^(LOG(CICOMPmin_initial)-INT(LOG(CICOMPmin_initial)))),VLOOKUP((10^(LOG(CICOMPmin_initial)-INT(LOG(CICOMPmin_initial)))),C_s2:C_f2,1),VLOOKUP((10^(LOG(CICOMPmin_initial)-INT(LOG(CICOMPmin_initial)))),C_s2:C_f2,2))</f>
        <v>1.2</v>
      </c>
    </row>
    <row r="260" spans="1:4" ht="13.5">
      <c r="A260" s="131"/>
      <c r="B260" s="131"/>
      <c r="C260" s="131"/>
      <c r="D260" s="131"/>
    </row>
    <row r="261" spans="1:6" ht="15.75">
      <c r="A261" s="131"/>
      <c r="B261" s="131"/>
      <c r="C261" s="131"/>
      <c r="D261" s="131"/>
      <c r="E261" s="127" t="s">
        <v>359</v>
      </c>
      <c r="F261" s="127">
        <f>((((56*10^-6)*fv)/fPWM_PSpole)/((10^((0-GVL_dB)/20))*2*PI()*fv))/picoF</f>
        <v>9369348.248107342</v>
      </c>
    </row>
    <row r="262" spans="1:7" ht="13.5">
      <c r="A262" s="131"/>
      <c r="B262" s="131"/>
      <c r="C262" s="131"/>
      <c r="D262" s="131"/>
      <c r="F262" s="127">
        <f>(IF(CVCOMPinitial&lt;10000,F263*10^INT(LOG(CVCOMPinitial)),F264*10^INT(LOG(CVCOMPinitial))*uF))</f>
        <v>10</v>
      </c>
      <c r="G262" s="127" t="str">
        <f>IF(CVCOMPinitial&lt;10000,"pF",I236)</f>
        <v>µF</v>
      </c>
    </row>
    <row r="263" spans="1:6" ht="13.5">
      <c r="A263" s="131"/>
      <c r="B263" s="131"/>
      <c r="C263" s="131"/>
      <c r="D263" s="131"/>
      <c r="F263" s="127">
        <f>IF((10^(LOG(CVCOMPinitial)-INT(LOG(CVCOMPinitial))))-VLOOKUP((10^(LOG(CVCOMPinitial)-INT(LOG(CVCOMPinitial)))),C_s1:C_f1,1)&lt;VLOOKUP((10^(LOG(CVCOMPinitial)-INT(LOG(CVCOMPinitial)))),C_s1:C_f1,2)-(10^(LOG(CVCOMPinitial)-INT(LOG(CVCOMPinitial)))),VLOOKUP((10^(LOG(CVCOMPinitial)-INT(LOG(CVCOMPinitial)))),C_s1:C_f1,1),VLOOKUP((10^(LOG(CVCOMPinitial)-INT(LOG(CVCOMPinitial)))),C_s1:C_f1,2))</f>
        <v>10</v>
      </c>
    </row>
    <row r="264" spans="1:6" ht="13.5">
      <c r="A264" s="131"/>
      <c r="B264" s="131"/>
      <c r="C264" s="131"/>
      <c r="D264" s="131"/>
      <c r="F264" s="127">
        <f>IF((10^(LOG(CVCOMPinitial)-INT(LOG(CVCOMPinitial))))-VLOOKUP((10^(LOG(CVCOMPinitial)-INT(LOG(CVCOMPinitial)))),C_s2:C_f2,1)&lt;VLOOKUP((10^(LOG(CVCOMPinitial)-INT(LOG(CVCOMPinitial)))),C_s2:C_f2,2)-(10^(LOG(CVCOMPinitial)-INT(LOG(CVCOMPinitial)))),VLOOKUP((10^(LOG(CVCOMPinitial)-INT(LOG(CVCOMPinitial)))),C_s2:C_f2,1),VLOOKUP((10^(LOG(CVCOMPinitial)-INT(LOG(CVCOMPinitial)))),C_s2:C_f2,2))</f>
        <v>10</v>
      </c>
    </row>
    <row r="265" spans="1:4" ht="13.5">
      <c r="A265" s="131"/>
      <c r="B265" s="131"/>
      <c r="C265" s="131"/>
      <c r="D265" s="131"/>
    </row>
    <row r="266" spans="1:6" ht="15.75">
      <c r="A266" s="131"/>
      <c r="B266" s="131"/>
      <c r="C266" s="131"/>
      <c r="D266" s="131"/>
      <c r="E266" s="127" t="s">
        <v>360</v>
      </c>
      <c r="F266" s="127">
        <f>(1/(2*PI()*fPWM_PSpole*Cvcomp*uF))/(kOhms)</f>
        <v>16.13818302035148</v>
      </c>
    </row>
    <row r="267" spans="1:7" ht="14.25">
      <c r="A267" s="131"/>
      <c r="B267" s="131"/>
      <c r="C267" s="131"/>
      <c r="D267" s="131"/>
      <c r="F267" s="127">
        <f>(IF((10^(LOG(Rvcomp_initial)-INT(LOG(Rvcomp_initial)))*100)-VLOOKUP((10^(LOG(Rvcomp_initial)-INT(LOG(Rvcomp_initial)))*100),E_48s:E_48f,1)&lt;VLOOKUP((10^(LOG(Rvcomp_initial)-INT(LOG(Rvcomp_initial)))*100),E_48s:E_48f,2)-(10^(LOG(Rvcomp_initial)-INT(LOG(Rvcomp_initial)))*100),VLOOKUP((10^(LOG(Rvcomp_initial)-INT(LOG(Rvcomp_initial)))*100),E_48s:E_48f,1),VLOOKUP((10^(LOG(Rvcomp_initial)-INT(LOG(Rvcomp_initial)))*100),E_48s:E_48f,2)))*10^INT(LOG(Rvcomp_initial))/100</f>
        <v>16.2</v>
      </c>
      <c r="G267" s="127" t="s">
        <v>280</v>
      </c>
    </row>
    <row r="268" spans="1:4" ht="13.5">
      <c r="A268" s="131"/>
      <c r="B268" s="131"/>
      <c r="C268" s="131"/>
      <c r="D268" s="131"/>
    </row>
    <row r="269" spans="1:4" ht="13.5">
      <c r="A269" s="131"/>
      <c r="B269" s="131"/>
      <c r="C269" s="131"/>
      <c r="D269" s="131"/>
    </row>
    <row r="270" spans="1:6" ht="15.75">
      <c r="A270" s="131"/>
      <c r="B270" s="131"/>
      <c r="C270" s="131"/>
      <c r="D270" s="131"/>
      <c r="E270" s="127" t="s">
        <v>361</v>
      </c>
      <c r="F270" s="127">
        <f>((Cvcomp*uF)/((2*PI()*fpole*(Rvcomp*kOhms)*(Cvcomp*uF))-1))/picoF</f>
        <v>466352.7316150503</v>
      </c>
    </row>
    <row r="271" spans="1:7" ht="13.5">
      <c r="A271" s="131"/>
      <c r="B271" s="131"/>
      <c r="C271" s="131"/>
      <c r="D271" s="131"/>
      <c r="F271" s="127">
        <f>(IF(Cvcomp_p_initial&lt;10000,F272*10^INT(LOG(Cvcomp_p_initial)),F273*10^INT(LOG(Cvcomp_p_initial))*uF))</f>
        <v>0.47</v>
      </c>
      <c r="G271" s="127" t="str">
        <f>IF(Cvcomp_p_initial&lt;10000,"pF",I236)</f>
        <v>µF</v>
      </c>
    </row>
    <row r="272" spans="1:6" ht="13.5">
      <c r="A272" s="131"/>
      <c r="B272" s="131"/>
      <c r="C272" s="131"/>
      <c r="D272" s="131"/>
      <c r="F272" s="127">
        <f>IF((10^(LOG(Cvcomp_p_initial)-INT(LOG(Cvcomp_p_initial))))-VLOOKUP((10^(LOG(Cvcomp_p_initial)-INT(LOG(Cvcomp_p_initial)))),C_s1:C_f1,1)&lt;VLOOKUP((10^(LOG(Cvcomp_p_initial)-INT(LOG(Cvcomp_p_initial)))),C_s1:C_f1,2)-(10^(LOG(Cvcomp_p_initial)-INT(LOG(Cvcomp_p_initial)))),VLOOKUP((10^(LOG(Cvcomp_p_initial)-INT(LOG(Cvcomp_p_initial)))),C_s1:C_f1,1),VLOOKUP((10^(LOG(Cvcomp_p_initial)-INT(LOG(Cvcomp_p_initial)))),C_s1:C_f1,2))</f>
        <v>4.7</v>
      </c>
    </row>
    <row r="273" spans="1:6" ht="13.5">
      <c r="A273" s="131"/>
      <c r="B273" s="131"/>
      <c r="C273" s="131"/>
      <c r="D273" s="131"/>
      <c r="F273" s="127">
        <f>IF((10^(LOG(Cvcomp_p_initial)-INT(LOG(Cvcomp_p_initial))))-VLOOKUP((10^(LOG(Cvcomp_p_initial)-INT(LOG(Cvcomp_p_initial)))),C_s2:C_f2,1)&lt;VLOOKUP((10^(LOG(Cvcomp_p_initial)-INT(LOG(Cvcomp_p_initial)))),C_s2:C_f2,2)-(10^(LOG(Cvcomp_p_initial)-INT(LOG(Cvcomp_p_initial)))),VLOOKUP((10^(LOG(Cvcomp_p_initial)-INT(LOG(Cvcomp_p_initial)))),C_s2:C_f2,1),VLOOKUP((10^(LOG(Cvcomp_p_initial)-INT(LOG(Cvcomp_p_initial)))),C_s2:C_f2,2))</f>
        <v>4.7</v>
      </c>
    </row>
    <row r="274" spans="1:4" ht="13.5">
      <c r="A274" s="131"/>
      <c r="B274" s="131"/>
      <c r="C274" s="131"/>
      <c r="D274" s="131"/>
    </row>
    <row r="275" spans="1:6" ht="15.75">
      <c r="A275" s="131"/>
      <c r="B275" s="131"/>
      <c r="C275" s="131"/>
      <c r="D275" s="131"/>
      <c r="E275" s="127" t="s">
        <v>428</v>
      </c>
      <c r="F275" s="127">
        <f>(1/(15*fsw*kHz*PI()*Risense))/picoF</f>
        <v>801.5059858673377</v>
      </c>
    </row>
    <row r="276" spans="1:7" ht="13.5">
      <c r="A276" s="131"/>
      <c r="B276" s="131"/>
      <c r="C276" s="131"/>
      <c r="D276" s="131"/>
      <c r="F276" s="127">
        <f>(IF(Cisense_initial&lt;10000,F277*10^INT(LOG(Cisense_initial)),F278*10^INT(LOG(Cisense_initial))*uF))</f>
        <v>819.9999999999999</v>
      </c>
      <c r="G276" s="127" t="str">
        <f>IF(Cisense_initial&lt;10000,"pF",I236)</f>
        <v>pF</v>
      </c>
    </row>
    <row r="277" spans="1:6" ht="13.5">
      <c r="A277" s="131"/>
      <c r="B277" s="131"/>
      <c r="C277" s="131"/>
      <c r="D277" s="131"/>
      <c r="F277" s="127">
        <f>IF((10^(LOG(Cisense_initial)-INT(LOG(Cisense_initial))))-VLOOKUP((10^(LOG(Cisense_initial)-INT(LOG(Cisense_initial)))),C_s1:C_f1,1)&lt;VLOOKUP((10^(LOG(Cisense_initial)-INT(LOG(Cisense_initial)))),C_s1:C_f1,2)-(10^(LOG(Cisense_initial)-INT(LOG(Cisense_initial)))),VLOOKUP((10^(LOG(Cisense_initial)-INT(LOG(Cisense_initial)))),C_s1:C_f1,1),VLOOKUP((10^(LOG(Cisense_initial)-INT(LOG(Cisense_initial)))),C_s1:C_f1,2))</f>
        <v>8.2</v>
      </c>
    </row>
    <row r="278" spans="1:6" ht="13.5">
      <c r="A278" s="131"/>
      <c r="B278" s="131"/>
      <c r="C278" s="131"/>
      <c r="D278" s="131"/>
      <c r="F278" s="127">
        <f>IF((10^(LOG(Cisense_initial)-INT(LOG(Cisense_initial))))-VLOOKUP((10^(LOG(Cisense_initial)-INT(LOG(Cisense_initial)))),C_s2:C_f2,1)&lt;VLOOKUP((10^(LOG(Cisense_initial)-INT(LOG(Cisense_initial)))),C_s2:C_f2,2)-(10^(LOG(Cisense_initial)-INT(LOG(Cisense_initial)))),VLOOKUP((10^(LOG(Cisense_initial)-INT(LOG(Cisense_initial)))),C_s2:C_f2,1),VLOOKUP((10^(LOG(Cisense_initial)-INT(LOG(Cisense_initial)))),C_s2:C_f2,2))</f>
        <v>8.2</v>
      </c>
    </row>
  </sheetData>
  <sheetProtection password="E85D" sheet="1" objects="1"/>
  <mergeCells count="29">
    <mergeCell ref="G68:H68"/>
    <mergeCell ref="G34:H34"/>
    <mergeCell ref="G36:H36"/>
    <mergeCell ref="G38:H38"/>
    <mergeCell ref="G48:H48"/>
    <mergeCell ref="G59:H59"/>
    <mergeCell ref="G64:H64"/>
    <mergeCell ref="A180:C180"/>
    <mergeCell ref="A232:C232"/>
    <mergeCell ref="A233:C233"/>
    <mergeCell ref="A246:C246"/>
    <mergeCell ref="A110:F110"/>
    <mergeCell ref="A2:D2"/>
    <mergeCell ref="P111:Q111"/>
    <mergeCell ref="R111:T111"/>
    <mergeCell ref="M112:N112"/>
    <mergeCell ref="A167:D167"/>
    <mergeCell ref="K112:L112"/>
    <mergeCell ref="G110:O110"/>
    <mergeCell ref="A111:A113"/>
    <mergeCell ref="D112:E112"/>
    <mergeCell ref="G111:G113"/>
    <mergeCell ref="O111:O112"/>
    <mergeCell ref="J36:K36"/>
    <mergeCell ref="J38:K38"/>
    <mergeCell ref="J48:K48"/>
    <mergeCell ref="J59:K59"/>
    <mergeCell ref="J64:K64"/>
    <mergeCell ref="J68:K68"/>
  </mergeCells>
  <printOptions/>
  <pageMargins left="0.75" right="0.75" top="1" bottom="1" header="0.5" footer="0.5"/>
  <pageSetup horizontalDpi="600" verticalDpi="600" orientation="portrait" r:id="rId1"/>
  <ignoredErrors>
    <ignoredError sqref="R114 M114" formula="1"/>
  </ignoredErrors>
</worksheet>
</file>

<file path=xl/worksheets/sheet4.xml><?xml version="1.0" encoding="utf-8"?>
<worksheet xmlns="http://schemas.openxmlformats.org/spreadsheetml/2006/main" xmlns:r="http://schemas.openxmlformats.org/officeDocument/2006/relationships">
  <dimension ref="A1:Z290"/>
  <sheetViews>
    <sheetView zoomScale="80" zoomScaleNormal="80" zoomScalePageLayoutView="0" workbookViewId="0" topLeftCell="A1">
      <selection activeCell="G8" sqref="G8"/>
    </sheetView>
  </sheetViews>
  <sheetFormatPr defaultColWidth="9.140625" defaultRowHeight="12.75"/>
  <cols>
    <col min="1" max="1" width="10.00390625" style="147" customWidth="1"/>
    <col min="2" max="3" width="8.8515625" style="147" customWidth="1"/>
    <col min="4" max="4" width="12.421875" style="147" customWidth="1"/>
    <col min="5" max="6" width="8.8515625" style="147" customWidth="1"/>
    <col min="7" max="7" width="10.421875" style="147" customWidth="1"/>
    <col min="8" max="16384" width="8.8515625" style="147" customWidth="1"/>
  </cols>
  <sheetData>
    <row r="1" spans="1:5" ht="13.5">
      <c r="A1" s="275" t="s">
        <v>467</v>
      </c>
      <c r="B1" s="275"/>
      <c r="C1" s="275"/>
      <c r="D1" s="275"/>
      <c r="E1" s="275"/>
    </row>
    <row r="2" spans="1:5" ht="12.75">
      <c r="A2" s="277" t="s">
        <v>468</v>
      </c>
      <c r="B2" s="277"/>
      <c r="D2" s="276" t="s">
        <v>478</v>
      </c>
      <c r="E2" s="276"/>
    </row>
    <row r="3" spans="1:5" ht="12.75">
      <c r="A3" s="277"/>
      <c r="B3" s="277"/>
      <c r="D3" s="276"/>
      <c r="E3" s="276"/>
    </row>
    <row r="4" spans="1:5" ht="12.75">
      <c r="A4" s="277"/>
      <c r="B4" s="277"/>
      <c r="D4" s="276"/>
      <c r="E4" s="276"/>
    </row>
    <row r="5" spans="1:7" ht="15">
      <c r="A5" s="148" t="s">
        <v>465</v>
      </c>
      <c r="B5" s="147">
        <f>Vline</f>
        <v>220</v>
      </c>
      <c r="D5" s="148" t="s">
        <v>465</v>
      </c>
      <c r="E5" s="147">
        <f>Vline</f>
        <v>220</v>
      </c>
      <c r="G5" s="147" t="s">
        <v>453</v>
      </c>
    </row>
    <row r="6" spans="1:26" ht="15.75">
      <c r="A6" s="128" t="s">
        <v>313</v>
      </c>
      <c r="B6" s="128">
        <v>7</v>
      </c>
      <c r="D6" s="148" t="s">
        <v>469</v>
      </c>
      <c r="E6" s="147">
        <f>percent_load/100</f>
        <v>1</v>
      </c>
      <c r="G6" s="149" t="s">
        <v>452</v>
      </c>
      <c r="H6" s="149" t="s">
        <v>131</v>
      </c>
      <c r="I6" s="149" t="s">
        <v>321</v>
      </c>
      <c r="J6" s="150" t="s">
        <v>454</v>
      </c>
      <c r="K6" s="150" t="s">
        <v>455</v>
      </c>
      <c r="L6" s="150" t="s">
        <v>456</v>
      </c>
      <c r="M6" s="150" t="s">
        <v>457</v>
      </c>
      <c r="N6" s="151" t="s">
        <v>322</v>
      </c>
      <c r="O6" s="150" t="s">
        <v>458</v>
      </c>
      <c r="P6" s="150" t="s">
        <v>459</v>
      </c>
      <c r="Q6" s="150" t="s">
        <v>460</v>
      </c>
      <c r="R6" s="150" t="s">
        <v>461</v>
      </c>
      <c r="S6" s="150" t="s">
        <v>462</v>
      </c>
      <c r="T6" s="150" t="s">
        <v>340</v>
      </c>
      <c r="U6" s="150" t="s">
        <v>345</v>
      </c>
      <c r="V6" s="150" t="s">
        <v>348</v>
      </c>
      <c r="W6" s="152" t="s">
        <v>132</v>
      </c>
      <c r="X6" s="161" t="s">
        <v>479</v>
      </c>
      <c r="Y6" s="161" t="s">
        <v>480</v>
      </c>
      <c r="Z6" s="162" t="s">
        <v>481</v>
      </c>
    </row>
    <row r="7" spans="1:26" ht="15.75">
      <c r="A7" s="128" t="s">
        <v>314</v>
      </c>
      <c r="B7" s="128">
        <f>1/(fsw*kHz)</f>
        <v>8.309417546129941E-06</v>
      </c>
      <c r="D7" s="128" t="s">
        <v>313</v>
      </c>
      <c r="E7" s="128">
        <v>7</v>
      </c>
      <c r="G7" s="153">
        <f>Vacin_min</f>
        <v>176</v>
      </c>
      <c r="H7" s="153">
        <f aca="true" t="shared" si="0" ref="H7:H38">(Iout*(Vout_nom^2)*2.5*Rsense*K_1)/(eff*(G7^2)*K_FQ)*us</f>
        <v>0.3542178386431515</v>
      </c>
      <c r="I7" s="153">
        <f aca="true" t="shared" si="1" ref="I7:I38">(1*10^-9*(5*10^8*SQRT(fsw*kHz)+(1.09655978*10^10)*SQRT(ftyp)*SQRT(H7)))/SQRT(fsw*kHz)</f>
        <v>5.296334866449813</v>
      </c>
      <c r="J7" s="153">
        <f aca="true" t="shared" si="2" ref="J7:J38">(b_1^3/(27*a_1^3))-(d_1^3/27)+SQRT((ftyp)^2*H7^2/(4*a_1^2*c_1^2*(fsw*kHz)^2))+(b_1^3*(ftyp)*H7/(27*a_1^4*c_1*(fsw*kHz))-(d_1^3*(ftyp)*H7/(27*a_1*c_1*(fsw*kHz)))+(b_1*d_1^2*(ftyp)*H7/(9*a_1^2*c_1*(fsw*kHz)))-(b_1^2*d_1*(ftyp)*H7/(9*a_1^3*c_1*(fsw*kHz))))</f>
        <v>5.015989356362249</v>
      </c>
      <c r="K7" s="153">
        <f aca="true" t="shared" si="3" ref="K7:K38">(b_1*d_1^2/(9*a_1))-(b_1^2*d_1/(9*a_1^2))+(ftyp*H7/(2*a_1*c_1*fsw*kHz))</f>
        <v>5.011863947460807</v>
      </c>
      <c r="L7" s="153">
        <f aca="true" t="shared" si="4" ref="L7:L38">(d_1^2/9)+(b_1^2/(9*a_1^2))-(2*b_1*d_1/(9*a_1))</f>
        <v>0.00045657096939147324</v>
      </c>
      <c r="M7" s="153">
        <f aca="true" t="shared" si="5" ref="M7:M38">((b_1*c_1*fsw*kHz)+(2*a_1*c_1*d_1*fsw*kHz))/(3*a_1*c_1*fsw*kHz)</f>
        <v>0.5213675213675213</v>
      </c>
      <c r="N7" s="153">
        <f>(J7+K7)^(1/3)+(L7/(J7^(1/3)))+M7</f>
        <v>2.678067348241865</v>
      </c>
      <c r="O7" s="153">
        <f aca="true" t="shared" si="6" ref="O7:O38">(b_2^3/(27*a_2^3))-(d_2^3/27)</f>
        <v>0.07325223505585884</v>
      </c>
      <c r="P7" s="153">
        <f aca="true" t="shared" si="7" ref="P7:P38">(ftyp^2*H7^2/(4*a_2^2*c_2^2*(fsw*kHz)^2))+(b_2^3*ftyp*H7/(27*a_2^4*c_2*(fsw*kHz)))-(d_2^3*ftyp*H7/(27*a_2*c_2*(fsw*kHz)))+(b_2*d_2^2*ftyp*H7/(9*a_2^2*c_2*(fsw*kHz)))-(b_2^2*d_2*ftyp*H7/(9*a_2^3*c_2*(fsw*kHz)))</f>
        <v>6.33286783674324</v>
      </c>
      <c r="Q7" s="153">
        <f aca="true" t="shared" si="8" ref="Q7:Q38">(b_2*d_2^2/(9*a_2))-(b_2^2*d_2/(9*a_2^2))+(ftyp*H7/(2*a_2*c_2*(fsw*kHz)))</f>
        <v>2.443328678745734</v>
      </c>
      <c r="R7" s="153">
        <f aca="true" t="shared" si="9" ref="R7:R38">(d_2^2/9)+(b_2^2/(9*a_2^2))-(2*b_2*d_2/(9*a_2))</f>
        <v>0.06779950800763512</v>
      </c>
      <c r="S7" s="153">
        <f aca="true" t="shared" si="10" ref="S7:S38">(b_2*c_2*(fsw*kHz)+2*a_2*c_2*d_2*(fsw*kHz))/(3*a_2*c_2*(fsw*kHz))</f>
        <v>0.7603833865814695</v>
      </c>
      <c r="T7" s="153">
        <f>((O7+SQRT(P7)+Q7)^(1/3))+(R7/((O7+SQRT(P7)+Q7)^(1/3)))+S7</f>
        <v>2.5136866576742007</v>
      </c>
      <c r="U7" s="153">
        <f aca="true" t="shared" si="11" ref="U7:U38">c_3+(SQRT(ftyp)*SQRT(H7)/(SQRT(a_3)*SQRT(b_3)*SQRT(fsw*kHz)))</f>
        <v>1.746376409100564</v>
      </c>
      <c r="V7" s="153">
        <f aca="true" t="shared" si="12" ref="V7:V38">(a_4*(fsw*kHz)*b_4/ftyp)</f>
        <v>3.833263214726713</v>
      </c>
      <c r="W7" s="153">
        <f>IF(I7&gt;=0.5,IF(I7&lt;1,I7,IF(N7&gt;=1,IF(N7&lt;2,N7,IF(T7&gt;=2,IF(T7&lt;4.5,T7,IF(U7&gt;=4.5,IF(U7&lt;4.6,U7,V7))))))))</f>
        <v>2.5136866576742007</v>
      </c>
      <c r="X7" s="163">
        <f aca="true" t="shared" si="13" ref="X7:X38">Pin_max/G7</f>
        <v>9.572628458498023</v>
      </c>
      <c r="Y7" s="163">
        <f aca="true" t="shared" si="14" ref="Y7:Y38">-X7*Rsense*1.414</f>
        <v>-0.10828557312252964</v>
      </c>
      <c r="Z7" s="164">
        <f>MIN(6,MAX(0.5,Beta*G*($Y7-Voff_trim)/(MAX(0,MIN(4.5,W7)-Alpha1_A)+MAX(0,MIN(4.5,W7)-Alpha1_B)-Alpha1_C)+Alpha2))</f>
        <v>5.154960887361159</v>
      </c>
    </row>
    <row r="8" spans="1:26" ht="15.75">
      <c r="A8" s="128" t="s">
        <v>323</v>
      </c>
      <c r="B8" s="128">
        <f>65*kHz</f>
        <v>65000</v>
      </c>
      <c r="D8" s="128" t="s">
        <v>314</v>
      </c>
      <c r="E8" s="128">
        <f>1/(fsw*kHz)</f>
        <v>8.309417546129941E-06</v>
      </c>
      <c r="G8" s="154">
        <f>G7+1</f>
        <v>177</v>
      </c>
      <c r="H8" s="154">
        <f t="shared" si="0"/>
        <v>0.3502266835778436</v>
      </c>
      <c r="I8" s="154">
        <f t="shared" si="1"/>
        <v>5.2692369293512265</v>
      </c>
      <c r="J8" s="154">
        <f t="shared" si="2"/>
        <v>4.959494362810832</v>
      </c>
      <c r="K8" s="154">
        <f t="shared" si="3"/>
        <v>4.955370056194463</v>
      </c>
      <c r="L8" s="154">
        <f t="shared" si="4"/>
        <v>0.00045657096939147324</v>
      </c>
      <c r="M8" s="154">
        <f t="shared" si="5"/>
        <v>0.5213675213675213</v>
      </c>
      <c r="N8" s="154">
        <f aca="true" t="shared" si="15" ref="N8:N71">(J8+K8)^(1/3)+(L8/(J8^(1/3)))+M8</f>
        <v>2.6699385392771284</v>
      </c>
      <c r="O8" s="154">
        <f t="shared" si="6"/>
        <v>0.07325223505585884</v>
      </c>
      <c r="P8" s="154">
        <f t="shared" si="7"/>
        <v>6.191943409859844</v>
      </c>
      <c r="Q8" s="154">
        <f t="shared" si="8"/>
        <v>2.415171978945256</v>
      </c>
      <c r="R8" s="154">
        <f t="shared" si="9"/>
        <v>0.06779950800763512</v>
      </c>
      <c r="S8" s="154">
        <f t="shared" si="10"/>
        <v>0.7603833865814695</v>
      </c>
      <c r="T8" s="154">
        <f aca="true" t="shared" si="16" ref="T8:T71">((O8+SQRT(P8)+Q8)^(1/3))+(R8/((O8+SQRT(P8)+Q8)^(1/3)))+S8</f>
        <v>2.5074197914792142</v>
      </c>
      <c r="U8" s="154">
        <f t="shared" si="11"/>
        <v>1.7393347344728773</v>
      </c>
      <c r="V8" s="154">
        <f t="shared" si="12"/>
        <v>3.833263214726713</v>
      </c>
      <c r="W8" s="154">
        <f aca="true" t="shared" si="17" ref="W8:W71">IF(I8&gt;=0.5,IF(I8&lt;1,I8,IF(N8&gt;=1,IF(N8&lt;2,N8,IF(T8&gt;=2,IF(T8&lt;4.5,T8,IF(U8&gt;=4.5,IF(U8&lt;4.6,U8,V8))))))))</f>
        <v>2.5074197914792142</v>
      </c>
      <c r="X8" s="163">
        <f t="shared" si="13"/>
        <v>9.518545811839841</v>
      </c>
      <c r="Y8" s="165">
        <f t="shared" si="14"/>
        <v>-0.10767379022353228</v>
      </c>
      <c r="Z8" s="166">
        <f aca="true" t="shared" si="18" ref="Z8:Z38">MIN(6,MAX(0.5,Beta*G*($Y8-Voff_trim)/(MAX(0,MIN(4.5,W8)-Alpha1_A)+MAX(0,MIN(4.5,W8)-Alpha1_B)-Alpha1_C)+Alpha2))</f>
        <v>5.150839588201032</v>
      </c>
    </row>
    <row r="9" spans="1:26" ht="15.75">
      <c r="A9" s="262"/>
      <c r="B9" s="263"/>
      <c r="D9" s="128" t="s">
        <v>323</v>
      </c>
      <c r="E9" s="128">
        <f>65*kHz</f>
        <v>65000</v>
      </c>
      <c r="G9" s="153">
        <f aca="true" t="shared" si="19" ref="G9:G72">G8+1</f>
        <v>178</v>
      </c>
      <c r="H9" s="153">
        <f t="shared" si="0"/>
        <v>0.34630260604122776</v>
      </c>
      <c r="I9" s="153">
        <f t="shared" si="1"/>
        <v>5.242443463455994</v>
      </c>
      <c r="J9" s="153">
        <f t="shared" si="2"/>
        <v>4.903948854931832</v>
      </c>
      <c r="K9" s="153">
        <f t="shared" si="3"/>
        <v>4.89982563207493</v>
      </c>
      <c r="L9" s="153">
        <f t="shared" si="4"/>
        <v>0.00045657096939147324</v>
      </c>
      <c r="M9" s="153">
        <f t="shared" si="5"/>
        <v>0.5213675213675213</v>
      </c>
      <c r="N9" s="153">
        <f t="shared" si="15"/>
        <v>2.6618859218793975</v>
      </c>
      <c r="O9" s="153">
        <f t="shared" si="6"/>
        <v>0.07325223505585884</v>
      </c>
      <c r="P9" s="153">
        <f t="shared" si="7"/>
        <v>6.054933286497807</v>
      </c>
      <c r="Q9" s="153">
        <f t="shared" si="8"/>
        <v>2.3874884959975016</v>
      </c>
      <c r="R9" s="153">
        <f t="shared" si="9"/>
        <v>0.06779950800763512</v>
      </c>
      <c r="S9" s="153">
        <f t="shared" si="10"/>
        <v>0.7603833865814695</v>
      </c>
      <c r="T9" s="153">
        <f t="shared" si="16"/>
        <v>2.501213093385186</v>
      </c>
      <c r="U9" s="153">
        <f t="shared" si="11"/>
        <v>1.7323721797848273</v>
      </c>
      <c r="V9" s="153">
        <f t="shared" si="12"/>
        <v>3.833263214726713</v>
      </c>
      <c r="W9" s="153">
        <f t="shared" si="17"/>
        <v>2.501213093385186</v>
      </c>
      <c r="X9" s="163">
        <f t="shared" si="13"/>
        <v>9.46507083536883</v>
      </c>
      <c r="Y9" s="163">
        <f t="shared" si="14"/>
        <v>-0.1070688812896922</v>
      </c>
      <c r="Z9" s="164">
        <f t="shared" si="18"/>
        <v>5.1467619919304815</v>
      </c>
    </row>
    <row r="10" spans="1:26" ht="13.5">
      <c r="A10" s="128" t="s">
        <v>131</v>
      </c>
      <c r="B10" s="128">
        <f>(Iout*(Vout_nom^2)*2.5*Rsense*K_1)/(eff*(B5^2)*K_FQ)*us</f>
        <v>0.22669941673161698</v>
      </c>
      <c r="D10" s="262"/>
      <c r="E10" s="263"/>
      <c r="G10" s="154">
        <f t="shared" si="19"/>
        <v>179</v>
      </c>
      <c r="H10" s="154">
        <f t="shared" si="0"/>
        <v>0.34244411128898167</v>
      </c>
      <c r="I10" s="154">
        <f t="shared" si="1"/>
        <v>5.2159493658947875</v>
      </c>
      <c r="J10" s="154">
        <f t="shared" si="2"/>
        <v>4.8493316745468595</v>
      </c>
      <c r="K10" s="154">
        <f t="shared" si="3"/>
        <v>4.845209517336643</v>
      </c>
      <c r="L10" s="154">
        <f t="shared" si="4"/>
        <v>0.00045657096939147324</v>
      </c>
      <c r="M10" s="154">
        <f t="shared" si="5"/>
        <v>0.5213675213675213</v>
      </c>
      <c r="N10" s="154">
        <f t="shared" si="15"/>
        <v>2.6539083599031863</v>
      </c>
      <c r="O10" s="154">
        <f t="shared" si="6"/>
        <v>0.07325223505585884</v>
      </c>
      <c r="P10" s="154">
        <f t="shared" si="7"/>
        <v>5.921707541455828</v>
      </c>
      <c r="Q10" s="154">
        <f t="shared" si="8"/>
        <v>2.360267684818036</v>
      </c>
      <c r="R10" s="154">
        <f t="shared" si="9"/>
        <v>0.06779950800763512</v>
      </c>
      <c r="S10" s="154">
        <f t="shared" si="10"/>
        <v>0.7603833865814695</v>
      </c>
      <c r="T10" s="154">
        <f t="shared" si="16"/>
        <v>2.4950656644075755</v>
      </c>
      <c r="U10" s="154">
        <f t="shared" si="11"/>
        <v>1.7254874190039065</v>
      </c>
      <c r="V10" s="154">
        <f t="shared" si="12"/>
        <v>3.833263214726713</v>
      </c>
      <c r="W10" s="154">
        <f t="shared" si="17"/>
        <v>2.4950656644075755</v>
      </c>
      <c r="X10" s="163">
        <f t="shared" si="13"/>
        <v>9.412193344668447</v>
      </c>
      <c r="Y10" s="165">
        <f t="shared" si="14"/>
        <v>-0.10647073111488947</v>
      </c>
      <c r="Z10" s="166">
        <f t="shared" si="18"/>
        <v>5.142727504105052</v>
      </c>
    </row>
    <row r="11" spans="1:26" ht="13.5">
      <c r="A11" s="262"/>
      <c r="B11" s="263"/>
      <c r="D11" s="128" t="s">
        <v>131</v>
      </c>
      <c r="E11" s="128">
        <f>((E6*Iout)*(Vout_nom^2)*2.5*Rsense*K_1)/(eff*(E5^2)*K_FQ)*us</f>
        <v>0.22669941673161698</v>
      </c>
      <c r="G11" s="153">
        <f t="shared" si="19"/>
        <v>180</v>
      </c>
      <c r="H11" s="153">
        <f t="shared" si="0"/>
        <v>0.3386497459817982</v>
      </c>
      <c r="I11" s="153">
        <f t="shared" si="1"/>
        <v>5.189749647195372</v>
      </c>
      <c r="J11" s="153">
        <f t="shared" si="2"/>
        <v>4.795622249567524</v>
      </c>
      <c r="K11" s="153">
        <f t="shared" si="3"/>
        <v>4.791501140292597</v>
      </c>
      <c r="L11" s="153">
        <f t="shared" si="4"/>
        <v>0.00045657096939147324</v>
      </c>
      <c r="M11" s="153">
        <f t="shared" si="5"/>
        <v>0.5213675213675213</v>
      </c>
      <c r="N11" s="153">
        <f t="shared" si="15"/>
        <v>2.6460047403683626</v>
      </c>
      <c r="O11" s="153">
        <f t="shared" si="6"/>
        <v>0.07325223505585884</v>
      </c>
      <c r="P11" s="153">
        <f t="shared" si="7"/>
        <v>5.792141256066519</v>
      </c>
      <c r="Q11" s="153">
        <f t="shared" si="8"/>
        <v>2.333499292425476</v>
      </c>
      <c r="R11" s="153">
        <f t="shared" si="9"/>
        <v>0.06779950800763512</v>
      </c>
      <c r="S11" s="153">
        <f t="shared" si="10"/>
        <v>0.7603833865814695</v>
      </c>
      <c r="T11" s="153">
        <f t="shared" si="16"/>
        <v>2.488976623903271</v>
      </c>
      <c r="U11" s="153">
        <f t="shared" si="11"/>
        <v>1.7186791555649958</v>
      </c>
      <c r="V11" s="153">
        <f t="shared" si="12"/>
        <v>3.833263214726713</v>
      </c>
      <c r="W11" s="153">
        <f t="shared" si="17"/>
        <v>2.488976623903271</v>
      </c>
      <c r="X11" s="163">
        <f t="shared" si="13"/>
        <v>9.35990338164251</v>
      </c>
      <c r="Y11" s="163">
        <f t="shared" si="14"/>
        <v>-0.10587922705314007</v>
      </c>
      <c r="Z11" s="164">
        <f t="shared" si="18"/>
        <v>5.138735541490228</v>
      </c>
    </row>
    <row r="12" spans="1:26" ht="13.5">
      <c r="A12" s="128" t="s">
        <v>321</v>
      </c>
      <c r="B12" s="128">
        <f>(1*10^-9*(5*10^8*SQRT(fsw*kHz)+(1.09655978*10^10)*SQRT(ftyp)*SQRT(B10)))/SQRT(fsw*kHz)</f>
        <v>4.33706789315985</v>
      </c>
      <c r="D12" s="262"/>
      <c r="E12" s="263"/>
      <c r="G12" s="154">
        <f t="shared" si="19"/>
        <v>181</v>
      </c>
      <c r="H12" s="154">
        <f t="shared" si="0"/>
        <v>0.3349180968166497</v>
      </c>
      <c r="I12" s="154">
        <f t="shared" si="1"/>
        <v>5.1638394281500934</v>
      </c>
      <c r="J12" s="154">
        <f t="shared" si="2"/>
        <v>4.7428005746209125</v>
      </c>
      <c r="K12" s="154">
        <f t="shared" si="3"/>
        <v>4.738680495960208</v>
      </c>
      <c r="L12" s="154">
        <f t="shared" si="4"/>
        <v>0.00045657096939147324</v>
      </c>
      <c r="M12" s="154">
        <f t="shared" si="5"/>
        <v>0.5213675213675213</v>
      </c>
      <c r="N12" s="154">
        <f t="shared" si="15"/>
        <v>2.638173972862324</v>
      </c>
      <c r="O12" s="154">
        <f t="shared" si="6"/>
        <v>0.07325223505585884</v>
      </c>
      <c r="P12" s="154">
        <f t="shared" si="7"/>
        <v>5.666114298858217</v>
      </c>
      <c r="Q12" s="154">
        <f t="shared" si="8"/>
        <v>2.3071733482853714</v>
      </c>
      <c r="R12" s="154">
        <f t="shared" si="9"/>
        <v>0.06779950800763512</v>
      </c>
      <c r="S12" s="154">
        <f t="shared" si="10"/>
        <v>0.7603833865814695</v>
      </c>
      <c r="T12" s="154">
        <f t="shared" si="16"/>
        <v>2.482945109097085</v>
      </c>
      <c r="U12" s="154">
        <f t="shared" si="11"/>
        <v>1.7119461215563496</v>
      </c>
      <c r="V12" s="154">
        <f t="shared" si="12"/>
        <v>3.833263214726713</v>
      </c>
      <c r="W12" s="154">
        <f t="shared" si="17"/>
        <v>2.482945109097085</v>
      </c>
      <c r="X12" s="163">
        <f t="shared" si="13"/>
        <v>9.30819120826327</v>
      </c>
      <c r="Y12" s="165">
        <f t="shared" si="14"/>
        <v>-0.1052942589478741</v>
      </c>
      <c r="Z12" s="166">
        <f t="shared" si="18"/>
        <v>5.134785531789298</v>
      </c>
    </row>
    <row r="13" spans="1:26" ht="13.5">
      <c r="A13" s="262"/>
      <c r="B13" s="263"/>
      <c r="D13" s="128" t="s">
        <v>321</v>
      </c>
      <c r="E13" s="128">
        <f>(1*10^-9*(5*10^8*SQRT(fsw*kHz)+(1.09655978*10^10)*SQRT(ftyp)*SQRT(E11)))/SQRT(fsw*kHz)</f>
        <v>4.33706789315985</v>
      </c>
      <c r="G13" s="153">
        <f t="shared" si="19"/>
        <v>182</v>
      </c>
      <c r="H13" s="153">
        <f t="shared" si="0"/>
        <v>0.3312477892105501</v>
      </c>
      <c r="I13" s="153">
        <f t="shared" si="1"/>
        <v>5.138213936786632</v>
      </c>
      <c r="J13" s="153">
        <f t="shared" si="2"/>
        <v>4.690847192418179</v>
      </c>
      <c r="K13" s="153">
        <f t="shared" si="3"/>
        <v>4.686728127430264</v>
      </c>
      <c r="L13" s="153">
        <f t="shared" si="4"/>
        <v>0.00045657096939147324</v>
      </c>
      <c r="M13" s="153">
        <f t="shared" si="5"/>
        <v>0.5213675213675213</v>
      </c>
      <c r="N13" s="153">
        <f t="shared" si="15"/>
        <v>2.630414988960812</v>
      </c>
      <c r="O13" s="153">
        <f t="shared" si="6"/>
        <v>0.07325223505585884</v>
      </c>
      <c r="P13" s="153">
        <f t="shared" si="7"/>
        <v>5.543511116970029</v>
      </c>
      <c r="Q13" s="153">
        <f t="shared" si="8"/>
        <v>2.281280155024441</v>
      </c>
      <c r="R13" s="153">
        <f t="shared" si="9"/>
        <v>0.06779950800763512</v>
      </c>
      <c r="S13" s="153">
        <f t="shared" si="10"/>
        <v>0.7603833865814695</v>
      </c>
      <c r="T13" s="153">
        <f t="shared" si="16"/>
        <v>2.4769702746230093</v>
      </c>
      <c r="U13" s="153">
        <f t="shared" si="11"/>
        <v>1.7052870769324135</v>
      </c>
      <c r="V13" s="153">
        <f t="shared" si="12"/>
        <v>3.833263214726713</v>
      </c>
      <c r="W13" s="153">
        <f t="shared" si="17"/>
        <v>2.4769702746230093</v>
      </c>
      <c r="X13" s="163">
        <f t="shared" si="13"/>
        <v>9.25704730052556</v>
      </c>
      <c r="Y13" s="163">
        <f t="shared" si="14"/>
        <v>-0.10471571906354513</v>
      </c>
      <c r="Z13" s="164">
        <f t="shared" si="18"/>
        <v>5.13087691337926</v>
      </c>
    </row>
    <row r="14" spans="1:26" ht="15.75">
      <c r="A14" s="128" t="s">
        <v>328</v>
      </c>
      <c r="B14" s="128">
        <v>0.156</v>
      </c>
      <c r="D14" s="262"/>
      <c r="E14" s="263"/>
      <c r="G14" s="154">
        <f t="shared" si="19"/>
        <v>183</v>
      </c>
      <c r="H14" s="154">
        <f t="shared" si="0"/>
        <v>0.3276374860345266</v>
      </c>
      <c r="I14" s="154">
        <f t="shared" si="1"/>
        <v>5.112868505438071</v>
      </c>
      <c r="J14" s="154">
        <f t="shared" si="2"/>
        <v>4.639743175833853</v>
      </c>
      <c r="K14" s="154">
        <f t="shared" si="3"/>
        <v>4.635625107946585</v>
      </c>
      <c r="L14" s="154">
        <f t="shared" si="4"/>
        <v>0.00045657096939147324</v>
      </c>
      <c r="M14" s="154">
        <f t="shared" si="5"/>
        <v>0.5213675213675213</v>
      </c>
      <c r="N14" s="154">
        <f t="shared" si="15"/>
        <v>2.6227267416666704</v>
      </c>
      <c r="O14" s="154">
        <f t="shared" si="6"/>
        <v>0.07325223505585884</v>
      </c>
      <c r="P14" s="154">
        <f t="shared" si="7"/>
        <v>5.4242205377375186</v>
      </c>
      <c r="Q14" s="154">
        <f t="shared" si="8"/>
        <v>2.255810279499029</v>
      </c>
      <c r="R14" s="154">
        <f t="shared" si="9"/>
        <v>0.06779950800763512</v>
      </c>
      <c r="S14" s="154">
        <f t="shared" si="10"/>
        <v>0.7603833865814695</v>
      </c>
      <c r="T14" s="154">
        <f t="shared" si="16"/>
        <v>2.4710512920796894</v>
      </c>
      <c r="U14" s="154">
        <f t="shared" si="11"/>
        <v>1.6987008087524549</v>
      </c>
      <c r="V14" s="154">
        <f t="shared" si="12"/>
        <v>3.833263214726713</v>
      </c>
      <c r="W14" s="154">
        <f t="shared" si="17"/>
        <v>2.4710512920796894</v>
      </c>
      <c r="X14" s="163">
        <f t="shared" si="13"/>
        <v>9.206462342599192</v>
      </c>
      <c r="Y14" s="165">
        <f t="shared" si="14"/>
        <v>-0.10414350201948205</v>
      </c>
      <c r="Z14" s="166">
        <f t="shared" si="18"/>
        <v>5.127009135054524</v>
      </c>
    </row>
    <row r="15" spans="1:26" ht="15.75">
      <c r="A15" s="128" t="s">
        <v>329</v>
      </c>
      <c r="B15" s="128">
        <v>0.088</v>
      </c>
      <c r="D15" s="128" t="s">
        <v>328</v>
      </c>
      <c r="E15" s="128">
        <v>0.156</v>
      </c>
      <c r="G15" s="153">
        <f t="shared" si="19"/>
        <v>184</v>
      </c>
      <c r="H15" s="153">
        <f t="shared" si="0"/>
        <v>0.32408588639562447</v>
      </c>
      <c r="I15" s="153">
        <f t="shared" si="1"/>
        <v>5.087798567908516</v>
      </c>
      <c r="J15" s="153">
        <f t="shared" si="2"/>
        <v>4.589470110665059</v>
      </c>
      <c r="K15" s="153">
        <f t="shared" si="3"/>
        <v>4.585353023665579</v>
      </c>
      <c r="L15" s="153">
        <f t="shared" si="4"/>
        <v>0.00045657096939147324</v>
      </c>
      <c r="M15" s="153">
        <f t="shared" si="5"/>
        <v>0.5213675213675213</v>
      </c>
      <c r="N15" s="153">
        <f t="shared" si="15"/>
        <v>2.615108204865913</v>
      </c>
      <c r="O15" s="153">
        <f t="shared" si="6"/>
        <v>0.07325223505585884</v>
      </c>
      <c r="P15" s="153">
        <f t="shared" si="7"/>
        <v>5.308135579900914</v>
      </c>
      <c r="Q15" s="153">
        <f t="shared" si="8"/>
        <v>2.2307545442024255</v>
      </c>
      <c r="R15" s="153">
        <f t="shared" si="9"/>
        <v>0.06779950800763512</v>
      </c>
      <c r="S15" s="153">
        <f t="shared" si="10"/>
        <v>0.7603833865814695</v>
      </c>
      <c r="T15" s="153">
        <f t="shared" si="16"/>
        <v>2.4651873495996055</v>
      </c>
      <c r="U15" s="153">
        <f t="shared" si="11"/>
        <v>1.6921861304440178</v>
      </c>
      <c r="V15" s="153">
        <f t="shared" si="12"/>
        <v>3.833263214726713</v>
      </c>
      <c r="W15" s="153">
        <f t="shared" si="17"/>
        <v>2.4651873495996055</v>
      </c>
      <c r="X15" s="163">
        <f t="shared" si="13"/>
        <v>9.156427221172022</v>
      </c>
      <c r="Y15" s="163">
        <f t="shared" si="14"/>
        <v>-0.1035775047258979</v>
      </c>
      <c r="Z15" s="164">
        <f t="shared" si="18"/>
        <v>5.12318165577811</v>
      </c>
    </row>
    <row r="16" spans="1:26" ht="15.75">
      <c r="A16" s="128" t="s">
        <v>330</v>
      </c>
      <c r="B16" s="128">
        <v>0.1223</v>
      </c>
      <c r="D16" s="128" t="s">
        <v>329</v>
      </c>
      <c r="E16" s="128">
        <v>0.088</v>
      </c>
      <c r="G16" s="154">
        <f t="shared" si="19"/>
        <v>185</v>
      </c>
      <c r="H16" s="154">
        <f t="shared" si="0"/>
        <v>0.3205917244648725</v>
      </c>
      <c r="I16" s="154">
        <f t="shared" si="1"/>
        <v>5.062999656730632</v>
      </c>
      <c r="J16" s="154">
        <f t="shared" si="2"/>
        <v>4.540010079041304</v>
      </c>
      <c r="K16" s="154">
        <f t="shared" si="3"/>
        <v>4.535893957066353</v>
      </c>
      <c r="L16" s="154">
        <f t="shared" si="4"/>
        <v>0.00045657096939147324</v>
      </c>
      <c r="M16" s="154">
        <f t="shared" si="5"/>
        <v>0.5213675213675213</v>
      </c>
      <c r="N16" s="154">
        <f t="shared" si="15"/>
        <v>2.6075583728004563</v>
      </c>
      <c r="O16" s="154">
        <f t="shared" si="6"/>
        <v>0.07325223505585884</v>
      </c>
      <c r="P16" s="154">
        <f t="shared" si="7"/>
        <v>5.195153273920024</v>
      </c>
      <c r="Q16" s="154">
        <f t="shared" si="8"/>
        <v>2.206104018996421</v>
      </c>
      <c r="R16" s="154">
        <f t="shared" si="9"/>
        <v>0.06779950800763512</v>
      </c>
      <c r="S16" s="154">
        <f t="shared" si="10"/>
        <v>0.7603833865814695</v>
      </c>
      <c r="T16" s="154">
        <f t="shared" si="16"/>
        <v>2.4593776514314643</v>
      </c>
      <c r="U16" s="154">
        <f t="shared" si="11"/>
        <v>1.6857418810902665</v>
      </c>
      <c r="V16" s="154">
        <f t="shared" si="12"/>
        <v>3.833263214726713</v>
      </c>
      <c r="W16" s="154">
        <f t="shared" si="17"/>
        <v>2.4593776514314643</v>
      </c>
      <c r="X16" s="163">
        <f t="shared" si="13"/>
        <v>9.106933019976497</v>
      </c>
      <c r="Y16" s="165">
        <f t="shared" si="14"/>
        <v>-0.10301762632197413</v>
      </c>
      <c r="Z16" s="166">
        <f>MIN(6,MAX(0.5,Beta*G*($Y16-Voff_trim)/(MAX(0,MIN(4.5,W16)-Alpha1_A)+MAX(0,MIN(4.5,W16)-Alpha1_B)-Alpha1_C)+Alpha2))</f>
        <v>5.119393944440098</v>
      </c>
    </row>
    <row r="17" spans="1:26" ht="15.75">
      <c r="A17" s="128" t="s">
        <v>331</v>
      </c>
      <c r="B17" s="128">
        <v>0.5</v>
      </c>
      <c r="D17" s="128" t="s">
        <v>330</v>
      </c>
      <c r="E17" s="128">
        <v>0.1223</v>
      </c>
      <c r="G17" s="153">
        <f t="shared" si="19"/>
        <v>186</v>
      </c>
      <c r="H17" s="153">
        <f t="shared" si="0"/>
        <v>0.31715376834923864</v>
      </c>
      <c r="I17" s="153">
        <f t="shared" si="1"/>
        <v>5.03846740051165</v>
      </c>
      <c r="J17" s="153">
        <f t="shared" si="2"/>
        <v>4.491345643456963</v>
      </c>
      <c r="K17" s="153">
        <f t="shared" si="3"/>
        <v>4.487230470983509</v>
      </c>
      <c r="L17" s="153">
        <f t="shared" si="4"/>
        <v>0.00045657096939147324</v>
      </c>
      <c r="M17" s="153">
        <f t="shared" si="5"/>
        <v>0.5213675213675213</v>
      </c>
      <c r="N17" s="153">
        <f t="shared" si="15"/>
        <v>2.60007625955694</v>
      </c>
      <c r="O17" s="153">
        <f t="shared" si="6"/>
        <v>0.07325223505585884</v>
      </c>
      <c r="P17" s="153">
        <f t="shared" si="7"/>
        <v>5.085174490910399</v>
      </c>
      <c r="Q17" s="153">
        <f t="shared" si="8"/>
        <v>2.181850013153215</v>
      </c>
      <c r="R17" s="153">
        <f t="shared" si="9"/>
        <v>0.06779950800763512</v>
      </c>
      <c r="S17" s="153">
        <f t="shared" si="10"/>
        <v>0.7603833865814695</v>
      </c>
      <c r="T17" s="153">
        <f t="shared" si="16"/>
        <v>2.453621417535329</v>
      </c>
      <c r="U17" s="153">
        <f t="shared" si="11"/>
        <v>1.6793669247403187</v>
      </c>
      <c r="V17" s="153">
        <f t="shared" si="12"/>
        <v>3.833263214726713</v>
      </c>
      <c r="W17" s="153">
        <f t="shared" si="17"/>
        <v>2.453621417535329</v>
      </c>
      <c r="X17" s="163">
        <f t="shared" si="13"/>
        <v>9.057971014492752</v>
      </c>
      <c r="Y17" s="163">
        <f t="shared" si="14"/>
        <v>-0.102463768115942</v>
      </c>
      <c r="Z17" s="164">
        <f t="shared" si="18"/>
        <v>5.115645479623069</v>
      </c>
    </row>
    <row r="18" spans="1:26" ht="15.75">
      <c r="A18" s="128" t="s">
        <v>332</v>
      </c>
      <c r="B18" s="128">
        <f>(b_1^3/(27*a_1^3))-(d_1^3/27)+SQRT((ftyp)^2*B10^2/(4*a_1^2*c_1^2*(fsw*kHz)^2))+(b_1^3*(ftyp)*B10/(27*a_1^4*c_1*(fsw*kHz))-(d_1^3*(ftyp)*B10/(27*a_1*c_1*(fsw*kHz)))+(b_1*d_1^2*(ftyp)*B10/(9*a_1^2*c_1*(fsw*kHz)))-(b_1^2*d_1*(ftyp)*B10/(9*a_1^3*c_1*(fsw*kHz))))</f>
        <v>3.210959908571736</v>
      </c>
      <c r="D18" s="128" t="s">
        <v>331</v>
      </c>
      <c r="E18" s="128">
        <v>0.5</v>
      </c>
      <c r="G18" s="154">
        <f t="shared" si="19"/>
        <v>187</v>
      </c>
      <c r="H18" s="154">
        <f t="shared" si="0"/>
        <v>0.3137708190056982</v>
      </c>
      <c r="I18" s="154">
        <f t="shared" si="1"/>
        <v>5.014197521364529</v>
      </c>
      <c r="J18" s="154">
        <f t="shared" si="2"/>
        <v>4.44345983139986</v>
      </c>
      <c r="K18" s="154">
        <f t="shared" si="3"/>
        <v>4.439345593236023</v>
      </c>
      <c r="L18" s="154">
        <f t="shared" si="4"/>
        <v>0.00045657096939147324</v>
      </c>
      <c r="M18" s="154">
        <f t="shared" si="5"/>
        <v>0.5213675213675213</v>
      </c>
      <c r="N18" s="154">
        <f t="shared" si="15"/>
        <v>2.5926608985710486</v>
      </c>
      <c r="O18" s="154">
        <f t="shared" si="6"/>
        <v>0.07325223505585884</v>
      </c>
      <c r="P18" s="154">
        <f t="shared" si="7"/>
        <v>4.978103779743444</v>
      </c>
      <c r="Q18" s="154">
        <f t="shared" si="8"/>
        <v>2.157984067694404</v>
      </c>
      <c r="R18" s="154">
        <f t="shared" si="9"/>
        <v>0.06779950800763512</v>
      </c>
      <c r="S18" s="154">
        <f t="shared" si="10"/>
        <v>0.7603833865814695</v>
      </c>
      <c r="T18" s="154">
        <f t="shared" si="16"/>
        <v>2.4479178831900343</v>
      </c>
      <c r="U18" s="154">
        <f t="shared" si="11"/>
        <v>1.6730601497417072</v>
      </c>
      <c r="V18" s="154">
        <f t="shared" si="12"/>
        <v>3.833263214726713</v>
      </c>
      <c r="W18" s="154">
        <f t="shared" si="17"/>
        <v>2.4479178831900343</v>
      </c>
      <c r="X18" s="163">
        <f t="shared" si="13"/>
        <v>9.009532666821668</v>
      </c>
      <c r="Y18" s="165">
        <f t="shared" si="14"/>
        <v>-0.1019158335270867</v>
      </c>
      <c r="Z18" s="166">
        <f t="shared" si="18"/>
        <v>5.111935749374298</v>
      </c>
    </row>
    <row r="19" spans="1:26" ht="15.75">
      <c r="A19" s="128" t="s">
        <v>333</v>
      </c>
      <c r="B19" s="128">
        <f>(b_1*d_1^2/(9*a_1))-(b_1^2*d_1/(9*a_1^2))+(ftyp*B10/(2*a_1*c_1*fsw*kHz))</f>
        <v>3.2068697179594006</v>
      </c>
      <c r="D19" s="128" t="s">
        <v>332</v>
      </c>
      <c r="E19" s="128">
        <f>(b_1^3/(27*a_1^3))-(d_1^3/27)+SQRT((ftyp)^2*E11^2/(4*a_1^2*c_1^2*(fsw*kHz)^2))+(b_1^3*(ftyp)*E11/(27*a_1^4*c_1*(fsw*kHz))-(d_1^3*(ftyp)*E11/(27*a_1*c_1*(fsw*kHz)))+(b_1*d_1^2*(ftyp)*E11/(9*a_1^2*c_1*(fsw*kHz)))-(b_1^2*d_1*(ftyp)*E11/(9*a_1^3*c_1*(fsw*kHz))))</f>
        <v>3.210959908571736</v>
      </c>
      <c r="G19" s="153">
        <f t="shared" si="19"/>
        <v>188</v>
      </c>
      <c r="H19" s="153">
        <f t="shared" si="0"/>
        <v>0.3104417091956276</v>
      </c>
      <c r="I19" s="153">
        <f t="shared" si="1"/>
        <v>4.990185832421101</v>
      </c>
      <c r="J19" s="153">
        <f t="shared" si="2"/>
        <v>4.396336120550658</v>
      </c>
      <c r="K19" s="153">
        <f t="shared" si="3"/>
        <v>4.3922228018269305</v>
      </c>
      <c r="L19" s="153">
        <f t="shared" si="4"/>
        <v>0.00045657096939147324</v>
      </c>
      <c r="M19" s="153">
        <f t="shared" si="5"/>
        <v>0.5213675213675213</v>
      </c>
      <c r="N19" s="153">
        <f t="shared" si="15"/>
        <v>2.5853113421467837</v>
      </c>
      <c r="O19" s="153">
        <f t="shared" si="6"/>
        <v>0.07325223505585884</v>
      </c>
      <c r="P19" s="153">
        <f t="shared" si="7"/>
        <v>4.873849211879863</v>
      </c>
      <c r="Q19" s="153">
        <f t="shared" si="8"/>
        <v>2.134497948014473</v>
      </c>
      <c r="R19" s="153">
        <f t="shared" si="9"/>
        <v>0.06779950800763512</v>
      </c>
      <c r="S19" s="153">
        <f t="shared" si="10"/>
        <v>0.7603833865814695</v>
      </c>
      <c r="T19" s="153">
        <f t="shared" si="16"/>
        <v>2.4422662986124384</v>
      </c>
      <c r="U19" s="153">
        <f t="shared" si="11"/>
        <v>1.666820468094145</v>
      </c>
      <c r="V19" s="153">
        <f t="shared" si="12"/>
        <v>3.833263214726713</v>
      </c>
      <c r="W19" s="153">
        <f t="shared" si="17"/>
        <v>2.4422662986124384</v>
      </c>
      <c r="X19" s="163">
        <f t="shared" si="13"/>
        <v>8.961609620721553</v>
      </c>
      <c r="Y19" s="163">
        <f t="shared" si="14"/>
        <v>-0.1013737280296022</v>
      </c>
      <c r="Z19" s="164">
        <f t="shared" si="18"/>
        <v>5.108264250984512</v>
      </c>
    </row>
    <row r="20" spans="1:26" ht="15.75">
      <c r="A20" s="128" t="s">
        <v>334</v>
      </c>
      <c r="B20" s="128">
        <f>(d_1^2/9)+(b_1^2/(9*a_1^2))-(2*b_1*d_1/(9*a_1))</f>
        <v>0.00045657096939147324</v>
      </c>
      <c r="D20" s="128" t="s">
        <v>333</v>
      </c>
      <c r="E20" s="128">
        <f>(b_1*d_1^2/(9*a_1))-(b_1^2*d_1/(9*a_1^2))+(ftyp*E11/(2*a_1*c_1*fsw*kHz))</f>
        <v>3.2068697179594006</v>
      </c>
      <c r="G20" s="154">
        <f t="shared" si="19"/>
        <v>189</v>
      </c>
      <c r="H20" s="154">
        <f t="shared" si="0"/>
        <v>0.3071653024778215</v>
      </c>
      <c r="I20" s="154">
        <f t="shared" si="1"/>
        <v>4.966428235424164</v>
      </c>
      <c r="J20" s="154">
        <f t="shared" si="2"/>
        <v>4.349958424528969</v>
      </c>
      <c r="K20" s="154">
        <f t="shared" si="3"/>
        <v>4.345846010689707</v>
      </c>
      <c r="L20" s="154">
        <f t="shared" si="4"/>
        <v>0.00045657096939147324</v>
      </c>
      <c r="M20" s="154">
        <f t="shared" si="5"/>
        <v>0.5213675213675213</v>
      </c>
      <c r="N20" s="154">
        <f t="shared" si="15"/>
        <v>2.578026660990167</v>
      </c>
      <c r="O20" s="154">
        <f t="shared" si="6"/>
        <v>0.07325223505585884</v>
      </c>
      <c r="P20" s="154">
        <f t="shared" si="7"/>
        <v>4.772322233530607</v>
      </c>
      <c r="Q20" s="154">
        <f t="shared" si="8"/>
        <v>2.111383636776751</v>
      </c>
      <c r="R20" s="154">
        <f t="shared" si="9"/>
        <v>0.06779950800763512</v>
      </c>
      <c r="S20" s="154">
        <f t="shared" si="10"/>
        <v>0.7603833865814695</v>
      </c>
      <c r="T20" s="154">
        <f t="shared" si="16"/>
        <v>2.4366659285881194</v>
      </c>
      <c r="U20" s="154">
        <f t="shared" si="11"/>
        <v>1.6606468148238056</v>
      </c>
      <c r="V20" s="154">
        <f t="shared" si="12"/>
        <v>3.833263214726713</v>
      </c>
      <c r="W20" s="154">
        <f t="shared" si="17"/>
        <v>2.4366659285881194</v>
      </c>
      <c r="X20" s="163">
        <f t="shared" si="13"/>
        <v>8.914193696802391</v>
      </c>
      <c r="Y20" s="165">
        <f t="shared" si="14"/>
        <v>-0.10083735909822863</v>
      </c>
      <c r="Z20" s="166">
        <f t="shared" si="18"/>
        <v>5.104630490772892</v>
      </c>
    </row>
    <row r="21" spans="1:26" ht="15.75">
      <c r="A21" s="128" t="s">
        <v>335</v>
      </c>
      <c r="B21" s="128">
        <f>((b_1*c_1*fsw*kHz)+(2*a_1*c_1*d_1*fsw*kHz))/(3*a_1*c_1*fsw*kHz)</f>
        <v>0.5213675213675213</v>
      </c>
      <c r="D21" s="128" t="s">
        <v>334</v>
      </c>
      <c r="E21" s="128">
        <f>(d_1^2/9)+(b_1^2/(9*a_1^2))-(2*b_1*d_1/(9*a_1))</f>
        <v>0.00045657096939147324</v>
      </c>
      <c r="G21" s="153">
        <f t="shared" si="19"/>
        <v>190</v>
      </c>
      <c r="H21" s="153">
        <f t="shared" si="0"/>
        <v>0.3039404922385114</v>
      </c>
      <c r="I21" s="153">
        <f t="shared" si="1"/>
        <v>4.942920718395616</v>
      </c>
      <c r="J21" s="153">
        <f t="shared" si="2"/>
        <v>4.30431107916322</v>
      </c>
      <c r="K21" s="153">
        <f t="shared" si="3"/>
        <v>4.300199555958406</v>
      </c>
      <c r="L21" s="153">
        <f t="shared" si="4"/>
        <v>0.00045657096939147324</v>
      </c>
      <c r="M21" s="153">
        <f t="shared" si="5"/>
        <v>0.5213675213675213</v>
      </c>
      <c r="N21" s="153">
        <f t="shared" si="15"/>
        <v>2.5708059437568607</v>
      </c>
      <c r="O21" s="153">
        <f t="shared" si="6"/>
        <v>0.07325223505585884</v>
      </c>
      <c r="P21" s="153">
        <f t="shared" si="7"/>
        <v>4.67343752476282</v>
      </c>
      <c r="Q21" s="153">
        <f t="shared" si="8"/>
        <v>2.088633327070416</v>
      </c>
      <c r="R21" s="153">
        <f t="shared" si="9"/>
        <v>0.06779950800763512</v>
      </c>
      <c r="S21" s="153">
        <f t="shared" si="10"/>
        <v>0.7603833865814695</v>
      </c>
      <c r="T21" s="153">
        <f t="shared" si="16"/>
        <v>2.431116052113082</v>
      </c>
      <c r="U21" s="153">
        <f t="shared" si="11"/>
        <v>1.6545381473773646</v>
      </c>
      <c r="V21" s="153">
        <f t="shared" si="12"/>
        <v>3.833263214726713</v>
      </c>
      <c r="W21" s="153">
        <f t="shared" si="17"/>
        <v>2.431116052113082</v>
      </c>
      <c r="X21" s="163">
        <f t="shared" si="13"/>
        <v>8.867276887871853</v>
      </c>
      <c r="Y21" s="163">
        <f t="shared" si="14"/>
        <v>-0.1003066361556064</v>
      </c>
      <c r="Z21" s="164">
        <f t="shared" si="18"/>
        <v>5.101033983878247</v>
      </c>
    </row>
    <row r="22" spans="1:26" ht="15.75">
      <c r="A22" s="128" t="s">
        <v>322</v>
      </c>
      <c r="B22" s="128">
        <f>(B18+B19)^(1/3)+(B20/(B18^(1/3)))+B21</f>
        <v>2.380035055115113</v>
      </c>
      <c r="D22" s="128" t="s">
        <v>335</v>
      </c>
      <c r="E22" s="128">
        <f>((b_1*c_1*fsw*kHz)+(2*a_1*c_1*d_1*fsw*kHz))/(3*a_1*c_1*fsw*kHz)</f>
        <v>0.5213675213675213</v>
      </c>
      <c r="G22" s="154">
        <f t="shared" si="19"/>
        <v>191</v>
      </c>
      <c r="H22" s="154">
        <f t="shared" si="0"/>
        <v>0.30076620075683946</v>
      </c>
      <c r="I22" s="154">
        <f t="shared" si="1"/>
        <v>4.919659353377837</v>
      </c>
      <c r="J22" s="154">
        <f t="shared" si="2"/>
        <v>4.259378829262391</v>
      </c>
      <c r="K22" s="154">
        <f t="shared" si="3"/>
        <v>4.255268182739655</v>
      </c>
      <c r="L22" s="154">
        <f t="shared" si="4"/>
        <v>0.00045657096939147324</v>
      </c>
      <c r="M22" s="154">
        <f t="shared" si="5"/>
        <v>0.5213675213675213</v>
      </c>
      <c r="N22" s="154">
        <f t="shared" si="15"/>
        <v>2.563648296613222</v>
      </c>
      <c r="O22" s="154">
        <f t="shared" si="6"/>
        <v>0.07325223505585884</v>
      </c>
      <c r="P22" s="154">
        <f t="shared" si="7"/>
        <v>4.577112865190104</v>
      </c>
      <c r="Q22" s="154">
        <f t="shared" si="8"/>
        <v>2.06623941581762</v>
      </c>
      <c r="R22" s="154">
        <f t="shared" si="9"/>
        <v>0.06779950800763512</v>
      </c>
      <c r="S22" s="154">
        <f t="shared" si="10"/>
        <v>0.7603833865814695</v>
      </c>
      <c r="T22" s="154">
        <f t="shared" si="16"/>
        <v>2.4256159620461197</v>
      </c>
      <c r="U22" s="154">
        <f t="shared" si="11"/>
        <v>1.6484934450350748</v>
      </c>
      <c r="V22" s="154">
        <f t="shared" si="12"/>
        <v>3.833263214726713</v>
      </c>
      <c r="W22" s="154">
        <f t="shared" si="17"/>
        <v>2.4256159620461197</v>
      </c>
      <c r="X22" s="163">
        <f t="shared" si="13"/>
        <v>8.820851354427498</v>
      </c>
      <c r="Y22" s="165">
        <f t="shared" si="14"/>
        <v>-0.09978147052128386</v>
      </c>
      <c r="Z22" s="166">
        <f t="shared" si="18"/>
        <v>5.097474254056011</v>
      </c>
    </row>
    <row r="23" spans="1:26" ht="13.5">
      <c r="A23" s="262"/>
      <c r="B23" s="263"/>
      <c r="D23" s="128" t="s">
        <v>322</v>
      </c>
      <c r="E23" s="128">
        <f>(E19+E20)^(1/3)+(E21/(E19^(1/3)))+E22</f>
        <v>2.380035055115113</v>
      </c>
      <c r="G23" s="153">
        <f t="shared" si="19"/>
        <v>192</v>
      </c>
      <c r="H23" s="153">
        <f t="shared" si="0"/>
        <v>0.2976413783043148</v>
      </c>
      <c r="I23" s="153">
        <f t="shared" si="1"/>
        <v>4.896640294245661</v>
      </c>
      <c r="J23" s="153">
        <f t="shared" si="2"/>
        <v>4.215146815868774</v>
      </c>
      <c r="K23" s="153">
        <f t="shared" si="3"/>
        <v>4.211037032365661</v>
      </c>
      <c r="L23" s="153">
        <f t="shared" si="4"/>
        <v>0.00045657096939147324</v>
      </c>
      <c r="M23" s="153">
        <f t="shared" si="5"/>
        <v>0.5213675213675213</v>
      </c>
      <c r="N23" s="153">
        <f t="shared" si="15"/>
        <v>2.556552842810321</v>
      </c>
      <c r="O23" s="153">
        <f t="shared" si="6"/>
        <v>0.07325223505585884</v>
      </c>
      <c r="P23" s="153">
        <f t="shared" si="7"/>
        <v>4.483269005906987</v>
      </c>
      <c r="Q23" s="153">
        <f t="shared" si="8"/>
        <v>2.044194497420358</v>
      </c>
      <c r="R23" s="153">
        <f t="shared" si="9"/>
        <v>0.06779950800763512</v>
      </c>
      <c r="S23" s="153">
        <f t="shared" si="10"/>
        <v>0.7603833865814695</v>
      </c>
      <c r="T23" s="153">
        <f t="shared" si="16"/>
        <v>2.4201649647714376</v>
      </c>
      <c r="U23" s="153">
        <f t="shared" si="11"/>
        <v>1.6425117083421836</v>
      </c>
      <c r="V23" s="153">
        <f t="shared" si="12"/>
        <v>3.833263214726713</v>
      </c>
      <c r="W23" s="153">
        <f t="shared" si="17"/>
        <v>2.4201649647714376</v>
      </c>
      <c r="X23" s="163">
        <f t="shared" si="13"/>
        <v>8.774909420289854</v>
      </c>
      <c r="Y23" s="163">
        <f t="shared" si="14"/>
        <v>-0.09926177536231882</v>
      </c>
      <c r="Z23" s="164">
        <f t="shared" si="18"/>
        <v>5.093950833480995</v>
      </c>
    </row>
    <row r="24" spans="1:26" ht="15.75">
      <c r="A24" s="128" t="s">
        <v>324</v>
      </c>
      <c r="B24" s="128">
        <v>0.313</v>
      </c>
      <c r="D24" s="262"/>
      <c r="E24" s="263"/>
      <c r="G24" s="154">
        <f t="shared" si="19"/>
        <v>193</v>
      </c>
      <c r="H24" s="154">
        <f t="shared" si="0"/>
        <v>0.2945650022768466</v>
      </c>
      <c r="I24" s="154">
        <f t="shared" si="1"/>
        <v>4.873859774586357</v>
      </c>
      <c r="J24" s="154">
        <f t="shared" si="2"/>
        <v>4.171600563971858</v>
      </c>
      <c r="K24" s="154">
        <f t="shared" si="3"/>
        <v>4.167491630108341</v>
      </c>
      <c r="L24" s="154">
        <f t="shared" si="4"/>
        <v>0.00045657096939147324</v>
      </c>
      <c r="M24" s="154">
        <f t="shared" si="5"/>
        <v>0.5213675213675213</v>
      </c>
      <c r="N24" s="154">
        <f t="shared" si="15"/>
        <v>2.549518722270482</v>
      </c>
      <c r="O24" s="154">
        <f t="shared" si="6"/>
        <v>0.07325223505585884</v>
      </c>
      <c r="P24" s="154">
        <f t="shared" si="7"/>
        <v>4.3918295473466085</v>
      </c>
      <c r="Q24" s="154">
        <f t="shared" si="8"/>
        <v>2.0224913576371564</v>
      </c>
      <c r="R24" s="154">
        <f t="shared" si="9"/>
        <v>0.06779950800763512</v>
      </c>
      <c r="S24" s="154">
        <f t="shared" si="10"/>
        <v>0.7603833865814695</v>
      </c>
      <c r="T24" s="154">
        <f t="shared" si="16"/>
        <v>2.4147623798711995</v>
      </c>
      <c r="U24" s="154">
        <f t="shared" si="11"/>
        <v>1.6365919585580273</v>
      </c>
      <c r="V24" s="154">
        <f t="shared" si="12"/>
        <v>3.833263214726713</v>
      </c>
      <c r="W24" s="154">
        <f t="shared" si="17"/>
        <v>2.4147623798711995</v>
      </c>
      <c r="X24" s="163">
        <f t="shared" si="13"/>
        <v>8.729443568371254</v>
      </c>
      <c r="Y24" s="165">
        <f t="shared" si="14"/>
        <v>-0.09874746564541563</v>
      </c>
      <c r="Z24" s="166">
        <f t="shared" si="18"/>
        <v>5.090463262555611</v>
      </c>
    </row>
    <row r="25" spans="1:26" ht="15.75">
      <c r="A25" s="128" t="s">
        <v>325</v>
      </c>
      <c r="B25" s="128">
        <v>0.401</v>
      </c>
      <c r="D25" s="128" t="s">
        <v>324</v>
      </c>
      <c r="E25" s="128">
        <v>0.313</v>
      </c>
      <c r="G25" s="153">
        <f t="shared" si="19"/>
        <v>194</v>
      </c>
      <c r="H25" s="153">
        <f t="shared" si="0"/>
        <v>0.2915360763580152</v>
      </c>
      <c r="I25" s="153">
        <f t="shared" si="1"/>
        <v>4.85131410564519</v>
      </c>
      <c r="J25" s="153">
        <f t="shared" si="2"/>
        <v>4.128725970664394</v>
      </c>
      <c r="K25" s="153">
        <f t="shared" si="3"/>
        <v>4.124617873335607</v>
      </c>
      <c r="L25" s="153">
        <f t="shared" si="4"/>
        <v>0.00045657096939147324</v>
      </c>
      <c r="M25" s="153">
        <f t="shared" si="5"/>
        <v>0.5213675213675213</v>
      </c>
      <c r="N25" s="153">
        <f t="shared" si="15"/>
        <v>2.542545091185907</v>
      </c>
      <c r="O25" s="153">
        <f t="shared" si="6"/>
        <v>0.07325223505585884</v>
      </c>
      <c r="P25" s="153">
        <f t="shared" si="7"/>
        <v>4.302720822758793</v>
      </c>
      <c r="Q25" s="153">
        <f t="shared" si="8"/>
        <v>2.001122967680139</v>
      </c>
      <c r="R25" s="153">
        <f t="shared" si="9"/>
        <v>0.06779950800763512</v>
      </c>
      <c r="S25" s="153">
        <f t="shared" si="10"/>
        <v>0.7603833865814695</v>
      </c>
      <c r="T25" s="153">
        <f t="shared" si="16"/>
        <v>2.409407539807648</v>
      </c>
      <c r="U25" s="153">
        <f t="shared" si="11"/>
        <v>1.630733237122161</v>
      </c>
      <c r="V25" s="153">
        <f t="shared" si="12"/>
        <v>3.833263214726713</v>
      </c>
      <c r="W25" s="153">
        <f t="shared" si="17"/>
        <v>2.409407539807648</v>
      </c>
      <c r="X25" s="163">
        <f t="shared" si="13"/>
        <v>8.684446436575525</v>
      </c>
      <c r="Y25" s="163">
        <f t="shared" si="14"/>
        <v>-0.09823845809054234</v>
      </c>
      <c r="Z25" s="164">
        <f t="shared" si="18"/>
        <v>5.087011089723425</v>
      </c>
    </row>
    <row r="26" spans="1:26" ht="15.75">
      <c r="A26" s="128" t="s">
        <v>326</v>
      </c>
      <c r="B26" s="128">
        <v>0.1223</v>
      </c>
      <c r="D26" s="128" t="s">
        <v>325</v>
      </c>
      <c r="E26" s="128">
        <v>0.401</v>
      </c>
      <c r="G26" s="154">
        <f t="shared" si="19"/>
        <v>195</v>
      </c>
      <c r="H26" s="154">
        <f t="shared" si="0"/>
        <v>0.2885536297123014</v>
      </c>
      <c r="I26" s="154">
        <f t="shared" si="1"/>
        <v>4.828999674334189</v>
      </c>
      <c r="J26" s="154">
        <f t="shared" si="2"/>
        <v>4.086509293722515</v>
      </c>
      <c r="K26" s="154">
        <f t="shared" si="3"/>
        <v>4.082402020091721</v>
      </c>
      <c r="L26" s="154">
        <f t="shared" si="4"/>
        <v>0.00045657096939147324</v>
      </c>
      <c r="M26" s="154">
        <f t="shared" si="5"/>
        <v>0.5213675213675213</v>
      </c>
      <c r="N26" s="154">
        <f>(J26+K26)^(1/3)+(L26/(J26^(1/3)))+M26</f>
        <v>2.5356311216289757</v>
      </c>
      <c r="O26" s="154">
        <f t="shared" si="6"/>
        <v>0.07325223505585884</v>
      </c>
      <c r="P26" s="154">
        <f t="shared" si="7"/>
        <v>4.215871787022571</v>
      </c>
      <c r="Q26" s="154">
        <f t="shared" si="8"/>
        <v>1.9800824785234419</v>
      </c>
      <c r="R26" s="154">
        <f t="shared" si="9"/>
        <v>0.06779950800763512</v>
      </c>
      <c r="S26" s="154">
        <f t="shared" si="10"/>
        <v>0.7603833865814695</v>
      </c>
      <c r="T26" s="154">
        <f t="shared" si="16"/>
        <v>2.404099789614472</v>
      </c>
      <c r="U26" s="154">
        <f t="shared" si="11"/>
        <v>1.6249346051369193</v>
      </c>
      <c r="V26" s="154">
        <f t="shared" si="12"/>
        <v>3.833263214726713</v>
      </c>
      <c r="W26" s="154">
        <f t="shared" si="17"/>
        <v>2.404099789614472</v>
      </c>
      <c r="X26" s="163">
        <f t="shared" si="13"/>
        <v>8.639910813823857</v>
      </c>
      <c r="Y26" s="165">
        <f t="shared" si="14"/>
        <v>-0.09773467112597546</v>
      </c>
      <c r="Z26" s="166">
        <f t="shared" si="18"/>
        <v>5.083593871287889</v>
      </c>
    </row>
    <row r="27" spans="1:26" ht="15.75">
      <c r="A27" s="128" t="s">
        <v>327</v>
      </c>
      <c r="B27" s="128">
        <v>0.5</v>
      </c>
      <c r="D27" s="128" t="s">
        <v>326</v>
      </c>
      <c r="E27" s="128">
        <v>0.1223</v>
      </c>
      <c r="G27" s="153">
        <f t="shared" si="19"/>
        <v>196</v>
      </c>
      <c r="H27" s="153">
        <f t="shared" si="0"/>
        <v>0.2856167162070559</v>
      </c>
      <c r="I27" s="153">
        <f t="shared" si="1"/>
        <v>4.806912941301872</v>
      </c>
      <c r="J27" s="153">
        <f t="shared" si="2"/>
        <v>4.044937140592675</v>
      </c>
      <c r="K27" s="153">
        <f t="shared" si="3"/>
        <v>4.0408306780844425</v>
      </c>
      <c r="L27" s="153">
        <f t="shared" si="4"/>
        <v>0.00045657096939147324</v>
      </c>
      <c r="M27" s="153">
        <f t="shared" si="5"/>
        <v>0.5213675213675213</v>
      </c>
      <c r="N27" s="153">
        <f t="shared" si="15"/>
        <v>2.5287760011738234</v>
      </c>
      <c r="O27" s="153">
        <f t="shared" si="6"/>
        <v>0.07325223505585884</v>
      </c>
      <c r="P27" s="153">
        <f t="shared" si="7"/>
        <v>4.131213910523125</v>
      </c>
      <c r="Q27" s="153">
        <f t="shared" si="8"/>
        <v>1.9593632154143832</v>
      </c>
      <c r="R27" s="153">
        <f t="shared" si="9"/>
        <v>0.06779950800763512</v>
      </c>
      <c r="S27" s="153">
        <f t="shared" si="10"/>
        <v>0.7603833865814695</v>
      </c>
      <c r="T27" s="153">
        <f t="shared" si="16"/>
        <v>2.398838486597106</v>
      </c>
      <c r="U27" s="153">
        <f t="shared" si="11"/>
        <v>1.6191951428658125</v>
      </c>
      <c r="V27" s="153">
        <f t="shared" si="12"/>
        <v>3.833263214726713</v>
      </c>
      <c r="W27" s="153">
        <f t="shared" si="17"/>
        <v>2.398838486597106</v>
      </c>
      <c r="X27" s="163">
        <f t="shared" si="13"/>
        <v>8.595829636202307</v>
      </c>
      <c r="Y27" s="163">
        <f t="shared" si="14"/>
        <v>-0.09723602484472049</v>
      </c>
      <c r="Z27" s="164">
        <f t="shared" si="18"/>
        <v>5.080211171236029</v>
      </c>
    </row>
    <row r="28" spans="1:26" ht="15.75">
      <c r="A28" s="128" t="s">
        <v>336</v>
      </c>
      <c r="B28" s="128">
        <f>(b_2^3/(27*a_2^3))-(d_2^3/27)</f>
        <v>0.07325223505585884</v>
      </c>
      <c r="D28" s="128" t="s">
        <v>327</v>
      </c>
      <c r="E28" s="128">
        <v>0.5</v>
      </c>
      <c r="G28" s="154">
        <f t="shared" si="19"/>
        <v>197</v>
      </c>
      <c r="H28" s="154">
        <f t="shared" si="0"/>
        <v>0.2827244136620439</v>
      </c>
      <c r="I28" s="154">
        <f t="shared" si="1"/>
        <v>4.785050439061762</v>
      </c>
      <c r="J28" s="154">
        <f t="shared" si="2"/>
        <v>4.003996457768919</v>
      </c>
      <c r="K28" s="154">
        <f t="shared" si="3"/>
        <v>3.999890794062505</v>
      </c>
      <c r="L28" s="154">
        <f t="shared" si="4"/>
        <v>0.00045657096939147324</v>
      </c>
      <c r="M28" s="154">
        <f t="shared" si="5"/>
        <v>0.5213675213675213</v>
      </c>
      <c r="N28" s="154">
        <f t="shared" si="15"/>
        <v>2.5219789325288104</v>
      </c>
      <c r="O28" s="154">
        <f t="shared" si="6"/>
        <v>0.07325223505585884</v>
      </c>
      <c r="P28" s="154">
        <f t="shared" si="7"/>
        <v>4.0486810778381574</v>
      </c>
      <c r="Q28" s="154">
        <f t="shared" si="8"/>
        <v>1.9389586725791679</v>
      </c>
      <c r="R28" s="154">
        <f t="shared" si="9"/>
        <v>0.06779950800763512</v>
      </c>
      <c r="S28" s="154">
        <f t="shared" si="10"/>
        <v>0.7603833865814695</v>
      </c>
      <c r="T28" s="154">
        <f t="shared" si="16"/>
        <v>2.3936230000416647</v>
      </c>
      <c r="U28" s="154">
        <f t="shared" si="11"/>
        <v>1.6135139492472046</v>
      </c>
      <c r="V28" s="154">
        <f t="shared" si="12"/>
        <v>3.833263214726713</v>
      </c>
      <c r="W28" s="154">
        <f t="shared" si="17"/>
        <v>2.3936230000416647</v>
      </c>
      <c r="X28" s="163">
        <f t="shared" si="13"/>
        <v>8.55219598322666</v>
      </c>
      <c r="Y28" s="165">
        <f t="shared" si="14"/>
        <v>-0.09674244096225998</v>
      </c>
      <c r="Z28" s="166">
        <f t="shared" si="18"/>
        <v>5.076862561066961</v>
      </c>
    </row>
    <row r="29" spans="1:26" ht="15.75">
      <c r="A29" s="128" t="s">
        <v>337</v>
      </c>
      <c r="B29" s="128">
        <f>(ftyp^2*B10^2/(4*a_2^2*c_2^2*(fsw*kHz)^2))+(b_2^3*ftyp*B10/(27*a_2^4*c_2*(fsw*kHz)))-(d_2^3*ftyp*B10/(27*a_2*c_2*(fsw*kHz)))+(b_2*d_2^2*ftyp*B10/(9*a_2^2*c_2*(fsw*kHz)))-(b_2^2*d_2*ftyp*B10/(9*a_2^3*c_2*(fsw*kHz)))</f>
        <v>2.6142711906340477</v>
      </c>
      <c r="D29" s="128" t="s">
        <v>336</v>
      </c>
      <c r="E29" s="128">
        <f>(b_2^3/(27*a_2^3))-(d_2^3/27)</f>
        <v>0.07325223505585884</v>
      </c>
      <c r="G29" s="153">
        <f t="shared" si="19"/>
        <v>198</v>
      </c>
      <c r="H29" s="153">
        <f t="shared" si="0"/>
        <v>0.279875823125453</v>
      </c>
      <c r="I29" s="153">
        <f t="shared" si="1"/>
        <v>4.763408770177611</v>
      </c>
      <c r="J29" s="153">
        <f t="shared" si="2"/>
        <v>3.9636745205447346</v>
      </c>
      <c r="K29" s="153">
        <f t="shared" si="3"/>
        <v>3.9595696435676686</v>
      </c>
      <c r="L29" s="153">
        <f t="shared" si="4"/>
        <v>0.00045657096939147324</v>
      </c>
      <c r="M29" s="153">
        <f t="shared" si="5"/>
        <v>0.5213675213675213</v>
      </c>
      <c r="N29" s="153">
        <f t="shared" si="15"/>
        <v>2.5152391331795196</v>
      </c>
      <c r="O29" s="153">
        <f t="shared" si="6"/>
        <v>0.07325223505585884</v>
      </c>
      <c r="P29" s="153">
        <f t="shared" si="7"/>
        <v>3.968209490992624</v>
      </c>
      <c r="Q29" s="153">
        <f t="shared" si="8"/>
        <v>1.9188625081152881</v>
      </c>
      <c r="R29" s="153">
        <f t="shared" si="9"/>
        <v>0.06779950800763512</v>
      </c>
      <c r="S29" s="153">
        <f t="shared" si="10"/>
        <v>0.7603833865814695</v>
      </c>
      <c r="T29" s="153">
        <f t="shared" si="16"/>
        <v>2.388452710932208</v>
      </c>
      <c r="U29" s="153">
        <f t="shared" si="11"/>
        <v>1.6078901414227236</v>
      </c>
      <c r="V29" s="153">
        <f t="shared" si="12"/>
        <v>3.833263214726713</v>
      </c>
      <c r="W29" s="153">
        <f t="shared" si="17"/>
        <v>2.388452710932208</v>
      </c>
      <c r="X29" s="163">
        <f t="shared" si="13"/>
        <v>8.509003074220464</v>
      </c>
      <c r="Y29" s="163">
        <f t="shared" si="14"/>
        <v>-0.09625384277558188</v>
      </c>
      <c r="Z29" s="164">
        <f t="shared" si="18"/>
        <v>5.073547619625103</v>
      </c>
    </row>
    <row r="30" spans="1:26" ht="15.75">
      <c r="A30" s="128" t="s">
        <v>338</v>
      </c>
      <c r="B30" s="128">
        <f>(b_2*d_2^2/(9*a_2))-(b_2^2*d_2/(9*a_2^2))+(ftyp*B10/(2*a_2*c_2*(fsw*kHz)))</f>
        <v>1.5437149413584517</v>
      </c>
      <c r="D30" s="128" t="s">
        <v>337</v>
      </c>
      <c r="E30" s="128">
        <f>(ftyp^2*E11^2/(4*a_2^2*c_2^2*(fsw*kHz)^2))+(b_2^3*ftyp*E11/(27*a_2^4*c_2*(fsw*kHz)))-(d_2^3*ftyp*E11/(27*a_2*c_2*(fsw*kHz)))+(b_2*d_2^2*ftyp*E11/(9*a_2^2*c_2*(fsw*kHz)))-(b_2^2*d_2*ftyp*E11/(9*a_2^3*c_2*(fsw*kHz)))</f>
        <v>2.6142711906340477</v>
      </c>
      <c r="G30" s="154">
        <f t="shared" si="19"/>
        <v>199</v>
      </c>
      <c r="H30" s="154">
        <f t="shared" si="0"/>
        <v>0.2770700681753053</v>
      </c>
      <c r="I30" s="154">
        <f t="shared" si="1"/>
        <v>4.741984605503353</v>
      </c>
      <c r="J30" s="154">
        <f t="shared" si="2"/>
        <v>3.9239589231245113</v>
      </c>
      <c r="K30" s="154">
        <f t="shared" si="3"/>
        <v>3.9198548210463775</v>
      </c>
      <c r="L30" s="154">
        <f t="shared" si="4"/>
        <v>0.00045657096939147324</v>
      </c>
      <c r="M30" s="154">
        <f t="shared" si="5"/>
        <v>0.5213675213675213</v>
      </c>
      <c r="N30" s="154">
        <f t="shared" si="15"/>
        <v>2.508555835041931</v>
      </c>
      <c r="O30" s="154">
        <f t="shared" si="6"/>
        <v>0.07325223505585884</v>
      </c>
      <c r="P30" s="154">
        <f t="shared" si="7"/>
        <v>3.8897375770541585</v>
      </c>
      <c r="Q30" s="154">
        <f t="shared" si="8"/>
        <v>1.899068539063143</v>
      </c>
      <c r="R30" s="154">
        <f t="shared" si="9"/>
        <v>0.06779950800763512</v>
      </c>
      <c r="S30" s="154">
        <f t="shared" si="10"/>
        <v>0.7603833865814695</v>
      </c>
      <c r="T30" s="154">
        <f t="shared" si="16"/>
        <v>2.3833270116760765</v>
      </c>
      <c r="U30" s="154">
        <f t="shared" si="11"/>
        <v>1.602322854279896</v>
      </c>
      <c r="V30" s="154">
        <f t="shared" si="12"/>
        <v>3.833263214726713</v>
      </c>
      <c r="W30" s="154">
        <f t="shared" si="17"/>
        <v>2.3833270116760765</v>
      </c>
      <c r="X30" s="163">
        <f t="shared" si="13"/>
        <v>8.466244264802272</v>
      </c>
      <c r="Y30" s="165">
        <f t="shared" si="14"/>
        <v>-0.09577015512344329</v>
      </c>
      <c r="Z30" s="166">
        <f t="shared" si="18"/>
        <v>5.0702659329378585</v>
      </c>
    </row>
    <row r="31" spans="1:26" ht="15.75">
      <c r="A31" s="128" t="s">
        <v>339</v>
      </c>
      <c r="B31" s="128">
        <f>(d_2^2/9)+(b_2^2/(9*a_2^2))-(2*b_2*d_2/(9*a_2))</f>
        <v>0.06779950800763512</v>
      </c>
      <c r="D31" s="128" t="s">
        <v>338</v>
      </c>
      <c r="E31" s="128">
        <f>(b_2*d_2^2/(9*a_2))-(b_2^2*d_2/(9*a_2^2))+(ftyp*E11/(2*a_2*c_2*(fsw*kHz)))</f>
        <v>1.5437149413584517</v>
      </c>
      <c r="G31" s="153">
        <f t="shared" si="19"/>
        <v>200</v>
      </c>
      <c r="H31" s="153">
        <f t="shared" si="0"/>
        <v>0.2743062942452565</v>
      </c>
      <c r="I31" s="153">
        <f t="shared" si="1"/>
        <v>4.7207746824758345</v>
      </c>
      <c r="J31" s="153">
        <f t="shared" si="2"/>
        <v>3.8848375690801946</v>
      </c>
      <c r="K31" s="153">
        <f t="shared" si="3"/>
        <v>3.880734230306592</v>
      </c>
      <c r="L31" s="153">
        <f t="shared" si="4"/>
        <v>0.00045657096939147324</v>
      </c>
      <c r="M31" s="153">
        <f t="shared" si="5"/>
        <v>0.5213675213675213</v>
      </c>
      <c r="N31" s="153">
        <f t="shared" si="15"/>
        <v>2.5019282841254276</v>
      </c>
      <c r="O31" s="153">
        <f t="shared" si="6"/>
        <v>0.07325223505585884</v>
      </c>
      <c r="P31" s="153">
        <f t="shared" si="7"/>
        <v>3.813205899853724</v>
      </c>
      <c r="Q31" s="153">
        <f t="shared" si="8"/>
        <v>1.8795707366497034</v>
      </c>
      <c r="R31" s="153">
        <f t="shared" si="9"/>
        <v>0.06779950800763512</v>
      </c>
      <c r="S31" s="153">
        <f t="shared" si="10"/>
        <v>0.7603833865814695</v>
      </c>
      <c r="T31" s="153">
        <f t="shared" si="16"/>
        <v>2.378245305837009</v>
      </c>
      <c r="U31" s="153">
        <f t="shared" si="11"/>
        <v>1.5968112400084962</v>
      </c>
      <c r="V31" s="153">
        <f t="shared" si="12"/>
        <v>3.833263214726713</v>
      </c>
      <c r="W31" s="153">
        <f t="shared" si="17"/>
        <v>2.378245305837009</v>
      </c>
      <c r="X31" s="163">
        <f t="shared" si="13"/>
        <v>8.42391304347826</v>
      </c>
      <c r="Y31" s="163">
        <f t="shared" si="14"/>
        <v>-0.09529130434782608</v>
      </c>
      <c r="Z31" s="164">
        <f t="shared" si="18"/>
        <v>5.067017094057718</v>
      </c>
    </row>
    <row r="32" spans="1:26" ht="15.75">
      <c r="A32" s="128" t="s">
        <v>341</v>
      </c>
      <c r="B32" s="128">
        <f>(b_2*c_2*(fsw*kHz)+2*a_2*c_2*d_2*(fsw*kHz))/(3*a_2*c_2*(fsw*kHz))</f>
        <v>0.7603833865814695</v>
      </c>
      <c r="D32" s="128" t="s">
        <v>339</v>
      </c>
      <c r="E32" s="128">
        <f>(d_2^2/9)+(b_2^2/(9*a_2^2))-(2*b_2*d_2/(9*a_2))</f>
        <v>0.06779950800763512</v>
      </c>
      <c r="G32" s="154">
        <f t="shared" si="19"/>
        <v>201</v>
      </c>
      <c r="H32" s="154">
        <f t="shared" si="0"/>
        <v>0.271583667973819</v>
      </c>
      <c r="I32" s="154">
        <f t="shared" si="1"/>
        <v>4.699775803458541</v>
      </c>
      <c r="J32" s="154">
        <f t="shared" si="2"/>
        <v>3.8462986621395006</v>
      </c>
      <c r="K32" s="154">
        <f t="shared" si="3"/>
        <v>3.8421960753061883</v>
      </c>
      <c r="L32" s="154">
        <f t="shared" si="4"/>
        <v>0.00045657096939147324</v>
      </c>
      <c r="M32" s="154">
        <f t="shared" si="5"/>
        <v>0.5213675213675213</v>
      </c>
      <c r="N32" s="154">
        <f t="shared" si="15"/>
        <v>2.4953557402053126</v>
      </c>
      <c r="O32" s="154">
        <f t="shared" si="6"/>
        <v>0.07325223505585884</v>
      </c>
      <c r="P32" s="154">
        <f t="shared" si="7"/>
        <v>3.738557075627992</v>
      </c>
      <c r="Q32" s="154">
        <f t="shared" si="8"/>
        <v>1.8603632216974257</v>
      </c>
      <c r="R32" s="154">
        <f t="shared" si="9"/>
        <v>0.06779950800763512</v>
      </c>
      <c r="S32" s="154">
        <f t="shared" si="10"/>
        <v>0.7603833865814695</v>
      </c>
      <c r="T32" s="154">
        <f t="shared" si="16"/>
        <v>2.3732070078757994</v>
      </c>
      <c r="U32" s="154">
        <f t="shared" si="11"/>
        <v>1.5913544676701454</v>
      </c>
      <c r="V32" s="154">
        <f t="shared" si="12"/>
        <v>3.833263214726713</v>
      </c>
      <c r="W32" s="154">
        <f t="shared" si="17"/>
        <v>2.3732070078757994</v>
      </c>
      <c r="X32" s="163">
        <f t="shared" si="13"/>
        <v>8.382003028336577</v>
      </c>
      <c r="Y32" s="165">
        <f t="shared" si="14"/>
        <v>-0.09481721825654335</v>
      </c>
      <c r="Z32" s="166">
        <f t="shared" si="18"/>
        <v>5.063800702908557</v>
      </c>
    </row>
    <row r="33" spans="1:26" ht="15.75">
      <c r="A33" s="128" t="s">
        <v>340</v>
      </c>
      <c r="B33" s="128">
        <f>((B28+SQRT(B29)+B30)^(1/3))+(B31/((B28+SQRT(B29)+B30)^(1/3)))+B32</f>
        <v>2.2850199650443486</v>
      </c>
      <c r="D33" s="128" t="s">
        <v>341</v>
      </c>
      <c r="E33" s="128">
        <f>(b_2*c_2*(fsw*kHz)+2*a_2*c_2*d_2*(fsw*kHz))/(3*a_2*c_2*(fsw*kHz))</f>
        <v>0.7603833865814695</v>
      </c>
      <c r="G33" s="153">
        <f t="shared" si="19"/>
        <v>202</v>
      </c>
      <c r="H33" s="153">
        <f t="shared" si="0"/>
        <v>0.2689013765760774</v>
      </c>
      <c r="I33" s="153">
        <f t="shared" si="1"/>
        <v>4.678984834134489</v>
      </c>
      <c r="J33" s="153">
        <f t="shared" si="2"/>
        <v>3.8083306972925257</v>
      </c>
      <c r="K33" s="153">
        <f t="shared" si="3"/>
        <v>3.804228851259739</v>
      </c>
      <c r="L33" s="153">
        <f t="shared" si="4"/>
        <v>0.00045657096939147324</v>
      </c>
      <c r="M33" s="153">
        <f t="shared" si="5"/>
        <v>0.5213675213675213</v>
      </c>
      <c r="N33" s="153">
        <f t="shared" si="15"/>
        <v>2.488837476504521</v>
      </c>
      <c r="O33" s="153">
        <f t="shared" si="6"/>
        <v>0.07325223505585884</v>
      </c>
      <c r="P33" s="153">
        <f t="shared" si="7"/>
        <v>3.665735692390666</v>
      </c>
      <c r="Q33" s="153">
        <f t="shared" si="8"/>
        <v>1.841440260191847</v>
      </c>
      <c r="R33" s="153">
        <f t="shared" si="9"/>
        <v>0.06779950800763512</v>
      </c>
      <c r="S33" s="153">
        <f t="shared" si="10"/>
        <v>0.7603833865814695</v>
      </c>
      <c r="T33" s="153">
        <f t="shared" si="16"/>
        <v>2.3682115428982287</v>
      </c>
      <c r="U33" s="153">
        <f t="shared" si="11"/>
        <v>1.5859517227806894</v>
      </c>
      <c r="V33" s="153">
        <f t="shared" si="12"/>
        <v>3.833263214726713</v>
      </c>
      <c r="W33" s="153">
        <f t="shared" si="17"/>
        <v>2.3682115428982287</v>
      </c>
      <c r="X33" s="163">
        <f t="shared" si="13"/>
        <v>8.340507963839862</v>
      </c>
      <c r="Y33" s="163">
        <f t="shared" si="14"/>
        <v>-0.09434782608695652</v>
      </c>
      <c r="Z33" s="164">
        <f t="shared" si="18"/>
        <v>5.060616366136069</v>
      </c>
    </row>
    <row r="34" spans="1:26" ht="13.5">
      <c r="A34" s="262"/>
      <c r="B34" s="263"/>
      <c r="D34" s="128" t="s">
        <v>340</v>
      </c>
      <c r="E34" s="128">
        <f>((E29+SQRT(E30)+E31)^(1/3))+(E32/((E29+SQRT(E30)+E31)^(1/3)))+E33</f>
        <v>2.2850199650443486</v>
      </c>
      <c r="G34" s="154">
        <f t="shared" si="19"/>
        <v>203</v>
      </c>
      <c r="H34" s="154">
        <f t="shared" si="0"/>
        <v>0.2662586272370177</v>
      </c>
      <c r="I34" s="154">
        <f t="shared" si="1"/>
        <v>4.658398701946635</v>
      </c>
      <c r="J34" s="154">
        <f t="shared" si="2"/>
        <v>3.7709224522042906</v>
      </c>
      <c r="K34" s="154">
        <f t="shared" si="3"/>
        <v>3.7668213360512257</v>
      </c>
      <c r="L34" s="154">
        <f t="shared" si="4"/>
        <v>0.00045657096939147324</v>
      </c>
      <c r="M34" s="154">
        <f t="shared" si="5"/>
        <v>0.5213675213675213</v>
      </c>
      <c r="N34" s="154">
        <f t="shared" si="15"/>
        <v>2.48237277938422</v>
      </c>
      <c r="O34" s="154">
        <f t="shared" si="6"/>
        <v>0.07325223505585884</v>
      </c>
      <c r="P34" s="154">
        <f t="shared" si="7"/>
        <v>3.5946882328505705</v>
      </c>
      <c r="Q34" s="154">
        <f t="shared" si="8"/>
        <v>1.8227962590016613</v>
      </c>
      <c r="R34" s="154">
        <f t="shared" si="9"/>
        <v>0.06779950800763512</v>
      </c>
      <c r="S34" s="154">
        <f t="shared" si="10"/>
        <v>0.7603833865814695</v>
      </c>
      <c r="T34" s="154">
        <f t="shared" si="16"/>
        <v>2.3632583464100496</v>
      </c>
      <c r="U34" s="154">
        <f t="shared" si="11"/>
        <v>1.5806022069049224</v>
      </c>
      <c r="V34" s="154">
        <f t="shared" si="12"/>
        <v>3.833263214726713</v>
      </c>
      <c r="W34" s="154">
        <f t="shared" si="17"/>
        <v>2.3632583464100496</v>
      </c>
      <c r="X34" s="163">
        <f t="shared" si="13"/>
        <v>8.29942171771257</v>
      </c>
      <c r="Y34" s="165">
        <f t="shared" si="14"/>
        <v>-0.0938830584707646</v>
      </c>
      <c r="Z34" s="166">
        <f t="shared" si="18"/>
        <v>5.057463696962141</v>
      </c>
    </row>
    <row r="35" spans="1:26" ht="15.75">
      <c r="A35" s="128" t="s">
        <v>342</v>
      </c>
      <c r="B35" s="128">
        <v>1.007</v>
      </c>
      <c r="D35" s="262"/>
      <c r="E35" s="263"/>
      <c r="G35" s="153">
        <f t="shared" si="19"/>
        <v>204</v>
      </c>
      <c r="H35" s="153">
        <f t="shared" si="0"/>
        <v>0.2636546465256215</v>
      </c>
      <c r="I35" s="153">
        <f t="shared" si="1"/>
        <v>4.638014394584152</v>
      </c>
      <c r="J35" s="153">
        <f t="shared" si="2"/>
        <v>3.7340629789212114</v>
      </c>
      <c r="K35" s="153">
        <f t="shared" si="3"/>
        <v>3.7299625819406717</v>
      </c>
      <c r="L35" s="153">
        <f t="shared" si="4"/>
        <v>0.00045657096939147324</v>
      </c>
      <c r="M35" s="153">
        <f t="shared" si="5"/>
        <v>0.5213675213675213</v>
      </c>
      <c r="N35" s="153">
        <f t="shared" si="15"/>
        <v>2.475960948043017</v>
      </c>
      <c r="O35" s="153">
        <f t="shared" si="6"/>
        <v>0.07325223505585884</v>
      </c>
      <c r="P35" s="153">
        <f t="shared" si="7"/>
        <v>3.525363000703929</v>
      </c>
      <c r="Q35" s="153">
        <f t="shared" si="8"/>
        <v>1.804425761745283</v>
      </c>
      <c r="R35" s="153">
        <f t="shared" si="9"/>
        <v>0.06779950800763512</v>
      </c>
      <c r="S35" s="153">
        <f t="shared" si="10"/>
        <v>0.7603833865814695</v>
      </c>
      <c r="T35" s="153">
        <f t="shared" si="16"/>
        <v>2.3583468640787775</v>
      </c>
      <c r="U35" s="153">
        <f t="shared" si="11"/>
        <v>1.5753051372632318</v>
      </c>
      <c r="V35" s="153">
        <f t="shared" si="12"/>
        <v>3.833263214726713</v>
      </c>
      <c r="W35" s="153">
        <f t="shared" si="17"/>
        <v>2.3583468640787775</v>
      </c>
      <c r="X35" s="163">
        <f t="shared" si="13"/>
        <v>8.258738277919862</v>
      </c>
      <c r="Y35" s="163">
        <f t="shared" si="14"/>
        <v>-0.09342284739982948</v>
      </c>
      <c r="Z35" s="164">
        <f t="shared" si="18"/>
        <v>5.054342315043107</v>
      </c>
    </row>
    <row r="36" spans="1:26" ht="15.75">
      <c r="A36" s="128" t="s">
        <v>343</v>
      </c>
      <c r="B36" s="128">
        <v>0.1223</v>
      </c>
      <c r="D36" s="128" t="s">
        <v>342</v>
      </c>
      <c r="E36" s="128">
        <v>1.007</v>
      </c>
      <c r="G36" s="155">
        <f t="shared" si="19"/>
        <v>205</v>
      </c>
      <c r="H36" s="155">
        <f t="shared" si="0"/>
        <v>0.2610886798289176</v>
      </c>
      <c r="I36" s="155">
        <f t="shared" si="1"/>
        <v>4.61782895851301</v>
      </c>
      <c r="J36" s="155">
        <f t="shared" si="2"/>
        <v>3.697741595860076</v>
      </c>
      <c r="K36" s="155">
        <f t="shared" si="3"/>
        <v>3.693641907553276</v>
      </c>
      <c r="L36" s="155">
        <f t="shared" si="4"/>
        <v>0.00045657096939147324</v>
      </c>
      <c r="M36" s="155">
        <f t="shared" si="5"/>
        <v>0.5213675213675213</v>
      </c>
      <c r="N36" s="155">
        <f t="shared" si="15"/>
        <v>2.469601294224483</v>
      </c>
      <c r="O36" s="155">
        <f t="shared" si="6"/>
        <v>0.07325223505585884</v>
      </c>
      <c r="P36" s="155">
        <f t="shared" si="7"/>
        <v>3.457710050137505</v>
      </c>
      <c r="Q36" s="155">
        <f t="shared" si="8"/>
        <v>1.7863234447982106</v>
      </c>
      <c r="R36" s="155">
        <f t="shared" si="9"/>
        <v>0.06779950800763512</v>
      </c>
      <c r="S36" s="155">
        <f t="shared" si="10"/>
        <v>0.7603833865814695</v>
      </c>
      <c r="T36" s="155">
        <f t="shared" si="16"/>
        <v>2.3534765515020797</v>
      </c>
      <c r="U36" s="155">
        <f t="shared" si="11"/>
        <v>1.5700597463497525</v>
      </c>
      <c r="V36" s="155">
        <f t="shared" si="12"/>
        <v>3.833263214726713</v>
      </c>
      <c r="W36" s="155">
        <f t="shared" si="17"/>
        <v>2.3534765515020797</v>
      </c>
      <c r="X36" s="163">
        <f t="shared" si="13"/>
        <v>8.218451749734887</v>
      </c>
      <c r="Y36" s="165">
        <f t="shared" si="14"/>
        <v>-0.09296712619300103</v>
      </c>
      <c r="Z36" s="166">
        <f t="shared" si="18"/>
        <v>5.051251846331691</v>
      </c>
    </row>
    <row r="37" spans="1:26" ht="15.75">
      <c r="A37" s="128" t="s">
        <v>344</v>
      </c>
      <c r="B37" s="128">
        <v>0.5</v>
      </c>
      <c r="D37" s="128" t="s">
        <v>343</v>
      </c>
      <c r="E37" s="128">
        <v>0.1223</v>
      </c>
      <c r="G37" s="153">
        <f t="shared" si="19"/>
        <v>206</v>
      </c>
      <c r="H37" s="153">
        <f t="shared" si="0"/>
        <v>0.2585599908052187</v>
      </c>
      <c r="I37" s="153">
        <f t="shared" si="1"/>
        <v>4.597839497549354</v>
      </c>
      <c r="J37" s="153">
        <f t="shared" si="2"/>
        <v>3.661947880068583</v>
      </c>
      <c r="K37" s="153">
        <f t="shared" si="3"/>
        <v>3.657848890140102</v>
      </c>
      <c r="L37" s="153">
        <f t="shared" si="4"/>
        <v>0.00045657096939147324</v>
      </c>
      <c r="M37" s="153">
        <f t="shared" si="5"/>
        <v>0.5213675213675213</v>
      </c>
      <c r="N37" s="153">
        <f>(J37+K37)^(1/3)+(L37/(J37^(1/3)))+M37</f>
        <v>2.4632931419327293</v>
      </c>
      <c r="O37" s="153">
        <f t="shared" si="6"/>
        <v>0.07325223505585884</v>
      </c>
      <c r="P37" s="153">
        <f t="shared" si="7"/>
        <v>3.3916811183879254</v>
      </c>
      <c r="Q37" s="153">
        <f t="shared" si="8"/>
        <v>1.768484113435734</v>
      </c>
      <c r="R37" s="153">
        <f t="shared" si="9"/>
        <v>0.06779950800763512</v>
      </c>
      <c r="S37" s="153">
        <f t="shared" si="10"/>
        <v>0.7603833865814695</v>
      </c>
      <c r="T37" s="153">
        <f t="shared" si="16"/>
        <v>2.3486468739825344</v>
      </c>
      <c r="U37" s="153">
        <f t="shared" si="11"/>
        <v>1.5648652815616468</v>
      </c>
      <c r="V37" s="153">
        <f t="shared" si="12"/>
        <v>3.833263214726713</v>
      </c>
      <c r="W37" s="153">
        <f t="shared" si="17"/>
        <v>2.3486468739825344</v>
      </c>
      <c r="X37" s="163">
        <f t="shared" si="13"/>
        <v>8.178556352891516</v>
      </c>
      <c r="Y37" s="163">
        <f t="shared" si="14"/>
        <v>-0.09251582946390882</v>
      </c>
      <c r="Z37" s="164">
        <f t="shared" si="18"/>
        <v>5.048191922942606</v>
      </c>
    </row>
    <row r="38" spans="1:26" ht="15.75">
      <c r="A38" s="128" t="s">
        <v>345</v>
      </c>
      <c r="B38" s="128">
        <f>c_3+(SQRT(ftyp)*SQRT(B10)/(SQRT(a_3)*SQRT(b_3)*SQRT(fsw*kHz)))</f>
        <v>1.4971011272804513</v>
      </c>
      <c r="D38" s="128" t="s">
        <v>344</v>
      </c>
      <c r="E38" s="128">
        <v>0.5</v>
      </c>
      <c r="G38" s="154">
        <f t="shared" si="19"/>
        <v>207</v>
      </c>
      <c r="H38" s="154">
        <f t="shared" si="0"/>
        <v>0.256067860855802</v>
      </c>
      <c r="I38" s="154">
        <f t="shared" si="1"/>
        <v>4.578043171474237</v>
      </c>
      <c r="J38" s="154">
        <f t="shared" si="2"/>
        <v>3.6266716597469544</v>
      </c>
      <c r="K38" s="154">
        <f t="shared" si="3"/>
        <v>3.6225733580998343</v>
      </c>
      <c r="L38" s="154">
        <f t="shared" si="4"/>
        <v>0.00045657096939147324</v>
      </c>
      <c r="M38" s="154">
        <f t="shared" si="5"/>
        <v>0.5213675213675213</v>
      </c>
      <c r="N38" s="154">
        <f t="shared" si="15"/>
        <v>2.4570358271557833</v>
      </c>
      <c r="O38" s="154">
        <f t="shared" si="6"/>
        <v>0.07325223505585884</v>
      </c>
      <c r="P38" s="154">
        <f t="shared" si="7"/>
        <v>3.3272295612106517</v>
      </c>
      <c r="Q38" s="154">
        <f t="shared" si="8"/>
        <v>1.7509026981057605</v>
      </c>
      <c r="R38" s="154">
        <f t="shared" si="9"/>
        <v>0.06779950800763512</v>
      </c>
      <c r="S38" s="154">
        <f t="shared" si="10"/>
        <v>0.7603833865814695</v>
      </c>
      <c r="T38" s="154">
        <f t="shared" si="16"/>
        <v>2.343857306308572</v>
      </c>
      <c r="U38" s="154">
        <f t="shared" si="11"/>
        <v>1.559721004839127</v>
      </c>
      <c r="V38" s="154">
        <f t="shared" si="12"/>
        <v>3.833263214726713</v>
      </c>
      <c r="W38" s="154">
        <f t="shared" si="17"/>
        <v>2.343857306308572</v>
      </c>
      <c r="X38" s="163">
        <f t="shared" si="13"/>
        <v>8.139046418819575</v>
      </c>
      <c r="Y38" s="165">
        <f t="shared" si="14"/>
        <v>-0.09206889308968702</v>
      </c>
      <c r="Z38" s="166">
        <f t="shared" si="18"/>
        <v>5.045162183021607</v>
      </c>
    </row>
    <row r="39" spans="1:26" ht="13.5">
      <c r="A39" s="262"/>
      <c r="B39" s="263"/>
      <c r="D39" s="128" t="s">
        <v>345</v>
      </c>
      <c r="E39" s="128">
        <f>c_3+(SQRT(ftyp)*SQRT(E11)/(SQRT(a_3)*SQRT(b_3)*SQRT(fsw*kHz)))</f>
        <v>1.4971011272804513</v>
      </c>
      <c r="G39" s="153">
        <f t="shared" si="19"/>
        <v>208</v>
      </c>
      <c r="H39" s="153">
        <f aca="true" t="shared" si="20" ref="H39:H70">(Iout*(Vout_nom^2)*2.5*Rsense*K_1)/(eff*(G39^2)*K_FQ)*us</f>
        <v>0.25361158861432737</v>
      </c>
      <c r="I39" s="153">
        <f aca="true" t="shared" si="21" ref="I39:I70">(1*10^-9*(5*10^8*SQRT(fsw*kHz)+(1.09655978*10^10)*SQRT(ftyp)*SQRT(H39)))/SQRT(fsw*kHz)</f>
        <v>4.558437194688302</v>
      </c>
      <c r="J39" s="153">
        <f aca="true" t="shared" si="22" ref="J39:J70">(b_1^3/(27*a_1^3))-(d_1^3/27)+SQRT((ftyp)^2*H39^2/(4*a_1^2*c_1^2*(fsw*kHz)^2))+(b_1^3*(ftyp)*H39/(27*a_1^4*c_1*(fsw*kHz))-(d_1^3*(ftyp)*H39/(27*a_1*c_1*(fsw*kHz)))+(b_1*d_1^2*(ftyp)*H39/(9*a_1^2*c_1*(fsw*kHz)))-(b_1^2*d_1*(ftyp)*H39/(9*a_1^3*c_1*(fsw*kHz))))</f>
        <v>3.591903007020621</v>
      </c>
      <c r="K39" s="153">
        <f aca="true" t="shared" si="23" ref="K39:K70">(b_1*d_1^2/(9*a_1))-(b_1^2*d_1/(9*a_1^2))+(ftyp*H39/(2*a_1*c_1*fsw*kHz))</f>
        <v>3.5878053837516104</v>
      </c>
      <c r="L39" s="153">
        <f aca="true" t="shared" si="24" ref="L39:L70">(d_1^2/9)+(b_1^2/(9*a_1^2))-(2*b_1*d_1/(9*a_1))</f>
        <v>0.00045657096939147324</v>
      </c>
      <c r="M39" s="153">
        <f aca="true" t="shared" si="25" ref="M39:M70">((b_1*c_1*fsw*kHz)+(2*a_1*c_1*d_1*fsw*kHz))/(3*a_1*c_1*fsw*kHz)</f>
        <v>0.5213675213675213</v>
      </c>
      <c r="N39" s="153">
        <f t="shared" si="15"/>
        <v>2.450828697596495</v>
      </c>
      <c r="O39" s="153">
        <f aca="true" t="shared" si="26" ref="O39:O70">(b_2^3/(27*a_2^3))-(d_2^3/27)</f>
        <v>0.07325223505585884</v>
      </c>
      <c r="P39" s="153">
        <f aca="true" t="shared" si="27" ref="P39:P70">(ftyp^2*H39^2/(4*a_2^2*c_2^2*(fsw*kHz)^2))+(b_2^3*ftyp*H39/(27*a_2^4*c_2*(fsw*kHz)))-(d_2^3*ftyp*H39/(27*a_2*c_2*(fsw*kHz)))+(b_2*d_2^2*ftyp*H39/(9*a_2^2*c_2*(fsw*kHz)))-(b_2^2*d_2*ftyp*H39/(9*a_2^3*c_2*(fsw*kHz)))</f>
        <v>3.2643102911197612</v>
      </c>
      <c r="Q39" s="153">
        <f aca="true" t="shared" si="28" ref="Q39:Q70">(b_2*d_2^2/(9*a_2))-(b_2^2*d_2/(9*a_2^2))+(ftyp*H39/(2*a_2*c_2*(fsw*kHz)))</f>
        <v>1.7335742508267733</v>
      </c>
      <c r="R39" s="153">
        <f aca="true" t="shared" si="29" ref="R39:R70">(d_2^2/9)+(b_2^2/(9*a_2^2))-(2*b_2*d_2/(9*a_2))</f>
        <v>0.06779950800763512</v>
      </c>
      <c r="S39" s="153">
        <f aca="true" t="shared" si="30" ref="S39:S70">(b_2*c_2*(fsw*kHz)+2*a_2*c_2*d_2*(fsw*kHz))/(3*a_2*c_2*(fsw*kHz))</f>
        <v>0.7603833865814695</v>
      </c>
      <c r="T39" s="153">
        <f t="shared" si="16"/>
        <v>2.3391073325413845</v>
      </c>
      <c r="U39" s="153">
        <f aca="true" t="shared" si="31" ref="U39:U70">c_3+(SQRT(ftyp)*SQRT(H39)/(SQRT(a_3)*SQRT(b_3)*SQRT(fsw*kHz)))</f>
        <v>1.5546261923158617</v>
      </c>
      <c r="V39" s="153">
        <f aca="true" t="shared" si="32" ref="V39:V70">(a_4*(fsw*kHz)*b_4/ftyp)</f>
        <v>3.833263214726713</v>
      </c>
      <c r="W39" s="153">
        <f t="shared" si="17"/>
        <v>2.3391073325413845</v>
      </c>
      <c r="X39" s="163">
        <f aca="true" t="shared" si="33" ref="X39:X70">Pin_max/G39</f>
        <v>8.099916387959865</v>
      </c>
      <c r="Y39" s="163">
        <f aca="true" t="shared" si="34" ref="Y39:Y70">-X39*Rsense*1.414</f>
        <v>-0.091626254180602</v>
      </c>
      <c r="Z39" s="164">
        <f aca="true" t="shared" si="35" ref="Z39:Z70">MIN(6,MAX(0.5,Beta*G*($Y39-Voff_trim)/(MAX(0,MIN(4.5,W39)-Alpha1_A)+MAX(0,MIN(4.5,W39)-Alpha1_B)-Alpha1_C)+Alpha2))</f>
        <v>5.042162270617979</v>
      </c>
    </row>
    <row r="40" spans="1:26" ht="15.75">
      <c r="A40" s="128" t="s">
        <v>346</v>
      </c>
      <c r="B40" s="128">
        <v>1.007</v>
      </c>
      <c r="D40" s="262"/>
      <c r="E40" s="263"/>
      <c r="G40" s="154">
        <f t="shared" si="19"/>
        <v>209</v>
      </c>
      <c r="H40" s="154">
        <f t="shared" si="20"/>
        <v>0.2511904894533152</v>
      </c>
      <c r="I40" s="154">
        <f t="shared" si="21"/>
        <v>4.539018834905105</v>
      </c>
      <c r="J40" s="154">
        <f t="shared" si="22"/>
        <v>3.5576322309544017</v>
      </c>
      <c r="K40" s="154">
        <f t="shared" si="23"/>
        <v>3.5535352763493293</v>
      </c>
      <c r="L40" s="154">
        <f t="shared" si="24"/>
        <v>0.00045657096939147324</v>
      </c>
      <c r="M40" s="154">
        <f t="shared" si="25"/>
        <v>0.5213675213675213</v>
      </c>
      <c r="N40" s="154">
        <f t="shared" si="15"/>
        <v>2.444671112410756</v>
      </c>
      <c r="O40" s="154">
        <f t="shared" si="26"/>
        <v>0.07325223505585884</v>
      </c>
      <c r="P40" s="154">
        <f t="shared" si="27"/>
        <v>3.202879718266999</v>
      </c>
      <c r="Q40" s="154">
        <f t="shared" si="28"/>
        <v>1.7164939417061476</v>
      </c>
      <c r="R40" s="154">
        <f t="shared" si="29"/>
        <v>0.06779950800763512</v>
      </c>
      <c r="S40" s="154">
        <f t="shared" si="30"/>
        <v>0.7603833865814695</v>
      </c>
      <c r="T40" s="154">
        <f t="shared" si="16"/>
        <v>2.3343964458076174</v>
      </c>
      <c r="U40" s="154">
        <f t="shared" si="31"/>
        <v>1.5495801339794222</v>
      </c>
      <c r="V40" s="154">
        <f t="shared" si="32"/>
        <v>3.833263214726713</v>
      </c>
      <c r="W40" s="154">
        <f t="shared" si="17"/>
        <v>2.3343964458076174</v>
      </c>
      <c r="X40" s="163">
        <f t="shared" si="33"/>
        <v>8.061160807156229</v>
      </c>
      <c r="Y40" s="165">
        <f t="shared" si="34"/>
        <v>-0.09118785105055126</v>
      </c>
      <c r="Z40" s="166">
        <f t="shared" si="35"/>
        <v>5.039191835560293</v>
      </c>
    </row>
    <row r="41" spans="1:26" ht="15.75">
      <c r="A41" s="128" t="s">
        <v>347</v>
      </c>
      <c r="B41" s="128">
        <v>2.056</v>
      </c>
      <c r="D41" s="128" t="s">
        <v>346</v>
      </c>
      <c r="E41" s="128">
        <v>1.007</v>
      </c>
      <c r="G41" s="153">
        <f t="shared" si="19"/>
        <v>210</v>
      </c>
      <c r="H41" s="153">
        <f t="shared" si="20"/>
        <v>0.2488038950070354</v>
      </c>
      <c r="I41" s="153">
        <f t="shared" si="21"/>
        <v>4.519785411881748</v>
      </c>
      <c r="J41" s="153">
        <f t="shared" si="22"/>
        <v>3.523849870798965</v>
      </c>
      <c r="K41" s="153">
        <f t="shared" si="23"/>
        <v>3.5197535753282514</v>
      </c>
      <c r="L41" s="153">
        <f t="shared" si="24"/>
        <v>0.00045657096939147324</v>
      </c>
      <c r="M41" s="153">
        <f t="shared" si="25"/>
        <v>0.5213675213675213</v>
      </c>
      <c r="N41" s="153">
        <f t="shared" si="15"/>
        <v>2.438562441952781</v>
      </c>
      <c r="O41" s="153">
        <f t="shared" si="26"/>
        <v>0.07325223505585884</v>
      </c>
      <c r="P41" s="153">
        <f t="shared" si="27"/>
        <v>3.142895693835288</v>
      </c>
      <c r="Q41" s="153">
        <f t="shared" si="28"/>
        <v>1.6996570555742365</v>
      </c>
      <c r="R41" s="153">
        <f t="shared" si="29"/>
        <v>0.06779950800763512</v>
      </c>
      <c r="S41" s="153">
        <f t="shared" si="30"/>
        <v>0.7603833865814695</v>
      </c>
      <c r="T41" s="153">
        <f t="shared" si="16"/>
        <v>2.3297241480976685</v>
      </c>
      <c r="U41" s="153">
        <f t="shared" si="31"/>
        <v>1.5445821333414251</v>
      </c>
      <c r="V41" s="153">
        <f t="shared" si="32"/>
        <v>3.833263214726713</v>
      </c>
      <c r="W41" s="153">
        <f t="shared" si="17"/>
        <v>2.3297241480976685</v>
      </c>
      <c r="X41" s="163">
        <f t="shared" si="33"/>
        <v>8.022774327122152</v>
      </c>
      <c r="Y41" s="163">
        <f t="shared" si="34"/>
        <v>-0.09075362318840578</v>
      </c>
      <c r="Z41" s="164">
        <f t="shared" si="35"/>
        <v>5.036250533335351</v>
      </c>
    </row>
    <row r="42" spans="1:26" ht="15">
      <c r="A42" s="128" t="s">
        <v>348</v>
      </c>
      <c r="B42" s="128">
        <f>(a_4*(fsw*kHz)*b_4/ftyp)</f>
        <v>3.833263214726713</v>
      </c>
      <c r="D42" s="128" t="s">
        <v>347</v>
      </c>
      <c r="E42" s="128">
        <v>2.056</v>
      </c>
      <c r="G42" s="154">
        <f t="shared" si="19"/>
        <v>211</v>
      </c>
      <c r="H42" s="154">
        <f t="shared" si="20"/>
        <v>0.24645115271018758</v>
      </c>
      <c r="I42" s="154">
        <f t="shared" si="21"/>
        <v>4.500734296185625</v>
      </c>
      <c r="J42" s="154">
        <f t="shared" si="22"/>
        <v>3.490546689460831</v>
      </c>
      <c r="K42" s="154">
        <f t="shared" si="23"/>
        <v>3.4864510437751215</v>
      </c>
      <c r="L42" s="154">
        <f t="shared" si="24"/>
        <v>0.00045657096939147324</v>
      </c>
      <c r="M42" s="154">
        <f t="shared" si="25"/>
        <v>0.5213675213675213</v>
      </c>
      <c r="N42" s="154">
        <f t="shared" si="15"/>
        <v>2.4325020675272397</v>
      </c>
      <c r="O42" s="154">
        <f t="shared" si="26"/>
        <v>0.07325223505585884</v>
      </c>
      <c r="P42" s="154">
        <f t="shared" si="27"/>
        <v>3.084317455828488</v>
      </c>
      <c r="Q42" s="154">
        <f t="shared" si="28"/>
        <v>1.6830589887298653</v>
      </c>
      <c r="R42" s="154">
        <f t="shared" si="29"/>
        <v>0.06779950800763512</v>
      </c>
      <c r="S42" s="154">
        <f t="shared" si="30"/>
        <v>0.7603833865814695</v>
      </c>
      <c r="T42" s="154">
        <f t="shared" si="16"/>
        <v>2.325089950069403</v>
      </c>
      <c r="U42" s="154">
        <f t="shared" si="31"/>
        <v>1.539631507117058</v>
      </c>
      <c r="V42" s="154">
        <f t="shared" si="32"/>
        <v>3.833263214726713</v>
      </c>
      <c r="W42" s="154">
        <f t="shared" si="17"/>
        <v>2.325089950069403</v>
      </c>
      <c r="X42" s="163">
        <f t="shared" si="33"/>
        <v>7.984751699979394</v>
      </c>
      <c r="Y42" s="165">
        <f t="shared" si="34"/>
        <v>-0.0903235112301669</v>
      </c>
      <c r="Z42" s="166">
        <f t="shared" si="35"/>
        <v>5.033338024970229</v>
      </c>
    </row>
    <row r="43" spans="1:26" ht="13.5">
      <c r="A43" s="262"/>
      <c r="B43" s="263"/>
      <c r="D43" s="128" t="s">
        <v>348</v>
      </c>
      <c r="E43" s="128">
        <f>(a_4*(fsw*kHz)*b_4/ftyp)</f>
        <v>3.833263214726713</v>
      </c>
      <c r="G43" s="153">
        <f t="shared" si="19"/>
        <v>212</v>
      </c>
      <c r="H43" s="153">
        <f t="shared" si="20"/>
        <v>0.24413162535177688</v>
      </c>
      <c r="I43" s="153">
        <f t="shared" si="21"/>
        <v>4.481862907996071</v>
      </c>
      <c r="J43" s="153">
        <f t="shared" si="22"/>
        <v>3.457713667187456</v>
      </c>
      <c r="K43" s="153">
        <f t="shared" si="23"/>
        <v>3.4536186621133838</v>
      </c>
      <c r="L43" s="153">
        <f t="shared" si="24"/>
        <v>0.00045657096939147324</v>
      </c>
      <c r="M43" s="153">
        <f t="shared" si="25"/>
        <v>0.5213675213675213</v>
      </c>
      <c r="N43" s="153">
        <f t="shared" si="15"/>
        <v>2.4264893811480173</v>
      </c>
      <c r="O43" s="153">
        <f t="shared" si="26"/>
        <v>0.07325223505585884</v>
      </c>
      <c r="P43" s="153">
        <f t="shared" si="27"/>
        <v>3.027105577145156</v>
      </c>
      <c r="Q43" s="153">
        <f t="shared" si="28"/>
        <v>1.6666952457930246</v>
      </c>
      <c r="R43" s="153">
        <f t="shared" si="29"/>
        <v>0.06779950800763512</v>
      </c>
      <c r="S43" s="153">
        <f t="shared" si="30"/>
        <v>0.7603833865814695</v>
      </c>
      <c r="T43" s="153">
        <f t="shared" si="16"/>
        <v>2.3204933708571227</v>
      </c>
      <c r="U43" s="153">
        <f t="shared" si="31"/>
        <v>1.5347275849136757</v>
      </c>
      <c r="V43" s="153">
        <f t="shared" si="32"/>
        <v>3.833263214726713</v>
      </c>
      <c r="W43" s="153">
        <f t="shared" si="17"/>
        <v>2.3204933708571227</v>
      </c>
      <c r="X43" s="163">
        <f t="shared" si="33"/>
        <v>7.947087776866283</v>
      </c>
      <c r="Y43" s="163">
        <f t="shared" si="34"/>
        <v>-0.0898974569319114</v>
      </c>
      <c r="Z43" s="164">
        <f t="shared" si="35"/>
        <v>5.030453976917325</v>
      </c>
    </row>
    <row r="44" spans="1:26" ht="13.5">
      <c r="A44" s="128" t="s">
        <v>349</v>
      </c>
      <c r="B44" s="128">
        <f>IF(B12&gt;=0.5,IF(B12&lt;1,B12,IF(B22&gt;=1,IF(B22&lt;2,B22,IF(B33&gt;=2,IF(B33&lt;4.5,B33,IF(B38&gt;=4.5,IF(B38&lt;4.6,B38,B42))))))))</f>
        <v>2.2850199650443486</v>
      </c>
      <c r="C44" s="156"/>
      <c r="D44" s="262"/>
      <c r="E44" s="263"/>
      <c r="G44" s="154">
        <f t="shared" si="19"/>
        <v>213</v>
      </c>
      <c r="H44" s="154">
        <f t="shared" si="20"/>
        <v>0.241844690643617</v>
      </c>
      <c r="I44" s="154">
        <f t="shared" si="21"/>
        <v>4.463168715939751</v>
      </c>
      <c r="J44" s="154">
        <f t="shared" si="22"/>
        <v>3.4253419954593776</v>
      </c>
      <c r="K44" s="154">
        <f t="shared" si="23"/>
        <v>3.421247621995441</v>
      </c>
      <c r="L44" s="154">
        <f t="shared" si="24"/>
        <v>0.00045657096939147324</v>
      </c>
      <c r="M44" s="154">
        <f t="shared" si="25"/>
        <v>0.5213675213675213</v>
      </c>
      <c r="N44" s="154">
        <f t="shared" si="15"/>
        <v>2.4205237853033994</v>
      </c>
      <c r="O44" s="154">
        <f t="shared" si="26"/>
        <v>0.07325223505585884</v>
      </c>
      <c r="P44" s="154">
        <f t="shared" si="27"/>
        <v>2.971221915829908</v>
      </c>
      <c r="Q44" s="154">
        <f t="shared" si="28"/>
        <v>1.6505614366607593</v>
      </c>
      <c r="R44" s="154">
        <f t="shared" si="29"/>
        <v>0.06779950800763512</v>
      </c>
      <c r="S44" s="154">
        <f t="shared" si="30"/>
        <v>0.7603833865814695</v>
      </c>
      <c r="T44" s="154">
        <f t="shared" si="16"/>
        <v>2.315933937885627</v>
      </c>
      <c r="U44" s="154">
        <f t="shared" si="31"/>
        <v>1.5298697089281654</v>
      </c>
      <c r="V44" s="154">
        <f t="shared" si="32"/>
        <v>3.833263214726713</v>
      </c>
      <c r="W44" s="154">
        <f t="shared" si="17"/>
        <v>2.315933937885627</v>
      </c>
      <c r="X44" s="163">
        <f t="shared" si="33"/>
        <v>7.909777505613389</v>
      </c>
      <c r="Y44" s="165">
        <f t="shared" si="34"/>
        <v>-0.08947540314349865</v>
      </c>
      <c r="Z44" s="166">
        <f t="shared" si="35"/>
        <v>5.027598060942294</v>
      </c>
    </row>
    <row r="45" spans="1:26" ht="13.5">
      <c r="A45" s="173" t="s">
        <v>482</v>
      </c>
      <c r="B45" s="174">
        <f>MIN(6,MAX(0.5,Beta*G*((Pin_max*Rsense*-1.414/B5)-Voff_trim)/(MAX(0,MIN(4.5,B44)-Alpha1_A)+MAX(0,MIN(4.5,B44)-Alpha1_B)-Alpha1_C)+Alpha2))</f>
        <v>5.008367842176743</v>
      </c>
      <c r="D45" s="128" t="s">
        <v>349</v>
      </c>
      <c r="E45" s="128">
        <f>IF(E13&gt;=0.5,IF(E13&lt;1,E13,IF(E23&gt;=1,IF(E23&lt;2,E23,IF(E34&gt;=2,IF(E34&lt;4.5,E34,IF(E39&gt;=4.5,IF(E39&lt;4.6,E39,E43))))))))</f>
        <v>2.2850199650443486</v>
      </c>
      <c r="G45" s="153">
        <f t="shared" si="19"/>
        <v>214</v>
      </c>
      <c r="H45" s="153">
        <f t="shared" si="20"/>
        <v>0.23958974080291426</v>
      </c>
      <c r="I45" s="153">
        <f t="shared" si="21"/>
        <v>4.444649235958725</v>
      </c>
      <c r="J45" s="153">
        <f t="shared" si="22"/>
        <v>3.393423071081669</v>
      </c>
      <c r="K45" s="153">
        <f t="shared" si="23"/>
        <v>3.3893293203942245</v>
      </c>
      <c r="L45" s="153">
        <f t="shared" si="24"/>
        <v>0.00045657096939147324</v>
      </c>
      <c r="M45" s="153">
        <f t="shared" si="25"/>
        <v>0.5213675213675213</v>
      </c>
      <c r="N45" s="153">
        <f t="shared" si="15"/>
        <v>2.414604692727477</v>
      </c>
      <c r="O45" s="153">
        <f t="shared" si="26"/>
        <v>0.07325223505585884</v>
      </c>
      <c r="P45" s="153">
        <f t="shared" si="27"/>
        <v>2.916629567401337</v>
      </c>
      <c r="Q45" s="153">
        <f t="shared" si="28"/>
        <v>1.6346532735623893</v>
      </c>
      <c r="R45" s="153">
        <f t="shared" si="29"/>
        <v>0.06779950800763512</v>
      </c>
      <c r="S45" s="153">
        <f t="shared" si="30"/>
        <v>0.7603833865814695</v>
      </c>
      <c r="T45" s="153">
        <f t="shared" si="16"/>
        <v>2.3114111866891944</v>
      </c>
      <c r="U45" s="153">
        <f t="shared" si="31"/>
        <v>1.5250572336528003</v>
      </c>
      <c r="V45" s="153">
        <f t="shared" si="32"/>
        <v>3.833263214726713</v>
      </c>
      <c r="W45" s="153">
        <f t="shared" si="17"/>
        <v>2.3114111866891944</v>
      </c>
      <c r="X45" s="163">
        <f t="shared" si="33"/>
        <v>7.872815928484355</v>
      </c>
      <c r="Y45" s="163">
        <f t="shared" si="34"/>
        <v>-0.08905729378301502</v>
      </c>
      <c r="Z45" s="164">
        <f t="shared" si="35"/>
        <v>5.024769954014848</v>
      </c>
    </row>
    <row r="46" spans="7:26" ht="12.75">
      <c r="G46" s="154">
        <f t="shared" si="19"/>
        <v>215</v>
      </c>
      <c r="H46" s="154">
        <f t="shared" si="20"/>
        <v>0.2373661821484102</v>
      </c>
      <c r="I46" s="154">
        <f t="shared" si="21"/>
        <v>4.4263020302100795</v>
      </c>
      <c r="J46" s="154">
        <f t="shared" si="22"/>
        <v>3.361948490467319</v>
      </c>
      <c r="K46" s="154">
        <f t="shared" si="23"/>
        <v>3.3578553538866864</v>
      </c>
      <c r="L46" s="154">
        <f t="shared" si="24"/>
        <v>0.00045657096939147324</v>
      </c>
      <c r="M46" s="154">
        <f t="shared" si="25"/>
        <v>0.5213675213675213</v>
      </c>
      <c r="N46" s="154">
        <f t="shared" si="15"/>
        <v>2.4087315261775837</v>
      </c>
      <c r="O46" s="154">
        <f t="shared" si="26"/>
        <v>0.07325223505585884</v>
      </c>
      <c r="P46" s="154">
        <f t="shared" si="27"/>
        <v>2.8632928191606344</v>
      </c>
      <c r="Q46" s="154">
        <f t="shared" si="28"/>
        <v>1.6189665682103895</v>
      </c>
      <c r="R46" s="154">
        <f t="shared" si="29"/>
        <v>0.06779950800763512</v>
      </c>
      <c r="S46" s="154">
        <f t="shared" si="30"/>
        <v>0.7603833865814695</v>
      </c>
      <c r="T46" s="154">
        <f t="shared" si="16"/>
        <v>2.306924660735346</v>
      </c>
      <c r="U46" s="154">
        <f t="shared" si="31"/>
        <v>1.520289525589299</v>
      </c>
      <c r="V46" s="154">
        <f t="shared" si="32"/>
        <v>3.833263214726713</v>
      </c>
      <c r="W46" s="154">
        <f t="shared" si="17"/>
        <v>2.306924660735346</v>
      </c>
      <c r="X46" s="163">
        <f t="shared" si="33"/>
        <v>7.836198179979776</v>
      </c>
      <c r="Y46" s="165">
        <f t="shared" si="34"/>
        <v>-0.08864307381193123</v>
      </c>
      <c r="Z46" s="166">
        <f t="shared" si="35"/>
        <v>5.021969338202249</v>
      </c>
    </row>
    <row r="47" spans="7:26" ht="12.75">
      <c r="G47" s="153">
        <f>G46+1</f>
        <v>216</v>
      </c>
      <c r="H47" s="153">
        <f t="shared" si="20"/>
        <v>0.23517343470958205</v>
      </c>
      <c r="I47" s="153">
        <f t="shared" si="21"/>
        <v>4.408124705996143</v>
      </c>
      <c r="J47" s="153">
        <f t="shared" si="22"/>
        <v>3.3309100441054444</v>
      </c>
      <c r="K47" s="153">
        <f t="shared" si="23"/>
        <v>3.3268175131221214</v>
      </c>
      <c r="L47" s="153">
        <f t="shared" si="24"/>
        <v>0.00045657096939147324</v>
      </c>
      <c r="M47" s="153">
        <f t="shared" si="25"/>
        <v>0.5213675213675213</v>
      </c>
      <c r="N47" s="153">
        <f t="shared" si="15"/>
        <v>2.402903718217577</v>
      </c>
      <c r="O47" s="153">
        <f t="shared" si="26"/>
        <v>0.07325223505585884</v>
      </c>
      <c r="P47" s="153">
        <f t="shared" si="27"/>
        <v>2.8111771063898847</v>
      </c>
      <c r="Q47" s="153">
        <f t="shared" si="28"/>
        <v>1.603497229043386</v>
      </c>
      <c r="R47" s="153">
        <f t="shared" si="29"/>
        <v>0.06779950800763512</v>
      </c>
      <c r="S47" s="153">
        <f t="shared" si="30"/>
        <v>0.7603833865814695</v>
      </c>
      <c r="T47" s="153">
        <f t="shared" si="16"/>
        <v>2.302473911253239</v>
      </c>
      <c r="U47" s="153">
        <f t="shared" si="31"/>
        <v>1.5155659629708298</v>
      </c>
      <c r="V47" s="153">
        <f t="shared" si="32"/>
        <v>3.833263214726713</v>
      </c>
      <c r="W47" s="153">
        <f t="shared" si="17"/>
        <v>2.302473911253239</v>
      </c>
      <c r="X47" s="163">
        <f t="shared" si="33"/>
        <v>7.799919484702093</v>
      </c>
      <c r="Y47" s="163">
        <f t="shared" si="34"/>
        <v>-0.08823268921095007</v>
      </c>
      <c r="Z47" s="164">
        <f t="shared" si="35"/>
        <v>5.019195900565484</v>
      </c>
    </row>
    <row r="48" spans="7:26" ht="12.75">
      <c r="G48" s="154">
        <f t="shared" si="19"/>
        <v>217</v>
      </c>
      <c r="H48" s="154">
        <f t="shared" si="20"/>
        <v>0.23301093184842023</v>
      </c>
      <c r="I48" s="154">
        <f t="shared" si="21"/>
        <v>4.390114914724271</v>
      </c>
      <c r="J48" s="154">
        <f t="shared" si="22"/>
        <v>3.3002997112075336</v>
      </c>
      <c r="K48" s="154">
        <f t="shared" si="23"/>
        <v>3.2962077774685135</v>
      </c>
      <c r="L48" s="154">
        <f t="shared" si="24"/>
        <v>0.00045657096939147324</v>
      </c>
      <c r="M48" s="154">
        <f t="shared" si="25"/>
        <v>0.5213675213675213</v>
      </c>
      <c r="N48" s="154">
        <f t="shared" si="15"/>
        <v>2.3971207110067825</v>
      </c>
      <c r="O48" s="154">
        <f t="shared" si="26"/>
        <v>0.07325223505585884</v>
      </c>
      <c r="P48" s="154">
        <f t="shared" si="27"/>
        <v>2.760248970353572</v>
      </c>
      <c r="Q48" s="154">
        <f t="shared" si="28"/>
        <v>1.5882412585578816</v>
      </c>
      <c r="R48" s="154">
        <f t="shared" si="29"/>
        <v>0.06779950800763512</v>
      </c>
      <c r="S48" s="154">
        <f t="shared" si="30"/>
        <v>0.7603833865814695</v>
      </c>
      <c r="T48" s="154">
        <f t="shared" si="16"/>
        <v>2.2980584970665405</v>
      </c>
      <c r="U48" s="154">
        <f t="shared" si="31"/>
        <v>1.5108859354917017</v>
      </c>
      <c r="V48" s="154">
        <f t="shared" si="32"/>
        <v>3.833263214726713</v>
      </c>
      <c r="W48" s="154">
        <f t="shared" si="17"/>
        <v>2.2980584970665405</v>
      </c>
      <c r="X48" s="163">
        <f t="shared" si="33"/>
        <v>7.763975155279502</v>
      </c>
      <c r="Y48" s="165">
        <f t="shared" si="34"/>
        <v>-0.08782608695652173</v>
      </c>
      <c r="Z48" s="166">
        <f t="shared" si="35"/>
        <v>5.016449333058029</v>
      </c>
    </row>
    <row r="49" spans="7:26" ht="12.75">
      <c r="G49" s="153">
        <f t="shared" si="19"/>
        <v>218</v>
      </c>
      <c r="H49" s="153">
        <f t="shared" si="20"/>
        <v>0.23087811989332258</v>
      </c>
      <c r="I49" s="153">
        <f t="shared" si="21"/>
        <v>4.372270350895262</v>
      </c>
      <c r="J49" s="153">
        <f t="shared" si="22"/>
        <v>3.2701096545252</v>
      </c>
      <c r="K49" s="153">
        <f t="shared" si="23"/>
        <v>3.2660183098303897</v>
      </c>
      <c r="L49" s="153">
        <f t="shared" si="24"/>
        <v>0.00045657096939147324</v>
      </c>
      <c r="M49" s="153">
        <f t="shared" si="25"/>
        <v>0.5213675213675213</v>
      </c>
      <c r="N49" s="153">
        <f t="shared" si="15"/>
        <v>2.3913819560944223</v>
      </c>
      <c r="O49" s="153">
        <f t="shared" si="26"/>
        <v>0.07325223505585884</v>
      </c>
      <c r="P49" s="153">
        <f t="shared" si="27"/>
        <v>2.7104760180211764</v>
      </c>
      <c r="Q49" s="153">
        <f t="shared" si="28"/>
        <v>1.573194750725462</v>
      </c>
      <c r="R49" s="153">
        <f t="shared" si="29"/>
        <v>0.06779950800763512</v>
      </c>
      <c r="S49" s="153">
        <f t="shared" si="30"/>
        <v>0.7603833865814695</v>
      </c>
      <c r="T49" s="153">
        <f t="shared" si="16"/>
        <v>2.293677984430653</v>
      </c>
      <c r="U49" s="153">
        <f t="shared" si="31"/>
        <v>1.506248844044492</v>
      </c>
      <c r="V49" s="153">
        <f t="shared" si="32"/>
        <v>3.833263214726713</v>
      </c>
      <c r="W49" s="153">
        <f t="shared" si="17"/>
        <v>2.293677984430653</v>
      </c>
      <c r="X49" s="163">
        <f t="shared" si="33"/>
        <v>7.728360590347028</v>
      </c>
      <c r="Y49" s="163">
        <f t="shared" si="34"/>
        <v>-0.08742321499800557</v>
      </c>
      <c r="Z49" s="164">
        <f t="shared" si="35"/>
        <v>5.013729332427088</v>
      </c>
    </row>
    <row r="50" spans="7:26" ht="12.75">
      <c r="G50" s="154">
        <f t="shared" si="19"/>
        <v>219</v>
      </c>
      <c r="H50" s="154">
        <f t="shared" si="20"/>
        <v>0.2287744577846638</v>
      </c>
      <c r="I50" s="154">
        <f t="shared" si="21"/>
        <v>4.354588751119484</v>
      </c>
      <c r="J50" s="154">
        <f t="shared" si="22"/>
        <v>3.240332215333203</v>
      </c>
      <c r="K50" s="154">
        <f t="shared" si="23"/>
        <v>3.2362414516319395</v>
      </c>
      <c r="L50" s="154">
        <f t="shared" si="24"/>
        <v>0.00045657096939147324</v>
      </c>
      <c r="M50" s="154">
        <f t="shared" si="25"/>
        <v>0.5213675213675213</v>
      </c>
      <c r="N50" s="154">
        <f t="shared" si="15"/>
        <v>2.38568691421938</v>
      </c>
      <c r="O50" s="154">
        <f t="shared" si="26"/>
        <v>0.07325223505585884</v>
      </c>
      <c r="P50" s="154">
        <f t="shared" si="27"/>
        <v>2.661826883432854</v>
      </c>
      <c r="Q50" s="154">
        <f t="shared" si="28"/>
        <v>1.5583538884923687</v>
      </c>
      <c r="R50" s="154">
        <f t="shared" si="29"/>
        <v>0.06779950800763512</v>
      </c>
      <c r="S50" s="154">
        <f t="shared" si="30"/>
        <v>0.7603833865814695</v>
      </c>
      <c r="T50" s="154">
        <f t="shared" si="16"/>
        <v>2.2893319468741598</v>
      </c>
      <c r="U50" s="154">
        <f t="shared" si="31"/>
        <v>1.5016541004643802</v>
      </c>
      <c r="V50" s="154">
        <f t="shared" si="32"/>
        <v>3.833263214726713</v>
      </c>
      <c r="W50" s="154">
        <f t="shared" si="17"/>
        <v>2.2893319468741598</v>
      </c>
      <c r="X50" s="163">
        <f t="shared" si="33"/>
        <v>7.693071272582886</v>
      </c>
      <c r="Y50" s="165">
        <f t="shared" si="34"/>
        <v>-0.0870240222354576</v>
      </c>
      <c r="Z50" s="166">
        <f t="shared" si="35"/>
        <v>5.011035600117291</v>
      </c>
    </row>
    <row r="51" spans="7:26" ht="12.75">
      <c r="G51" s="153">
        <f t="shared" si="19"/>
        <v>220</v>
      </c>
      <c r="H51" s="153">
        <f t="shared" si="20"/>
        <v>0.22669941673161698</v>
      </c>
      <c r="I51" s="153">
        <f t="shared" si="21"/>
        <v>4.33706789315985</v>
      </c>
      <c r="J51" s="153">
        <f t="shared" si="22"/>
        <v>3.210959908571736</v>
      </c>
      <c r="K51" s="153">
        <f t="shared" si="23"/>
        <v>3.2068697179594006</v>
      </c>
      <c r="L51" s="153">
        <f t="shared" si="24"/>
        <v>0.00045657096939147324</v>
      </c>
      <c r="M51" s="153">
        <f t="shared" si="25"/>
        <v>0.5213675213675213</v>
      </c>
      <c r="N51" s="153">
        <f t="shared" si="15"/>
        <v>2.380035055115113</v>
      </c>
      <c r="O51" s="153">
        <f t="shared" si="26"/>
        <v>0.07325223505585884</v>
      </c>
      <c r="P51" s="153">
        <f t="shared" si="27"/>
        <v>2.6142711906340477</v>
      </c>
      <c r="Q51" s="153">
        <f t="shared" si="28"/>
        <v>1.5437149413584517</v>
      </c>
      <c r="R51" s="153">
        <f t="shared" si="29"/>
        <v>0.06779950800763512</v>
      </c>
      <c r="S51" s="153">
        <f t="shared" si="30"/>
        <v>0.7603833865814695</v>
      </c>
      <c r="T51" s="153">
        <f t="shared" si="16"/>
        <v>2.2850199650443486</v>
      </c>
      <c r="U51" s="153">
        <f t="shared" si="31"/>
        <v>1.4971011272804513</v>
      </c>
      <c r="V51" s="153">
        <f t="shared" si="32"/>
        <v>3.833263214726713</v>
      </c>
      <c r="W51" s="153">
        <f t="shared" si="17"/>
        <v>2.2850199650443486</v>
      </c>
      <c r="X51" s="163">
        <f t="shared" si="33"/>
        <v>7.658102766798418</v>
      </c>
      <c r="Y51" s="163">
        <f t="shared" si="34"/>
        <v>-0.0866284584980237</v>
      </c>
      <c r="Z51" s="164">
        <f t="shared" si="35"/>
        <v>5.008367842176742</v>
      </c>
    </row>
    <row r="52" spans="7:26" ht="12.75">
      <c r="G52" s="154">
        <f t="shared" si="19"/>
        <v>221</v>
      </c>
      <c r="H52" s="154">
        <f t="shared" si="20"/>
        <v>0.22465247987981943</v>
      </c>
      <c r="I52" s="154">
        <f t="shared" si="21"/>
        <v>4.319705595000755</v>
      </c>
      <c r="J52" s="154">
        <f t="shared" si="22"/>
        <v>3.1819854181422245</v>
      </c>
      <c r="K52" s="154">
        <f t="shared" si="23"/>
        <v>3.1778957928569436</v>
      </c>
      <c r="L52" s="154">
        <f t="shared" si="24"/>
        <v>0.00045657096939147324</v>
      </c>
      <c r="M52" s="154">
        <f t="shared" si="25"/>
        <v>0.5213675213675213</v>
      </c>
      <c r="N52" s="154">
        <f t="shared" si="15"/>
        <v>2.3744258573195802</v>
      </c>
      <c r="O52" s="154">
        <f t="shared" si="26"/>
        <v>0.07325223505585884</v>
      </c>
      <c r="P52" s="154">
        <f t="shared" si="27"/>
        <v>2.5677795181085235</v>
      </c>
      <c r="Q52" s="154">
        <f t="shared" si="28"/>
        <v>1.5292742630326264</v>
      </c>
      <c r="R52" s="154">
        <f t="shared" si="29"/>
        <v>0.06779950800763512</v>
      </c>
      <c r="S52" s="154">
        <f t="shared" si="30"/>
        <v>0.7603833865814695</v>
      </c>
      <c r="T52" s="154">
        <f t="shared" si="16"/>
        <v>2.280741626556713</v>
      </c>
      <c r="U52" s="154">
        <f t="shared" si="31"/>
        <v>1.492589357473752</v>
      </c>
      <c r="V52" s="154">
        <f t="shared" si="32"/>
        <v>3.833263214726713</v>
      </c>
      <c r="W52" s="154">
        <f t="shared" si="17"/>
        <v>2.280741626556713</v>
      </c>
      <c r="X52" s="163">
        <f t="shared" si="33"/>
        <v>7.623450718079873</v>
      </c>
      <c r="Y52" s="165">
        <f t="shared" si="34"/>
        <v>-0.08623647452291952</v>
      </c>
      <c r="Z52" s="166">
        <f t="shared" si="35"/>
        <v>5.005725769165356</v>
      </c>
    </row>
    <row r="53" spans="7:26" ht="12.75">
      <c r="G53" s="153">
        <f t="shared" si="19"/>
        <v>222</v>
      </c>
      <c r="H53" s="153">
        <f t="shared" si="20"/>
        <v>0.22263314198949477</v>
      </c>
      <c r="I53" s="153">
        <f t="shared" si="21"/>
        <v>4.302499713942193</v>
      </c>
      <c r="J53" s="153">
        <f t="shared" si="22"/>
        <v>3.153401592351126</v>
      </c>
      <c r="K53" s="153">
        <f t="shared" si="23"/>
        <v>3.1493125247705636</v>
      </c>
      <c r="L53" s="153">
        <f t="shared" si="24"/>
        <v>0.00045657096939147324</v>
      </c>
      <c r="M53" s="153">
        <f t="shared" si="25"/>
        <v>0.5213675213675213</v>
      </c>
      <c r="N53" s="153">
        <f t="shared" si="15"/>
        <v>2.3688588079900237</v>
      </c>
      <c r="O53" s="153">
        <f t="shared" si="26"/>
        <v>0.07325223505585884</v>
      </c>
      <c r="P53" s="153">
        <f t="shared" si="27"/>
        <v>2.5223233646428485</v>
      </c>
      <c r="Q53" s="153">
        <f t="shared" si="28"/>
        <v>1.515028289162098</v>
      </c>
      <c r="R53" s="153">
        <f t="shared" si="29"/>
        <v>0.06779950800763512</v>
      </c>
      <c r="S53" s="153">
        <f t="shared" si="30"/>
        <v>0.7603833865814695</v>
      </c>
      <c r="T53" s="153">
        <f t="shared" si="16"/>
        <v>2.276496525848291</v>
      </c>
      <c r="U53" s="153">
        <f t="shared" si="31"/>
        <v>1.4881182342418886</v>
      </c>
      <c r="V53" s="153">
        <f t="shared" si="32"/>
        <v>3.833263214726713</v>
      </c>
      <c r="W53" s="153">
        <f t="shared" si="17"/>
        <v>2.276496525848291</v>
      </c>
      <c r="X53" s="163">
        <f t="shared" si="33"/>
        <v>7.589110849980415</v>
      </c>
      <c r="Y53" s="163">
        <f t="shared" si="34"/>
        <v>-0.08584802193497845</v>
      </c>
      <c r="Z53" s="164">
        <f t="shared" si="35"/>
        <v>5.003109096065423</v>
      </c>
    </row>
    <row r="54" spans="7:26" ht="12.75">
      <c r="G54" s="154">
        <f t="shared" si="19"/>
        <v>223</v>
      </c>
      <c r="H54" s="154">
        <f t="shared" si="20"/>
        <v>0.22064090912365542</v>
      </c>
      <c r="I54" s="154">
        <f t="shared" si="21"/>
        <v>4.285448145718237</v>
      </c>
      <c r="J54" s="154">
        <f t="shared" si="22"/>
        <v>3.12520143949642</v>
      </c>
      <c r="K54" s="154">
        <f t="shared" si="23"/>
        <v>3.121112922134657</v>
      </c>
      <c r="L54" s="154">
        <f t="shared" si="24"/>
        <v>0.00045657096939147324</v>
      </c>
      <c r="M54" s="154">
        <f t="shared" si="25"/>
        <v>0.5213675213675213</v>
      </c>
      <c r="N54" s="154">
        <f t="shared" si="15"/>
        <v>2.363333402722456</v>
      </c>
      <c r="O54" s="154">
        <f t="shared" si="26"/>
        <v>0.07325223505585884</v>
      </c>
      <c r="P54" s="154">
        <f t="shared" si="27"/>
        <v>2.4778751165585438</v>
      </c>
      <c r="Q54" s="154">
        <f t="shared" si="28"/>
        <v>1.500973535132701</v>
      </c>
      <c r="R54" s="154">
        <f t="shared" si="29"/>
        <v>0.06779950800763512</v>
      </c>
      <c r="S54" s="154">
        <f t="shared" si="30"/>
        <v>0.7603833865814695</v>
      </c>
      <c r="T54" s="154">
        <f t="shared" si="16"/>
        <v>2.2722842640347354</v>
      </c>
      <c r="U54" s="154">
        <f t="shared" si="31"/>
        <v>1.483687210769952</v>
      </c>
      <c r="V54" s="154">
        <f t="shared" si="32"/>
        <v>3.833263214726713</v>
      </c>
      <c r="W54" s="154">
        <f t="shared" si="17"/>
        <v>2.2722842640347354</v>
      </c>
      <c r="X54" s="163">
        <f t="shared" si="33"/>
        <v>7.5550789627607715</v>
      </c>
      <c r="Y54" s="165">
        <f t="shared" si="34"/>
        <v>-0.08546305322674985</v>
      </c>
      <c r="Z54" s="166">
        <f t="shared" si="35"/>
        <v>5.000517542194344</v>
      </c>
    </row>
    <row r="55" spans="7:26" ht="12.75">
      <c r="G55" s="153">
        <f t="shared" si="19"/>
        <v>224</v>
      </c>
      <c r="H55" s="153">
        <f t="shared" si="20"/>
        <v>0.2186752983460272</v>
      </c>
      <c r="I55" s="153">
        <f t="shared" si="21"/>
        <v>4.268548823639138</v>
      </c>
      <c r="J55" s="153">
        <f t="shared" si="22"/>
        <v>3.0973781235917204</v>
      </c>
      <c r="K55" s="153">
        <f t="shared" si="23"/>
        <v>3.093290149096217</v>
      </c>
      <c r="L55" s="153">
        <f t="shared" si="24"/>
        <v>0.00045657096939147324</v>
      </c>
      <c r="M55" s="153">
        <f t="shared" si="25"/>
        <v>0.5213675213675213</v>
      </c>
      <c r="N55" s="153">
        <f t="shared" si="15"/>
        <v>2.357849145375723</v>
      </c>
      <c r="O55" s="153">
        <f t="shared" si="26"/>
        <v>0.07325223505585884</v>
      </c>
      <c r="P55" s="153">
        <f t="shared" si="27"/>
        <v>2.434408016251315</v>
      </c>
      <c r="Q55" s="153">
        <f t="shared" si="28"/>
        <v>1.4871065939378232</v>
      </c>
      <c r="R55" s="153">
        <f t="shared" si="29"/>
        <v>0.06779950800763512</v>
      </c>
      <c r="S55" s="153">
        <f t="shared" si="30"/>
        <v>0.7603833865814695</v>
      </c>
      <c r="T55" s="153">
        <f t="shared" si="16"/>
        <v>2.2681044487710054</v>
      </c>
      <c r="U55" s="153">
        <f t="shared" si="31"/>
        <v>1.479295750007586</v>
      </c>
      <c r="V55" s="153">
        <f t="shared" si="32"/>
        <v>3.833263214726713</v>
      </c>
      <c r="W55" s="153">
        <f t="shared" si="17"/>
        <v>2.2681044487710054</v>
      </c>
      <c r="X55" s="163">
        <f t="shared" si="33"/>
        <v>7.521350931677018</v>
      </c>
      <c r="Y55" s="163">
        <f t="shared" si="34"/>
        <v>-0.08508152173913043</v>
      </c>
      <c r="Z55" s="164">
        <f t="shared" si="35"/>
        <v>4.997950831119458</v>
      </c>
    </row>
    <row r="56" spans="7:26" ht="12.75">
      <c r="G56" s="154">
        <f t="shared" si="19"/>
        <v>225</v>
      </c>
      <c r="H56" s="154">
        <f t="shared" si="20"/>
        <v>0.21673583742835084</v>
      </c>
      <c r="I56" s="154">
        <f t="shared" si="21"/>
        <v>4.251799717756298</v>
      </c>
      <c r="J56" s="154">
        <f t="shared" si="22"/>
        <v>3.069924960223111</v>
      </c>
      <c r="K56" s="154">
        <f t="shared" si="23"/>
        <v>3.0658375213717464</v>
      </c>
      <c r="L56" s="154">
        <f t="shared" si="24"/>
        <v>0.00045657096939147324</v>
      </c>
      <c r="M56" s="154">
        <f t="shared" si="25"/>
        <v>0.5213675213675213</v>
      </c>
      <c r="N56" s="154">
        <f>(J56+K56)^(1/3)+(L56/(J56^(1/3)))+M56</f>
        <v>2.352405547899995</v>
      </c>
      <c r="O56" s="154">
        <f t="shared" si="26"/>
        <v>0.07325223505585884</v>
      </c>
      <c r="P56" s="154">
        <f t="shared" si="27"/>
        <v>2.391896131979649</v>
      </c>
      <c r="Q56" s="154">
        <f t="shared" si="28"/>
        <v>1.4734241341134866</v>
      </c>
      <c r="R56" s="154">
        <f t="shared" si="29"/>
        <v>0.06779950800763512</v>
      </c>
      <c r="S56" s="154">
        <f t="shared" si="30"/>
        <v>0.7603833865814695</v>
      </c>
      <c r="T56" s="154">
        <f t="shared" si="16"/>
        <v>2.2639566941155724</v>
      </c>
      <c r="U56" s="154">
        <f t="shared" si="31"/>
        <v>1.4749433244519967</v>
      </c>
      <c r="V56" s="154">
        <f t="shared" si="32"/>
        <v>3.833263214726713</v>
      </c>
      <c r="W56" s="154">
        <f t="shared" si="17"/>
        <v>2.2639566941155724</v>
      </c>
      <c r="X56" s="163">
        <f t="shared" si="33"/>
        <v>7.487922705314009</v>
      </c>
      <c r="Y56" s="165">
        <f t="shared" si="34"/>
        <v>-0.08470338164251207</v>
      </c>
      <c r="Z56" s="166">
        <f t="shared" si="35"/>
        <v>4.995408690574911</v>
      </c>
    </row>
    <row r="57" spans="7:26" ht="12.75">
      <c r="G57" s="153">
        <f t="shared" si="19"/>
        <v>226</v>
      </c>
      <c r="H57" s="153">
        <f t="shared" si="20"/>
        <v>0.2148220645667292</v>
      </c>
      <c r="I57" s="153">
        <f t="shared" si="21"/>
        <v>4.235198834049411</v>
      </c>
      <c r="J57" s="153">
        <f t="shared" si="22"/>
        <v>3.042835412534026</v>
      </c>
      <c r="K57" s="153">
        <f t="shared" si="23"/>
        <v>3.038748502232222</v>
      </c>
      <c r="L57" s="153">
        <f t="shared" si="24"/>
        <v>0.00045657096939147324</v>
      </c>
      <c r="M57" s="153">
        <f t="shared" si="25"/>
        <v>0.5213675213675213</v>
      </c>
      <c r="N57" s="153">
        <f t="shared" si="15"/>
        <v>2.347002130169569</v>
      </c>
      <c r="O57" s="153">
        <f t="shared" si="26"/>
        <v>0.07325223505585884</v>
      </c>
      <c r="P57" s="153">
        <f t="shared" si="27"/>
        <v>2.3503143288479103</v>
      </c>
      <c r="Q57" s="153">
        <f t="shared" si="28"/>
        <v>1.459922897737238</v>
      </c>
      <c r="R57" s="153">
        <f t="shared" si="29"/>
        <v>0.06779950800763512</v>
      </c>
      <c r="S57" s="153">
        <f t="shared" si="30"/>
        <v>0.7603833865814695</v>
      </c>
      <c r="T57" s="153">
        <f t="shared" si="16"/>
        <v>2.259840620398027</v>
      </c>
      <c r="U57" s="153">
        <f t="shared" si="31"/>
        <v>1.4706294159367224</v>
      </c>
      <c r="V57" s="153">
        <f t="shared" si="32"/>
        <v>3.833263214726713</v>
      </c>
      <c r="W57" s="153">
        <f t="shared" si="17"/>
        <v>2.259840620398027</v>
      </c>
      <c r="X57" s="163">
        <f t="shared" si="33"/>
        <v>7.454790303963062</v>
      </c>
      <c r="Y57" s="163">
        <f t="shared" si="34"/>
        <v>-0.08432858791843016</v>
      </c>
      <c r="Z57" s="164">
        <f t="shared" si="35"/>
        <v>4.992890852380525</v>
      </c>
    </row>
    <row r="58" spans="7:26" ht="12.75">
      <c r="G58" s="154">
        <f t="shared" si="19"/>
        <v>227</v>
      </c>
      <c r="H58" s="154">
        <f t="shared" si="20"/>
        <v>0.21293352810670224</v>
      </c>
      <c r="I58" s="154">
        <f t="shared" si="21"/>
        <v>4.218744213635096</v>
      </c>
      <c r="J58" s="154">
        <f t="shared" si="22"/>
        <v>3.0161030873336747</v>
      </c>
      <c r="K58" s="154">
        <f t="shared" si="23"/>
        <v>3.012016698611593</v>
      </c>
      <c r="L58" s="154">
        <f t="shared" si="24"/>
        <v>0.00045657096939147324</v>
      </c>
      <c r="M58" s="154">
        <f t="shared" si="25"/>
        <v>0.5213675213675213</v>
      </c>
      <c r="N58" s="154">
        <f t="shared" si="15"/>
        <v>2.3416384198198417</v>
      </c>
      <c r="O58" s="154">
        <f t="shared" si="26"/>
        <v>0.07325223505585884</v>
      </c>
      <c r="P58" s="154">
        <f t="shared" si="27"/>
        <v>2.309638240931664</v>
      </c>
      <c r="Q58" s="154">
        <f t="shared" si="28"/>
        <v>1.4465996984886178</v>
      </c>
      <c r="R58" s="154">
        <f t="shared" si="29"/>
        <v>0.06779950800763512</v>
      </c>
      <c r="S58" s="154">
        <f t="shared" si="30"/>
        <v>0.7603833865814695</v>
      </c>
      <c r="T58" s="154">
        <f t="shared" si="16"/>
        <v>2.255755854090004</v>
      </c>
      <c r="U58" s="154">
        <f t="shared" si="31"/>
        <v>1.466353515425988</v>
      </c>
      <c r="V58" s="154">
        <f t="shared" si="32"/>
        <v>3.833263214726713</v>
      </c>
      <c r="W58" s="154">
        <f t="shared" si="17"/>
        <v>2.255755854090004</v>
      </c>
      <c r="X58" s="163">
        <f t="shared" si="33"/>
        <v>7.42194981804252</v>
      </c>
      <c r="Y58" s="165">
        <f t="shared" si="34"/>
        <v>-0.08395709634169699</v>
      </c>
      <c r="Z58" s="166">
        <f t="shared" si="35"/>
        <v>4.9903970523625585</v>
      </c>
    </row>
    <row r="59" spans="7:26" ht="12.75">
      <c r="G59" s="153">
        <f t="shared" si="19"/>
        <v>228</v>
      </c>
      <c r="H59" s="153">
        <f t="shared" si="20"/>
        <v>0.21106978627674403</v>
      </c>
      <c r="I59" s="153">
        <f t="shared" si="21"/>
        <v>4.202433931996347</v>
      </c>
      <c r="J59" s="153">
        <f t="shared" si="22"/>
        <v>2.989721731324679</v>
      </c>
      <c r="K59" s="153">
        <f t="shared" si="23"/>
        <v>2.9856358573344894</v>
      </c>
      <c r="L59" s="153">
        <f t="shared" si="24"/>
        <v>0.00045657096939147324</v>
      </c>
      <c r="M59" s="153">
        <f t="shared" si="25"/>
        <v>0.5213675213675213</v>
      </c>
      <c r="N59" s="153">
        <f t="shared" si="15"/>
        <v>2.3363139520883394</v>
      </c>
      <c r="O59" s="153">
        <f t="shared" si="26"/>
        <v>0.07325223505585884</v>
      </c>
      <c r="P59" s="153">
        <f t="shared" si="27"/>
        <v>2.269844244495485</v>
      </c>
      <c r="Q59" s="153">
        <f t="shared" si="28"/>
        <v>1.433451419769039</v>
      </c>
      <c r="R59" s="153">
        <f t="shared" si="29"/>
        <v>0.06779950800763512</v>
      </c>
      <c r="S59" s="153">
        <f t="shared" si="30"/>
        <v>0.7603833865814695</v>
      </c>
      <c r="T59" s="153">
        <f t="shared" si="16"/>
        <v>2.2517020276793103</v>
      </c>
      <c r="U59" s="153">
        <f t="shared" si="31"/>
        <v>1.4621151228144704</v>
      </c>
      <c r="V59" s="153">
        <f t="shared" si="32"/>
        <v>3.833263214726713</v>
      </c>
      <c r="W59" s="153">
        <f t="shared" si="17"/>
        <v>2.2517020276793103</v>
      </c>
      <c r="X59" s="163">
        <f t="shared" si="33"/>
        <v>7.389397406559877</v>
      </c>
      <c r="Y59" s="163">
        <f t="shared" si="34"/>
        <v>-0.08358886346300533</v>
      </c>
      <c r="Z59" s="164">
        <f t="shared" si="35"/>
        <v>4.987927030276387</v>
      </c>
    </row>
    <row r="60" spans="7:26" ht="12.75">
      <c r="G60" s="154">
        <f t="shared" si="19"/>
        <v>229</v>
      </c>
      <c r="H60" s="154">
        <f t="shared" si="20"/>
        <v>0.2092304069298881</v>
      </c>
      <c r="I60" s="154">
        <f t="shared" si="21"/>
        <v>4.18626609823217</v>
      </c>
      <c r="J60" s="154">
        <f t="shared" si="22"/>
        <v>2.963685227445765</v>
      </c>
      <c r="K60" s="154">
        <f t="shared" si="23"/>
        <v>2.959599861458989</v>
      </c>
      <c r="L60" s="154">
        <f t="shared" si="24"/>
        <v>0.00045657096939147324</v>
      </c>
      <c r="M60" s="154">
        <f t="shared" si="25"/>
        <v>0.5213675213675213</v>
      </c>
      <c r="N60" s="154">
        <f t="shared" si="15"/>
        <v>2.3310282696596847</v>
      </c>
      <c r="O60" s="154">
        <f t="shared" si="26"/>
        <v>0.07325223505585884</v>
      </c>
      <c r="P60" s="154">
        <f t="shared" si="27"/>
        <v>2.2309094322558662</v>
      </c>
      <c r="Q60" s="154">
        <f t="shared" si="28"/>
        <v>1.420475012879013</v>
      </c>
      <c r="R60" s="154">
        <f t="shared" si="29"/>
        <v>0.06779950800763512</v>
      </c>
      <c r="S60" s="154">
        <f t="shared" si="30"/>
        <v>0.7603833865814695</v>
      </c>
      <c r="T60" s="154">
        <f t="shared" si="16"/>
        <v>2.2476787795471758</v>
      </c>
      <c r="U60" s="154">
        <f t="shared" si="31"/>
        <v>1.4579137467323111</v>
      </c>
      <c r="V60" s="154">
        <f t="shared" si="32"/>
        <v>3.833263214726713</v>
      </c>
      <c r="W60" s="154">
        <f t="shared" si="17"/>
        <v>2.2476787795471758</v>
      </c>
      <c r="X60" s="163">
        <f t="shared" si="33"/>
        <v>7.357129295614201</v>
      </c>
      <c r="Y60" s="165">
        <f t="shared" si="34"/>
        <v>-0.08322384659198784</v>
      </c>
      <c r="Z60" s="166">
        <f t="shared" si="35"/>
        <v>4.985480529730969</v>
      </c>
    </row>
    <row r="61" spans="7:26" ht="12.75">
      <c r="G61" s="153">
        <f t="shared" si="19"/>
        <v>230</v>
      </c>
      <c r="H61" s="153">
        <f t="shared" si="20"/>
        <v>0.20741496729319964</v>
      </c>
      <c r="I61" s="153">
        <f t="shared" si="21"/>
        <v>4.170238854326812</v>
      </c>
      <c r="J61" s="153">
        <f t="shared" si="22"/>
        <v>2.937987591325534</v>
      </c>
      <c r="K61" s="153">
        <f t="shared" si="23"/>
        <v>2.9339027267304543</v>
      </c>
      <c r="L61" s="153">
        <f t="shared" si="24"/>
        <v>0.00045657096939147324</v>
      </c>
      <c r="M61" s="153">
        <f t="shared" si="25"/>
        <v>0.5213675213675213</v>
      </c>
      <c r="N61" s="153">
        <f t="shared" si="15"/>
        <v>2.325780922514385</v>
      </c>
      <c r="O61" s="153">
        <f t="shared" si="26"/>
        <v>0.07325223505585884</v>
      </c>
      <c r="P61" s="153">
        <f t="shared" si="27"/>
        <v>2.192811588644132</v>
      </c>
      <c r="Q61" s="153">
        <f t="shared" si="28"/>
        <v>1.4076674952507338</v>
      </c>
      <c r="R61" s="153">
        <f t="shared" si="29"/>
        <v>0.06779950800763512</v>
      </c>
      <c r="S61" s="153">
        <f t="shared" si="30"/>
        <v>0.7603833865814695</v>
      </c>
      <c r="T61" s="153">
        <f t="shared" si="16"/>
        <v>2.2436857538485313</v>
      </c>
      <c r="U61" s="153">
        <f t="shared" si="31"/>
        <v>1.453748904355214</v>
      </c>
      <c r="V61" s="153">
        <f t="shared" si="32"/>
        <v>3.833263214726713</v>
      </c>
      <c r="W61" s="153">
        <f t="shared" si="17"/>
        <v>2.2436857538485313</v>
      </c>
      <c r="X61" s="163">
        <f t="shared" si="33"/>
        <v>7.325141776937618</v>
      </c>
      <c r="Y61" s="163">
        <f t="shared" si="34"/>
        <v>-0.08286200378071833</v>
      </c>
      <c r="Z61" s="164">
        <f t="shared" si="35"/>
        <v>4.983057298115095</v>
      </c>
    </row>
    <row r="62" spans="7:26" ht="12.75">
      <c r="G62" s="154">
        <f t="shared" si="19"/>
        <v>231</v>
      </c>
      <c r="H62" s="154">
        <f t="shared" si="20"/>
        <v>0.20562305372482265</v>
      </c>
      <c r="I62" s="154">
        <f t="shared" si="21"/>
        <v>4.154350374437952</v>
      </c>
      <c r="J62" s="154">
        <f t="shared" si="22"/>
        <v>2.9126229678434474</v>
      </c>
      <c r="K62" s="154">
        <f t="shared" si="23"/>
        <v>2.90853859814259</v>
      </c>
      <c r="L62" s="154">
        <f t="shared" si="24"/>
        <v>0.00045657096939147324</v>
      </c>
      <c r="M62" s="154">
        <f t="shared" si="25"/>
        <v>0.5213675213675213</v>
      </c>
      <c r="N62" s="154">
        <f t="shared" si="15"/>
        <v>2.3205714677813356</v>
      </c>
      <c r="O62" s="154">
        <f t="shared" si="26"/>
        <v>0.07325223505585884</v>
      </c>
      <c r="P62" s="154">
        <f t="shared" si="27"/>
        <v>2.155529166026316</v>
      </c>
      <c r="Q62" s="154">
        <f t="shared" si="28"/>
        <v>1.3950259487340986</v>
      </c>
      <c r="R62" s="154">
        <f t="shared" si="29"/>
        <v>0.06779950800763512</v>
      </c>
      <c r="S62" s="154">
        <f t="shared" si="30"/>
        <v>0.7603833865814695</v>
      </c>
      <c r="T62" s="154">
        <f t="shared" si="16"/>
        <v>2.239722600395223</v>
      </c>
      <c r="U62" s="154">
        <f t="shared" si="31"/>
        <v>1.4496201212194773</v>
      </c>
      <c r="V62" s="154">
        <f t="shared" si="32"/>
        <v>3.833263214726713</v>
      </c>
      <c r="W62" s="154">
        <f t="shared" si="17"/>
        <v>2.239722600395223</v>
      </c>
      <c r="X62" s="163">
        <f t="shared" si="33"/>
        <v>7.2934312064746845</v>
      </c>
      <c r="Y62" s="165">
        <f t="shared" si="34"/>
        <v>-0.08250329380764163</v>
      </c>
      <c r="Z62" s="166">
        <f t="shared" si="35"/>
        <v>4.980657086525367</v>
      </c>
    </row>
    <row r="63" spans="7:26" ht="12.75">
      <c r="G63" s="153">
        <f t="shared" si="19"/>
        <v>232</v>
      </c>
      <c r="H63" s="153">
        <f t="shared" si="20"/>
        <v>0.20385426147834168</v>
      </c>
      <c r="I63" s="153">
        <f t="shared" si="21"/>
        <v>4.138598864203306</v>
      </c>
      <c r="J63" s="153">
        <f t="shared" si="22"/>
        <v>2.8875856277943632</v>
      </c>
      <c r="K63" s="153">
        <f t="shared" si="23"/>
        <v>2.8835017466020343</v>
      </c>
      <c r="L63" s="153">
        <f t="shared" si="24"/>
        <v>0.00045657096939147324</v>
      </c>
      <c r="M63" s="153">
        <f t="shared" si="25"/>
        <v>0.5213675213675213</v>
      </c>
      <c r="N63" s="153">
        <f t="shared" si="15"/>
        <v>2.315399469593924</v>
      </c>
      <c r="O63" s="153">
        <f t="shared" si="26"/>
        <v>0.07325223505585884</v>
      </c>
      <c r="P63" s="153">
        <f t="shared" si="27"/>
        <v>2.1190412618390835</v>
      </c>
      <c r="Q63" s="153">
        <f t="shared" si="28"/>
        <v>1.382547517934333</v>
      </c>
      <c r="R63" s="153">
        <f t="shared" si="29"/>
        <v>0.06779950800763512</v>
      </c>
      <c r="S63" s="153">
        <f t="shared" si="30"/>
        <v>0.7603833865814695</v>
      </c>
      <c r="T63" s="153">
        <f t="shared" si="16"/>
        <v>2.2357889745420856</v>
      </c>
      <c r="U63" s="153">
        <f t="shared" si="31"/>
        <v>1.4455269310418073</v>
      </c>
      <c r="V63" s="153">
        <f t="shared" si="32"/>
        <v>3.833263214726713</v>
      </c>
      <c r="W63" s="153">
        <f t="shared" si="17"/>
        <v>2.2357889745420856</v>
      </c>
      <c r="X63" s="163">
        <f t="shared" si="33"/>
        <v>7.2619940029985</v>
      </c>
      <c r="Y63" s="163">
        <f t="shared" si="34"/>
        <v>-0.08214767616191902</v>
      </c>
      <c r="Z63" s="164">
        <f t="shared" si="35"/>
        <v>4.97827964969584</v>
      </c>
    </row>
    <row r="64" spans="7:26" ht="12.75">
      <c r="G64" s="154">
        <f>G63+1</f>
        <v>233</v>
      </c>
      <c r="H64" s="154">
        <f t="shared" si="20"/>
        <v>0.20210819447420766</v>
      </c>
      <c r="I64" s="154">
        <f t="shared" si="21"/>
        <v>4.122982560065094</v>
      </c>
      <c r="J64" s="154">
        <f t="shared" si="22"/>
        <v>2.8628699646530507</v>
      </c>
      <c r="K64" s="154">
        <f t="shared" si="23"/>
        <v>2.8587865656929488</v>
      </c>
      <c r="L64" s="154">
        <f t="shared" si="24"/>
        <v>0.00045657096939147324</v>
      </c>
      <c r="M64" s="154">
        <f t="shared" si="25"/>
        <v>0.5213675213675213</v>
      </c>
      <c r="N64" s="154">
        <f t="shared" si="15"/>
        <v>2.3102644989496373</v>
      </c>
      <c r="O64" s="154">
        <f t="shared" si="26"/>
        <v>0.07325223505585884</v>
      </c>
      <c r="P64" s="154">
        <f t="shared" si="27"/>
        <v>2.0833275966026212</v>
      </c>
      <c r="Q64" s="154">
        <f t="shared" si="28"/>
        <v>1.370229408599453</v>
      </c>
      <c r="R64" s="154">
        <f t="shared" si="29"/>
        <v>0.06779950800763512</v>
      </c>
      <c r="S64" s="154">
        <f t="shared" si="30"/>
        <v>0.7603833865814695</v>
      </c>
      <c r="T64" s="154">
        <f t="shared" si="16"/>
        <v>2.231884537075789</v>
      </c>
      <c r="U64" s="154">
        <f t="shared" si="31"/>
        <v>1.4414688755437737</v>
      </c>
      <c r="V64" s="154">
        <f t="shared" si="32"/>
        <v>3.833263214726713</v>
      </c>
      <c r="W64" s="154">
        <f t="shared" si="17"/>
        <v>2.231884537075789</v>
      </c>
      <c r="X64" s="163">
        <f t="shared" si="33"/>
        <v>7.230826646762455</v>
      </c>
      <c r="Y64" s="165">
        <f t="shared" si="34"/>
        <v>-0.08179511102817688</v>
      </c>
      <c r="Z64" s="166">
        <f t="shared" si="35"/>
        <v>4.9759247459293015</v>
      </c>
    </row>
    <row r="65" spans="7:26" ht="12.75">
      <c r="G65" s="153">
        <f t="shared" si="19"/>
        <v>234</v>
      </c>
      <c r="H65" s="153">
        <f t="shared" si="20"/>
        <v>0.20038446507798707</v>
      </c>
      <c r="I65" s="153">
        <f t="shared" si="21"/>
        <v>4.107499728611824</v>
      </c>
      <c r="J65" s="153">
        <f t="shared" si="22"/>
        <v>2.8384704914353</v>
      </c>
      <c r="K65" s="153">
        <f t="shared" si="23"/>
        <v>2.83438756853818</v>
      </c>
      <c r="L65" s="153">
        <f t="shared" si="24"/>
        <v>0.00045657096939147324</v>
      </c>
      <c r="M65" s="153">
        <f t="shared" si="25"/>
        <v>0.5213675213675213</v>
      </c>
      <c r="N65" s="153">
        <f t="shared" si="15"/>
        <v>2.305166133573078</v>
      </c>
      <c r="O65" s="153">
        <f t="shared" si="26"/>
        <v>0.07325223505585884</v>
      </c>
      <c r="P65" s="153">
        <f t="shared" si="27"/>
        <v>2.0483684927732946</v>
      </c>
      <c r="Q65" s="153">
        <f t="shared" si="28"/>
        <v>1.3580688860558623</v>
      </c>
      <c r="R65" s="153">
        <f t="shared" si="29"/>
        <v>0.06779950800763512</v>
      </c>
      <c r="S65" s="153">
        <f t="shared" si="30"/>
        <v>0.7603833865814695</v>
      </c>
      <c r="T65" s="153">
        <f t="shared" si="16"/>
        <v>2.228008954106379</v>
      </c>
      <c r="U65" s="153">
        <f t="shared" si="31"/>
        <v>1.4374455042807661</v>
      </c>
      <c r="V65" s="153">
        <f t="shared" si="32"/>
        <v>3.833263214726713</v>
      </c>
      <c r="W65" s="153">
        <f t="shared" si="17"/>
        <v>2.228008954106379</v>
      </c>
      <c r="X65" s="163">
        <f t="shared" si="33"/>
        <v>7.199925678186547</v>
      </c>
      <c r="Y65" s="163">
        <f t="shared" si="34"/>
        <v>-0.08144555927164622</v>
      </c>
      <c r="Z65" s="164">
        <f t="shared" si="35"/>
        <v>4.973592137030123</v>
      </c>
    </row>
    <row r="66" spans="7:26" ht="12.75">
      <c r="G66" s="154">
        <f t="shared" si="19"/>
        <v>235</v>
      </c>
      <c r="H66" s="154">
        <f t="shared" si="20"/>
        <v>0.19868269388520163</v>
      </c>
      <c r="I66" s="154">
        <f t="shared" si="21"/>
        <v>4.092148665936881</v>
      </c>
      <c r="J66" s="154">
        <f t="shared" si="22"/>
        <v>2.814381837652317</v>
      </c>
      <c r="K66" s="154">
        <f t="shared" si="23"/>
        <v>2.8102993847537197</v>
      </c>
      <c r="L66" s="154">
        <f t="shared" si="24"/>
        <v>0.00045657096939147324</v>
      </c>
      <c r="M66" s="154">
        <f t="shared" si="25"/>
        <v>0.5213675213675213</v>
      </c>
      <c r="N66" s="154">
        <f t="shared" si="15"/>
        <v>2.300103957782274</v>
      </c>
      <c r="O66" s="154">
        <f t="shared" si="26"/>
        <v>0.07325223505585884</v>
      </c>
      <c r="P66" s="154">
        <f t="shared" si="27"/>
        <v>2.014144854400557</v>
      </c>
      <c r="Q66" s="154">
        <f t="shared" si="28"/>
        <v>1.3460632736904443</v>
      </c>
      <c r="R66" s="154">
        <f t="shared" si="29"/>
        <v>0.06779950800763512</v>
      </c>
      <c r="S66" s="154">
        <f t="shared" si="30"/>
        <v>0.7603833865814695</v>
      </c>
      <c r="T66" s="154">
        <f t="shared" si="16"/>
        <v>2.224161896961432</v>
      </c>
      <c r="U66" s="154">
        <f t="shared" si="31"/>
        <v>1.4334563744753162</v>
      </c>
      <c r="V66" s="154">
        <f t="shared" si="32"/>
        <v>3.833263214726713</v>
      </c>
      <c r="W66" s="154">
        <f t="shared" si="17"/>
        <v>2.224161896961432</v>
      </c>
      <c r="X66" s="163">
        <f t="shared" si="33"/>
        <v>7.169287696577243</v>
      </c>
      <c r="Y66" s="165">
        <f t="shared" si="34"/>
        <v>-0.08109898242368177</v>
      </c>
      <c r="Z66" s="166">
        <f t="shared" si="35"/>
        <v>4.971281588238669</v>
      </c>
    </row>
    <row r="67" spans="7:26" ht="12.75">
      <c r="G67" s="153">
        <f t="shared" si="19"/>
        <v>236</v>
      </c>
      <c r="H67" s="153">
        <f t="shared" si="20"/>
        <v>0.197002509512537</v>
      </c>
      <c r="I67" s="153">
        <f t="shared" si="21"/>
        <v>4.076927697013419</v>
      </c>
      <c r="J67" s="153">
        <f t="shared" si="22"/>
        <v>2.7905987463552724</v>
      </c>
      <c r="K67" s="153">
        <f t="shared" si="23"/>
        <v>2.7865167574933065</v>
      </c>
      <c r="L67" s="153">
        <f t="shared" si="24"/>
        <v>0.00045657096939147324</v>
      </c>
      <c r="M67" s="153">
        <f t="shared" si="25"/>
        <v>0.5213675213675213</v>
      </c>
      <c r="N67" s="153">
        <f t="shared" si="15"/>
        <v>2.2950775623582107</v>
      </c>
      <c r="O67" s="153">
        <f t="shared" si="26"/>
        <v>0.07325223505585884</v>
      </c>
      <c r="P67" s="153">
        <f t="shared" si="27"/>
        <v>1.9806381475542882</v>
      </c>
      <c r="Q67" s="153">
        <f t="shared" si="28"/>
        <v>1.3342099514775867</v>
      </c>
      <c r="R67" s="153">
        <f t="shared" si="29"/>
        <v>0.06779950800763512</v>
      </c>
      <c r="S67" s="153">
        <f t="shared" si="30"/>
        <v>0.7603833865814695</v>
      </c>
      <c r="T67" s="153">
        <f t="shared" si="16"/>
        <v>2.220343042082764</v>
      </c>
      <c r="U67" s="153">
        <f t="shared" si="31"/>
        <v>1.429501050854658</v>
      </c>
      <c r="V67" s="153">
        <f t="shared" si="32"/>
        <v>3.833263214726713</v>
      </c>
      <c r="W67" s="153">
        <f t="shared" si="17"/>
        <v>2.220343042082764</v>
      </c>
      <c r="X67" s="163">
        <f t="shared" si="33"/>
        <v>7.138909358879881</v>
      </c>
      <c r="Y67" s="163">
        <f t="shared" si="34"/>
        <v>-0.08075534266764921</v>
      </c>
      <c r="Z67" s="164">
        <f t="shared" si="35"/>
        <v>4.968992868167187</v>
      </c>
    </row>
    <row r="68" spans="7:26" ht="12.75">
      <c r="G68" s="154">
        <f t="shared" si="19"/>
        <v>237</v>
      </c>
      <c r="H68" s="154">
        <f t="shared" si="20"/>
        <v>0.19534354839520485</v>
      </c>
      <c r="I68" s="154">
        <f t="shared" si="21"/>
        <v>4.0618351750850925</v>
      </c>
      <c r="J68" s="154">
        <f t="shared" si="22"/>
        <v>2.7671160712669516</v>
      </c>
      <c r="K68" s="154">
        <f t="shared" si="23"/>
        <v>2.763034540580137</v>
      </c>
      <c r="L68" s="154">
        <f t="shared" si="24"/>
        <v>0.00045657096939147324</v>
      </c>
      <c r="M68" s="154">
        <f t="shared" si="25"/>
        <v>0.5213675213675213</v>
      </c>
      <c r="N68" s="154">
        <f t="shared" si="15"/>
        <v>2.2900865444174805</v>
      </c>
      <c r="O68" s="154">
        <f t="shared" si="26"/>
        <v>0.07325223505585884</v>
      </c>
      <c r="P68" s="154">
        <f t="shared" si="27"/>
        <v>1.9478303814902478</v>
      </c>
      <c r="Q68" s="154">
        <f t="shared" si="28"/>
        <v>1.3225063545496172</v>
      </c>
      <c r="R68" s="154">
        <f t="shared" si="29"/>
        <v>0.06779950800763512</v>
      </c>
      <c r="S68" s="154">
        <f t="shared" si="30"/>
        <v>0.7603833865814695</v>
      </c>
      <c r="T68" s="154">
        <f t="shared" si="16"/>
        <v>2.216552070925599</v>
      </c>
      <c r="U68" s="154">
        <f t="shared" si="31"/>
        <v>1.4255791054924019</v>
      </c>
      <c r="V68" s="154">
        <f t="shared" si="32"/>
        <v>3.833263214726713</v>
      </c>
      <c r="W68" s="154">
        <f t="shared" si="17"/>
        <v>2.216552070925599</v>
      </c>
      <c r="X68" s="163">
        <f t="shared" si="33"/>
        <v>7.108787378462667</v>
      </c>
      <c r="Y68" s="165">
        <f t="shared" si="34"/>
        <v>-0.08041460282516968</v>
      </c>
      <c r="Z68" s="166">
        <f t="shared" si="35"/>
        <v>4.966725748737187</v>
      </c>
    </row>
    <row r="69" spans="7:26" ht="12.75">
      <c r="G69" s="153">
        <f t="shared" si="19"/>
        <v>238</v>
      </c>
      <c r="H69" s="153">
        <f t="shared" si="20"/>
        <v>0.19370545459025248</v>
      </c>
      <c r="I69" s="153">
        <f t="shared" si="21"/>
        <v>4.046869481072131</v>
      </c>
      <c r="J69" s="153">
        <f t="shared" si="22"/>
        <v>2.743928773997593</v>
      </c>
      <c r="K69" s="153">
        <f t="shared" si="23"/>
        <v>2.739847695722754</v>
      </c>
      <c r="L69" s="153">
        <f t="shared" si="24"/>
        <v>0.00045657096939147324</v>
      </c>
      <c r="M69" s="153">
        <f t="shared" si="25"/>
        <v>0.5213675213675213</v>
      </c>
      <c r="N69" s="153">
        <f t="shared" si="15"/>
        <v>2.285130507287968</v>
      </c>
      <c r="O69" s="153">
        <f t="shared" si="26"/>
        <v>0.07325223505585884</v>
      </c>
      <c r="P69" s="153">
        <f t="shared" si="27"/>
        <v>1.91570409052287</v>
      </c>
      <c r="Q69" s="153">
        <f t="shared" si="28"/>
        <v>1.3109499718091964</v>
      </c>
      <c r="R69" s="153">
        <f t="shared" si="29"/>
        <v>0.06779950800763512</v>
      </c>
      <c r="S69" s="153">
        <f t="shared" si="30"/>
        <v>0.7603833865814695</v>
      </c>
      <c r="T69" s="153">
        <f t="shared" si="16"/>
        <v>2.2127886698601515</v>
      </c>
      <c r="U69" s="153">
        <f t="shared" si="31"/>
        <v>1.4216901176541987</v>
      </c>
      <c r="V69" s="153">
        <f t="shared" si="32"/>
        <v>3.833263214726713</v>
      </c>
      <c r="W69" s="153">
        <f t="shared" si="17"/>
        <v>2.2127886698601515</v>
      </c>
      <c r="X69" s="163">
        <f t="shared" si="33"/>
        <v>7.078918523931311</v>
      </c>
      <c r="Y69" s="163">
        <f t="shared" si="34"/>
        <v>-0.08007672634271099</v>
      </c>
      <c r="Z69" s="164">
        <f t="shared" si="35"/>
        <v>4.964480005118187</v>
      </c>
    </row>
    <row r="70" spans="7:26" ht="12.75">
      <c r="G70" s="154">
        <f t="shared" si="19"/>
        <v>239</v>
      </c>
      <c r="H70" s="154">
        <f t="shared" si="20"/>
        <v>0.1920878795856211</v>
      </c>
      <c r="I70" s="154">
        <f t="shared" si="21"/>
        <v>4.032029022992331</v>
      </c>
      <c r="J70" s="154">
        <f t="shared" si="22"/>
        <v>2.721031921342099</v>
      </c>
      <c r="K70" s="154">
        <f t="shared" si="23"/>
        <v>2.716951289812313</v>
      </c>
      <c r="L70" s="154">
        <f t="shared" si="24"/>
        <v>0.00045657096939147324</v>
      </c>
      <c r="M70" s="154">
        <f t="shared" si="25"/>
        <v>0.5213675213675213</v>
      </c>
      <c r="N70" s="154">
        <f t="shared" si="15"/>
        <v>2.2802090603874845</v>
      </c>
      <c r="O70" s="154">
        <f t="shared" si="26"/>
        <v>0.07325223505585884</v>
      </c>
      <c r="P70" s="154">
        <f t="shared" si="27"/>
        <v>1.8842423165759634</v>
      </c>
      <c r="Q70" s="154">
        <f t="shared" si="28"/>
        <v>1.2995383445822672</v>
      </c>
      <c r="R70" s="154">
        <f t="shared" si="29"/>
        <v>0.06779950800763512</v>
      </c>
      <c r="S70" s="154">
        <f t="shared" si="30"/>
        <v>0.7603833865814695</v>
      </c>
      <c r="T70" s="154">
        <f t="shared" si="16"/>
        <v>2.209052530075538</v>
      </c>
      <c r="U70" s="154">
        <f t="shared" si="31"/>
        <v>1.4178336736472774</v>
      </c>
      <c r="V70" s="154">
        <f t="shared" si="32"/>
        <v>3.833263214726713</v>
      </c>
      <c r="W70" s="154">
        <f t="shared" si="17"/>
        <v>2.209052530075538</v>
      </c>
      <c r="X70" s="163">
        <f t="shared" si="33"/>
        <v>7.049299617973439</v>
      </c>
      <c r="Y70" s="165">
        <f t="shared" si="34"/>
        <v>-0.07974167727851554</v>
      </c>
      <c r="Z70" s="166">
        <f t="shared" si="35"/>
        <v>4.962255415667906</v>
      </c>
    </row>
    <row r="71" spans="2:26" ht="12.75">
      <c r="B71" s="156"/>
      <c r="G71" s="153">
        <f t="shared" si="19"/>
        <v>240</v>
      </c>
      <c r="H71" s="153">
        <f aca="true" t="shared" si="36" ref="H71:H102">(Iout*(Vout_nom^2)*2.5*Rsense*K_1)/(eff*(G71^2)*K_FQ)*us</f>
        <v>0.1904904821147615</v>
      </c>
      <c r="I71" s="153">
        <f aca="true" t="shared" si="37" ref="I71:I102">(1*10^-9*(5*10^8*SQRT(fsw*kHz)+(1.09655978*10^10)*SQRT(ftyp)*SQRT(H71)))/SQRT(fsw*kHz)</f>
        <v>4.017312235396529</v>
      </c>
      <c r="J71" s="153">
        <f aca="true" t="shared" si="38" ref="J71:J102">(b_1^3/(27*a_1^3))-(d_1^3/27)+SQRT((ftyp)^2*H71^2/(4*a_1^2*c_1^2*(fsw*kHz)^2))+(b_1^3*(ftyp)*H71/(27*a_1^4*c_1*(fsw*kHz))-(d_1^3*(ftyp)*H71/(27*a_1*c_1*(fsw*kHz)))+(b_1*d_1^2*(ftyp)*H71/(9*a_1^2*c_1*(fsw*kHz)))-(b_1^2*d_1*(ftyp)*H71/(9*a_1^3*c_1*(fsw*kHz))))</f>
        <v>2.6984206826559114</v>
      </c>
      <c r="K71" s="153">
        <f aca="true" t="shared" si="39" ref="K71:K102">(b_1*d_1^2/(9*a_1))-(b_1^2*d_1/(9*a_1^2))+(ftyp*H71/(2*a_1*c_1*fsw*kHz))</f>
        <v>2.6943404922985077</v>
      </c>
      <c r="L71" s="153">
        <f aca="true" t="shared" si="40" ref="L71:L102">(d_1^2/9)+(b_1^2/(9*a_1^2))-(2*b_1*d_1/(9*a_1))</f>
        <v>0.00045657096939147324</v>
      </c>
      <c r="M71" s="153">
        <f aca="true" t="shared" si="41" ref="M71:M102">((b_1*c_1*fsw*kHz)+(2*a_1*c_1*d_1*fsw*kHz))/(3*a_1*c_1*fsw*kHz)</f>
        <v>0.5213675213675213</v>
      </c>
      <c r="N71" s="153">
        <f t="shared" si="15"/>
        <v>2.275321819105267</v>
      </c>
      <c r="O71" s="153">
        <f aca="true" t="shared" si="42" ref="O71:O102">(b_2^3/(27*a_2^3))-(d_2^3/27)</f>
        <v>0.07325223505585884</v>
      </c>
      <c r="P71" s="153">
        <f aca="true" t="shared" si="43" ref="P71:P102">(ftyp^2*H71^2/(4*a_2^2*c_2^2*(fsw*kHz)^2))+(b_2^3*ftyp*H71/(27*a_2^4*c_2*(fsw*kHz)))-(d_2^3*ftyp*H71/(27*a_2*c_2*(fsw*kHz)))+(b_2*d_2^2*ftyp*H71/(9*a_2^2*c_2*(fsw*kHz)))-(b_2^2*d_2*ftyp*H71/(9*a_2^3*c_2*(fsw*kHz)))</f>
        <v>1.8534285923832938</v>
      </c>
      <c r="Q71" s="153">
        <f aca="true" t="shared" si="44" ref="Q71:Q102">(b_2*d_2^2/(9*a_2))-(b_2^2*d_2/(9*a_2^2))+(ftyp*H71/(2*a_2*c_2*(fsw*kHz)))</f>
        <v>1.288269065310211</v>
      </c>
      <c r="R71" s="153">
        <f aca="true" t="shared" si="45" ref="R71:R102">(d_2^2/9)+(b_2^2/(9*a_2^2))-(2*b_2*d_2/(9*a_2))</f>
        <v>0.06779950800763512</v>
      </c>
      <c r="S71" s="153">
        <f aca="true" t="shared" si="46" ref="S71:S102">(b_2*c_2*(fsw*kHz)+2*a_2*c_2*d_2*(fsw*kHz))/(3*a_2*c_2*(fsw*kHz))</f>
        <v>0.7603833865814695</v>
      </c>
      <c r="T71" s="153">
        <f t="shared" si="16"/>
        <v>2.205343347485962</v>
      </c>
      <c r="U71" s="153">
        <f aca="true" t="shared" si="47" ref="U71:U102">c_3+(SQRT(ftyp)*SQRT(H71)/(SQRT(a_3)*SQRT(b_3)*SQRT(fsw*kHz)))</f>
        <v>1.414009366673747</v>
      </c>
      <c r="V71" s="153">
        <f aca="true" t="shared" si="48" ref="V71:V102">(a_4*(fsw*kHz)*b_4/ftyp)</f>
        <v>3.833263214726713</v>
      </c>
      <c r="W71" s="153">
        <f t="shared" si="17"/>
        <v>2.205343347485962</v>
      </c>
      <c r="X71" s="163">
        <f aca="true" t="shared" si="49" ref="X71:X102">Pin_max/G71</f>
        <v>7.019927536231884</v>
      </c>
      <c r="Y71" s="163">
        <f aca="true" t="shared" si="50" ref="Y71:Y102">-X71*Rsense*1.414</f>
        <v>-0.07940942028985506</v>
      </c>
      <c r="Z71" s="164">
        <f aca="true" t="shared" si="51" ref="Z71:Z102">MIN(6,MAX(0.5,Beta*G*($Y71-Voff_trim)/(MAX(0,MIN(4.5,W71)-Alpha1_A)+MAX(0,MIN(4.5,W71)-Alpha1_B)-Alpha1_C)+Alpha2))</f>
        <v>4.960051761873754</v>
      </c>
    </row>
    <row r="72" spans="7:26" ht="12.75">
      <c r="G72" s="154">
        <f t="shared" si="19"/>
        <v>241</v>
      </c>
      <c r="H72" s="154">
        <f t="shared" si="36"/>
        <v>0.18891292797662335</v>
      </c>
      <c r="I72" s="154">
        <f t="shared" si="37"/>
        <v>4.00271757881812</v>
      </c>
      <c r="J72" s="154">
        <f t="shared" si="38"/>
        <v>2.6760903273069516</v>
      </c>
      <c r="K72" s="154">
        <f t="shared" si="39"/>
        <v>2.6720105726415593</v>
      </c>
      <c r="L72" s="154">
        <f t="shared" si="40"/>
        <v>0.00045657096939147324</v>
      </c>
      <c r="M72" s="154">
        <f t="shared" si="41"/>
        <v>0.5213675213675213</v>
      </c>
      <c r="N72" s="154">
        <f aca="true" t="shared" si="52" ref="N72:N135">(J72+K72)^(1/3)+(L72/(J72^(1/3)))+M72</f>
        <v>2.2704684046862713</v>
      </c>
      <c r="O72" s="154">
        <f t="shared" si="42"/>
        <v>0.07325223505585884</v>
      </c>
      <c r="P72" s="154">
        <f t="shared" si="43"/>
        <v>1.8232469253122459</v>
      </c>
      <c r="Q72" s="154">
        <f t="shared" si="44"/>
        <v>1.2771397762799108</v>
      </c>
      <c r="R72" s="154">
        <f t="shared" si="45"/>
        <v>0.06779950800763512</v>
      </c>
      <c r="S72" s="154">
        <f t="shared" si="46"/>
        <v>0.7603833865814695</v>
      </c>
      <c r="T72" s="154">
        <f aca="true" t="shared" si="53" ref="T72:T135">((O72+SQRT(P72)+Q72)^(1/3))+(R72/((O72+SQRT(P72)+Q72)^(1/3)))+S72</f>
        <v>2.2016608226391083</v>
      </c>
      <c r="U72" s="154">
        <f t="shared" si="47"/>
        <v>1.4102167966875487</v>
      </c>
      <c r="V72" s="154">
        <f t="shared" si="48"/>
        <v>3.833263214726713</v>
      </c>
      <c r="W72" s="154">
        <f aca="true" t="shared" si="54" ref="W72:W135">IF(I72&gt;=0.5,IF(I72&lt;1,I72,IF(N72&gt;=1,IF(N72&lt;2,N72,IF(T72&gt;=2,IF(T72&lt;4.5,T72,IF(U72&gt;=4.5,IF(U72&lt;4.6,U72,V72))))))))</f>
        <v>2.2016608226391083</v>
      </c>
      <c r="X72" s="163">
        <f t="shared" si="49"/>
        <v>6.990799206206025</v>
      </c>
      <c r="Y72" s="165">
        <f t="shared" si="50"/>
        <v>-0.07907992062060255</v>
      </c>
      <c r="Z72" s="166">
        <f t="shared" si="51"/>
        <v>4.957868828295647</v>
      </c>
    </row>
    <row r="73" spans="7:26" ht="12.75">
      <c r="G73" s="153">
        <f aca="true" t="shared" si="55" ref="G73:G80">G72+1</f>
        <v>242</v>
      </c>
      <c r="H73" s="153">
        <f t="shared" si="36"/>
        <v>0.18735488986084045</v>
      </c>
      <c r="I73" s="153">
        <f t="shared" si="37"/>
        <v>3.988243539236227</v>
      </c>
      <c r="J73" s="153">
        <f t="shared" si="38"/>
        <v>2.654036222201109</v>
      </c>
      <c r="K73" s="153">
        <f t="shared" si="39"/>
        <v>2.6499568978377543</v>
      </c>
      <c r="L73" s="153">
        <f t="shared" si="40"/>
        <v>0.00045657096939147324</v>
      </c>
      <c r="M73" s="153">
        <f t="shared" si="41"/>
        <v>0.5213675213675213</v>
      </c>
      <c r="N73" s="153">
        <f t="shared" si="52"/>
        <v>2.265648444118172</v>
      </c>
      <c r="O73" s="153">
        <f t="shared" si="42"/>
        <v>0.07325223505585884</v>
      </c>
      <c r="P73" s="153">
        <f t="shared" si="43"/>
        <v>1.7936817817849806</v>
      </c>
      <c r="Q73" s="153">
        <f t="shared" si="44"/>
        <v>1.2661481683904743</v>
      </c>
      <c r="R73" s="153">
        <f t="shared" si="45"/>
        <v>0.06779950800763512</v>
      </c>
      <c r="S73" s="153">
        <f t="shared" si="46"/>
        <v>0.7603833865814695</v>
      </c>
      <c r="T73" s="153">
        <f t="shared" si="53"/>
        <v>2.1980046606266823</v>
      </c>
      <c r="U73" s="153">
        <f t="shared" si="47"/>
        <v>1.4064555702549555</v>
      </c>
      <c r="V73" s="153">
        <f t="shared" si="48"/>
        <v>3.833263214726713</v>
      </c>
      <c r="W73" s="153">
        <f t="shared" si="54"/>
        <v>2.1980046606266823</v>
      </c>
      <c r="X73" s="163">
        <f t="shared" si="49"/>
        <v>6.96191160618038</v>
      </c>
      <c r="Y73" s="163">
        <f t="shared" si="50"/>
        <v>-0.07875314408911246</v>
      </c>
      <c r="Z73" s="164">
        <f t="shared" si="51"/>
        <v>4.9557064025101045</v>
      </c>
    </row>
    <row r="74" spans="7:26" ht="12.75">
      <c r="G74" s="154">
        <f t="shared" si="55"/>
        <v>243</v>
      </c>
      <c r="H74" s="154">
        <f t="shared" si="36"/>
        <v>0.1858160471779414</v>
      </c>
      <c r="I74" s="154">
        <f t="shared" si="37"/>
        <v>3.9738886275521277</v>
      </c>
      <c r="J74" s="154">
        <f t="shared" si="38"/>
        <v>2.632253829378864</v>
      </c>
      <c r="K74" s="154">
        <f t="shared" si="39"/>
        <v>2.6281749300161152</v>
      </c>
      <c r="L74" s="154">
        <f t="shared" si="40"/>
        <v>0.00045657096939147324</v>
      </c>
      <c r="M74" s="154">
        <f t="shared" si="41"/>
        <v>0.5213675213675213</v>
      </c>
      <c r="N74" s="154">
        <f t="shared" si="52"/>
        <v>2.2608615700210013</v>
      </c>
      <c r="O74" s="154">
        <f t="shared" si="42"/>
        <v>0.07325223505585884</v>
      </c>
      <c r="P74" s="154">
        <f t="shared" si="43"/>
        <v>1.7647180722726843</v>
      </c>
      <c r="Q74" s="154">
        <f t="shared" si="44"/>
        <v>1.2552919799554083</v>
      </c>
      <c r="R74" s="154">
        <f t="shared" si="45"/>
        <v>0.06779950800763512</v>
      </c>
      <c r="S74" s="154">
        <f t="shared" si="46"/>
        <v>0.7603833865814695</v>
      </c>
      <c r="T74" s="154">
        <f t="shared" si="53"/>
        <v>2.1943745709970397</v>
      </c>
      <c r="U74" s="154">
        <f t="shared" si="47"/>
        <v>1.4027253004185156</v>
      </c>
      <c r="V74" s="154">
        <f t="shared" si="48"/>
        <v>3.833263214726713</v>
      </c>
      <c r="W74" s="154">
        <f t="shared" si="54"/>
        <v>2.1943745709970397</v>
      </c>
      <c r="X74" s="163">
        <f t="shared" si="49"/>
        <v>6.933261764179638</v>
      </c>
      <c r="Y74" s="165">
        <f t="shared" si="50"/>
        <v>-0.07842905707640005</v>
      </c>
      <c r="Z74" s="166">
        <f t="shared" si="51"/>
        <v>4.953564275055566</v>
      </c>
    </row>
    <row r="75" spans="7:26" ht="12.75">
      <c r="G75" s="153">
        <f t="shared" si="55"/>
        <v>244</v>
      </c>
      <c r="H75" s="153">
        <f t="shared" si="36"/>
        <v>0.1842960858944212</v>
      </c>
      <c r="I75" s="153">
        <f t="shared" si="37"/>
        <v>3.959651379078553</v>
      </c>
      <c r="J75" s="153">
        <f t="shared" si="38"/>
        <v>2.6107387036807217</v>
      </c>
      <c r="K75" s="153">
        <f t="shared" si="39"/>
        <v>2.6066602241038757</v>
      </c>
      <c r="L75" s="153">
        <f t="shared" si="40"/>
        <v>0.00045657096939147324</v>
      </c>
      <c r="M75" s="153">
        <f t="shared" si="41"/>
        <v>0.5213675213675213</v>
      </c>
      <c r="N75" s="153">
        <f t="shared" si="52"/>
        <v>2.25610742053935</v>
      </c>
      <c r="O75" s="153">
        <f t="shared" si="42"/>
        <v>0.07325223505585884</v>
      </c>
      <c r="P75" s="153">
        <f t="shared" si="43"/>
        <v>1.7363411368395514</v>
      </c>
      <c r="Q75" s="153">
        <f t="shared" si="44"/>
        <v>1.2445689955390844</v>
      </c>
      <c r="R75" s="153">
        <f t="shared" si="45"/>
        <v>0.06779950800763512</v>
      </c>
      <c r="S75" s="153">
        <f t="shared" si="46"/>
        <v>0.7603833865814695</v>
      </c>
      <c r="T75" s="153">
        <f t="shared" si="53"/>
        <v>2.190770267669844</v>
      </c>
      <c r="U75" s="153">
        <f t="shared" si="47"/>
        <v>1.3990256065643412</v>
      </c>
      <c r="V75" s="153">
        <f t="shared" si="48"/>
        <v>3.833263214726713</v>
      </c>
      <c r="W75" s="153">
        <f t="shared" si="54"/>
        <v>2.190770267669844</v>
      </c>
      <c r="X75" s="163">
        <f t="shared" si="49"/>
        <v>6.904846756949394</v>
      </c>
      <c r="Y75" s="163">
        <f t="shared" si="50"/>
        <v>-0.07810762651461153</v>
      </c>
      <c r="Z75" s="164">
        <f t="shared" si="51"/>
        <v>4.951442239378957</v>
      </c>
    </row>
    <row r="76" spans="7:26" ht="12.75">
      <c r="G76" s="154">
        <f t="shared" si="55"/>
        <v>245</v>
      </c>
      <c r="H76" s="154">
        <f t="shared" si="36"/>
        <v>0.1827946983725158</v>
      </c>
      <c r="I76" s="154">
        <f t="shared" si="37"/>
        <v>3.945530353041498</v>
      </c>
      <c r="J76" s="154">
        <f t="shared" si="38"/>
        <v>2.5894864904792088</v>
      </c>
      <c r="K76" s="154">
        <f t="shared" si="39"/>
        <v>2.5854084255585277</v>
      </c>
      <c r="L76" s="154">
        <f t="shared" si="40"/>
        <v>0.00045657096939147324</v>
      </c>
      <c r="M76" s="154">
        <f t="shared" si="41"/>
        <v>0.5213675213675213</v>
      </c>
      <c r="N76" s="154">
        <f t="shared" si="52"/>
        <v>2.251385639237071</v>
      </c>
      <c r="O76" s="154">
        <f t="shared" si="42"/>
        <v>0.07325223505585884</v>
      </c>
      <c r="P76" s="154">
        <f t="shared" si="43"/>
        <v>1.7085367312142354</v>
      </c>
      <c r="Q76" s="154">
        <f t="shared" si="44"/>
        <v>1.233977044826387</v>
      </c>
      <c r="R76" s="154">
        <f t="shared" si="45"/>
        <v>0.06779950800763512</v>
      </c>
      <c r="S76" s="154">
        <f t="shared" si="46"/>
        <v>0.7603833865814695</v>
      </c>
      <c r="T76" s="154">
        <f t="shared" si="53"/>
        <v>2.1871914688527063</v>
      </c>
      <c r="U76" s="154">
        <f t="shared" si="47"/>
        <v>1.39535611429265</v>
      </c>
      <c r="V76" s="154">
        <f t="shared" si="48"/>
        <v>3.833263214726713</v>
      </c>
      <c r="W76" s="154">
        <f t="shared" si="54"/>
        <v>2.1871914688527063</v>
      </c>
      <c r="X76" s="163">
        <f t="shared" si="49"/>
        <v>6.8766637089618445</v>
      </c>
      <c r="Y76" s="165">
        <f t="shared" si="50"/>
        <v>-0.07778881987577639</v>
      </c>
      <c r="Z76" s="166">
        <f t="shared" si="51"/>
        <v>4.949340091783375</v>
      </c>
    </row>
    <row r="77" spans="7:26" ht="12.75">
      <c r="G77" s="153">
        <f t="shared" si="55"/>
        <v>246</v>
      </c>
      <c r="H77" s="153">
        <f t="shared" si="36"/>
        <v>0.1813115832145261</v>
      </c>
      <c r="I77" s="153">
        <f t="shared" si="37"/>
        <v>3.9315241320941743</v>
      </c>
      <c r="J77" s="153">
        <f t="shared" si="38"/>
        <v>2.568492923475273</v>
      </c>
      <c r="K77" s="153">
        <f t="shared" si="39"/>
        <v>2.56441526816426</v>
      </c>
      <c r="L77" s="153">
        <f t="shared" si="40"/>
        <v>0.00045657096939147324</v>
      </c>
      <c r="M77" s="153">
        <f t="shared" si="41"/>
        <v>0.5213675213675213</v>
      </c>
      <c r="N77" s="153">
        <f t="shared" si="52"/>
        <v>2.246695874994395</v>
      </c>
      <c r="O77" s="153">
        <f t="shared" si="42"/>
        <v>0.07325223505585884</v>
      </c>
      <c r="P77" s="153">
        <f t="shared" si="43"/>
        <v>1.6812910133674421</v>
      </c>
      <c r="Q77" s="153">
        <f t="shared" si="44"/>
        <v>1.2235140015244517</v>
      </c>
      <c r="R77" s="153">
        <f t="shared" si="45"/>
        <v>0.06779950800763512</v>
      </c>
      <c r="S77" s="153">
        <f t="shared" si="46"/>
        <v>0.7603833865814695</v>
      </c>
      <c r="T77" s="153">
        <f t="shared" si="53"/>
        <v>2.1836378969597376</v>
      </c>
      <c r="U77" s="153">
        <f t="shared" si="47"/>
        <v>1.3917164552914603</v>
      </c>
      <c r="V77" s="153">
        <f t="shared" si="48"/>
        <v>3.833263214726713</v>
      </c>
      <c r="W77" s="153">
        <f t="shared" si="54"/>
        <v>2.1836378969597376</v>
      </c>
      <c r="X77" s="163">
        <f t="shared" si="49"/>
        <v>6.8487097914457395</v>
      </c>
      <c r="Y77" s="163">
        <f t="shared" si="50"/>
        <v>-0.0774726051608342</v>
      </c>
      <c r="Z77" s="164">
        <f t="shared" si="51"/>
        <v>4.947257631376981</v>
      </c>
    </row>
    <row r="78" spans="7:26" ht="12.75">
      <c r="G78" s="154">
        <f t="shared" si="55"/>
        <v>247</v>
      </c>
      <c r="H78" s="154">
        <f t="shared" si="36"/>
        <v>0.1798464451115452</v>
      </c>
      <c r="I78" s="154">
        <f t="shared" si="37"/>
        <v>3.917631321842781</v>
      </c>
      <c r="J78" s="154">
        <f t="shared" si="38"/>
        <v>2.5477538225570147</v>
      </c>
      <c r="K78" s="154">
        <f t="shared" si="39"/>
        <v>2.5436765718907304</v>
      </c>
      <c r="L78" s="154">
        <f t="shared" si="40"/>
        <v>0.00045657096939147324</v>
      </c>
      <c r="M78" s="154">
        <f t="shared" si="41"/>
        <v>0.5213675213675213</v>
      </c>
      <c r="N78" s="154">
        <f t="shared" si="52"/>
        <v>2.2420377819074293</v>
      </c>
      <c r="O78" s="154">
        <f t="shared" si="42"/>
        <v>0.07325223505585884</v>
      </c>
      <c r="P78" s="154">
        <f t="shared" si="43"/>
        <v>1.654590530575326</v>
      </c>
      <c r="Q78" s="154">
        <f t="shared" si="44"/>
        <v>1.213177782295472</v>
      </c>
      <c r="R78" s="154">
        <f t="shared" si="45"/>
        <v>0.06779950800763512</v>
      </c>
      <c r="S78" s="154">
        <f t="shared" si="46"/>
        <v>0.7603833865814695</v>
      </c>
      <c r="T78" s="154">
        <f t="shared" si="53"/>
        <v>2.1801092785319827</v>
      </c>
      <c r="U78" s="154">
        <f t="shared" si="47"/>
        <v>1.3881062672133573</v>
      </c>
      <c r="V78" s="154">
        <f t="shared" si="48"/>
        <v>3.833263214726713</v>
      </c>
      <c r="W78" s="154">
        <f t="shared" si="54"/>
        <v>2.1801092785319827</v>
      </c>
      <c r="X78" s="163">
        <f t="shared" si="49"/>
        <v>6.820982221439887</v>
      </c>
      <c r="Y78" s="165">
        <f t="shared" si="50"/>
        <v>-0.07715895088892799</v>
      </c>
      <c r="Z78" s="166">
        <f t="shared" si="51"/>
        <v>4.945194660022967</v>
      </c>
    </row>
    <row r="79" spans="7:26" ht="12.75">
      <c r="G79" s="153">
        <f t="shared" si="55"/>
        <v>248</v>
      </c>
      <c r="H79" s="153">
        <f t="shared" si="36"/>
        <v>0.17839899469644674</v>
      </c>
      <c r="I79" s="153">
        <f t="shared" si="37"/>
        <v>3.903850550383737</v>
      </c>
      <c r="J79" s="153">
        <f t="shared" si="38"/>
        <v>2.5272650917187214</v>
      </c>
      <c r="K79" s="153">
        <f t="shared" si="39"/>
        <v>2.5231882408121455</v>
      </c>
      <c r="L79" s="153">
        <f t="shared" si="40"/>
        <v>0.00045657096939147324</v>
      </c>
      <c r="M79" s="153">
        <f t="shared" si="41"/>
        <v>0.5213675213675213</v>
      </c>
      <c r="N79" s="153">
        <f t="shared" si="52"/>
        <v>2.237411019189932</v>
      </c>
      <c r="O79" s="153">
        <f t="shared" si="42"/>
        <v>0.07325223505585884</v>
      </c>
      <c r="P79" s="153">
        <f t="shared" si="43"/>
        <v>1.628422206949215</v>
      </c>
      <c r="Q79" s="153">
        <f t="shared" si="44"/>
        <v>1.202966345719564</v>
      </c>
      <c r="R79" s="153">
        <f t="shared" si="45"/>
        <v>0.06779950800763512</v>
      </c>
      <c r="S79" s="153">
        <f t="shared" si="46"/>
        <v>0.7603833865814695</v>
      </c>
      <c r="T79" s="153">
        <f t="shared" si="53"/>
        <v>2.1766053441596647</v>
      </c>
      <c r="U79" s="153">
        <f t="shared" si="47"/>
        <v>1.384525193555239</v>
      </c>
      <c r="V79" s="153">
        <f t="shared" si="48"/>
        <v>3.833263214726713</v>
      </c>
      <c r="W79" s="153">
        <f t="shared" si="54"/>
        <v>2.1766053441596647</v>
      </c>
      <c r="X79" s="163">
        <f t="shared" si="49"/>
        <v>6.7934782608695645</v>
      </c>
      <c r="Y79" s="163">
        <f t="shared" si="50"/>
        <v>-0.07684782608695652</v>
      </c>
      <c r="Z79" s="164">
        <f t="shared" si="51"/>
        <v>4.943150982290624</v>
      </c>
    </row>
    <row r="80" spans="7:26" ht="12.75">
      <c r="G80" s="154">
        <f t="shared" si="55"/>
        <v>249</v>
      </c>
      <c r="H80" s="154">
        <f t="shared" si="36"/>
        <v>0.17696894840099772</v>
      </c>
      <c r="I80" s="154">
        <f t="shared" si="37"/>
        <v>3.8901804678520757</v>
      </c>
      <c r="J80" s="154">
        <f t="shared" si="38"/>
        <v>2.507022717038301</v>
      </c>
      <c r="K80" s="154">
        <f t="shared" si="39"/>
        <v>2.50294626108473</v>
      </c>
      <c r="L80" s="154">
        <f t="shared" si="40"/>
        <v>0.00045657096939147324</v>
      </c>
      <c r="M80" s="154">
        <f t="shared" si="41"/>
        <v>0.5213675213675213</v>
      </c>
      <c r="N80" s="154">
        <f t="shared" si="52"/>
        <v>2.2328152510773425</v>
      </c>
      <c r="O80" s="154">
        <f t="shared" si="42"/>
        <v>0.07325223505585884</v>
      </c>
      <c r="P80" s="154">
        <f t="shared" si="43"/>
        <v>1.6027733314130717</v>
      </c>
      <c r="Q80" s="154">
        <f t="shared" si="44"/>
        <v>1.1928776912867305</v>
      </c>
      <c r="R80" s="154">
        <f t="shared" si="45"/>
        <v>0.06779950800763512</v>
      </c>
      <c r="S80" s="154">
        <f t="shared" si="46"/>
        <v>0.7603833865814695</v>
      </c>
      <c r="T80" s="154">
        <f t="shared" si="53"/>
        <v>2.1731258284062065</v>
      </c>
      <c r="U80" s="154">
        <f t="shared" si="47"/>
        <v>1.380972883540961</v>
      </c>
      <c r="V80" s="154">
        <f t="shared" si="48"/>
        <v>3.833263214726713</v>
      </c>
      <c r="W80" s="154">
        <f t="shared" si="54"/>
        <v>2.1731258284062065</v>
      </c>
      <c r="X80" s="163">
        <f t="shared" si="49"/>
        <v>6.7661952156451886</v>
      </c>
      <c r="Y80" s="165">
        <f t="shared" si="50"/>
        <v>-0.07653920027937837</v>
      </c>
      <c r="Z80" s="166">
        <f t="shared" si="51"/>
        <v>4.94112640540748</v>
      </c>
    </row>
    <row r="81" spans="7:26" ht="12.75">
      <c r="G81" s="153">
        <f>G80+1</f>
        <v>250</v>
      </c>
      <c r="H81" s="153">
        <f t="shared" si="36"/>
        <v>0.17555602831696418</v>
      </c>
      <c r="I81" s="153">
        <f t="shared" si="37"/>
        <v>3.8766197459806677</v>
      </c>
      <c r="J81" s="153">
        <f t="shared" si="38"/>
        <v>2.4870227647112206</v>
      </c>
      <c r="K81" s="153">
        <f t="shared" si="39"/>
        <v>2.482946698980703</v>
      </c>
      <c r="L81" s="153">
        <f t="shared" si="40"/>
        <v>0.00045657096939147324</v>
      </c>
      <c r="M81" s="153">
        <f t="shared" si="41"/>
        <v>0.5213675213675213</v>
      </c>
      <c r="N81" s="153">
        <f t="shared" si="52"/>
        <v>2.2282501467329765</v>
      </c>
      <c r="O81" s="153">
        <f t="shared" si="42"/>
        <v>0.07325223505585884</v>
      </c>
      <c r="P81" s="153">
        <f t="shared" si="43"/>
        <v>1.5776315461108759</v>
      </c>
      <c r="Q81" s="153">
        <f t="shared" si="44"/>
        <v>1.182909858416992</v>
      </c>
      <c r="R81" s="153">
        <f t="shared" si="45"/>
        <v>0.06779950800763512</v>
      </c>
      <c r="S81" s="153">
        <f t="shared" si="46"/>
        <v>0.7603833865814695</v>
      </c>
      <c r="T81" s="153">
        <f t="shared" si="53"/>
        <v>2.169670469733974</v>
      </c>
      <c r="U81" s="153">
        <f t="shared" si="47"/>
        <v>1.377448992006797</v>
      </c>
      <c r="V81" s="153">
        <f t="shared" si="48"/>
        <v>3.833263214726713</v>
      </c>
      <c r="W81" s="153">
        <f t="shared" si="54"/>
        <v>2.169670469733974</v>
      </c>
      <c r="X81" s="163">
        <f t="shared" si="49"/>
        <v>6.739130434782608</v>
      </c>
      <c r="Y81" s="163">
        <f t="shared" si="50"/>
        <v>-0.07623304347826086</v>
      </c>
      <c r="Z81" s="164">
        <f t="shared" si="51"/>
        <v>4.939120739212457</v>
      </c>
    </row>
    <row r="82" spans="7:26" ht="12.75">
      <c r="G82" s="154">
        <f aca="true" t="shared" si="56" ref="G82:G99">G81+1</f>
        <v>251</v>
      </c>
      <c r="H82" s="154">
        <f t="shared" si="36"/>
        <v>0.17415996206108253</v>
      </c>
      <c r="I82" s="154">
        <f t="shared" si="37"/>
        <v>3.8631670776699885</v>
      </c>
      <c r="J82" s="154">
        <f t="shared" si="38"/>
        <v>2.4672613791391718</v>
      </c>
      <c r="K82" s="154">
        <f t="shared" si="39"/>
        <v>2.463185698976985</v>
      </c>
      <c r="L82" s="154">
        <f t="shared" si="40"/>
        <v>0.00045657096939147324</v>
      </c>
      <c r="M82" s="154">
        <f t="shared" si="41"/>
        <v>0.5213675213675213</v>
      </c>
      <c r="N82" s="154">
        <f t="shared" si="52"/>
        <v>2.2237153801563423</v>
      </c>
      <c r="O82" s="154">
        <f t="shared" si="42"/>
        <v>0.07325223505585884</v>
      </c>
      <c r="P82" s="154">
        <f t="shared" si="43"/>
        <v>1.5529848352269333</v>
      </c>
      <c r="Q82" s="154">
        <f t="shared" si="44"/>
        <v>1.1730609255077906</v>
      </c>
      <c r="R82" s="154">
        <f t="shared" si="45"/>
        <v>0.06779950800763512</v>
      </c>
      <c r="S82" s="154">
        <f t="shared" si="46"/>
        <v>0.7603833865814695</v>
      </c>
      <c r="T82" s="154">
        <f t="shared" si="53"/>
        <v>2.1662390104316964</v>
      </c>
      <c r="U82" s="154">
        <f t="shared" si="47"/>
        <v>1.3739531792896384</v>
      </c>
      <c r="V82" s="154">
        <f t="shared" si="48"/>
        <v>3.833263214726713</v>
      </c>
      <c r="W82" s="154">
        <f t="shared" si="54"/>
        <v>2.1662390104316964</v>
      </c>
      <c r="X82" s="163">
        <f t="shared" si="49"/>
        <v>6.71228130954443</v>
      </c>
      <c r="Y82" s="165">
        <f t="shared" si="50"/>
        <v>-0.0759293261735666</v>
      </c>
      <c r="Z82" s="166">
        <f t="shared" si="51"/>
        <v>4.9371337961100465</v>
      </c>
    </row>
    <row r="83" spans="2:26" ht="12.75">
      <c r="B83" s="156"/>
      <c r="G83" s="153">
        <f t="shared" si="56"/>
        <v>252</v>
      </c>
      <c r="H83" s="153">
        <f t="shared" si="36"/>
        <v>0.17278048264377457</v>
      </c>
      <c r="I83" s="153">
        <f t="shared" si="37"/>
        <v>3.8498211765681227</v>
      </c>
      <c r="J83" s="153">
        <f t="shared" si="38"/>
        <v>2.447734781071724</v>
      </c>
      <c r="K83" s="153">
        <f t="shared" si="39"/>
        <v>2.4436594818968818</v>
      </c>
      <c r="L83" s="153">
        <f t="shared" si="40"/>
        <v>0.00045657096939147324</v>
      </c>
      <c r="M83" s="153">
        <f t="shared" si="41"/>
        <v>0.5213675213675213</v>
      </c>
      <c r="N83" s="153">
        <f t="shared" si="52"/>
        <v>2.219210630093527</v>
      </c>
      <c r="O83" s="153">
        <f t="shared" si="42"/>
        <v>0.07325223505585884</v>
      </c>
      <c r="P83" s="153">
        <f t="shared" si="43"/>
        <v>1.5288215142028139</v>
      </c>
      <c r="Q83" s="153">
        <f t="shared" si="44"/>
        <v>1.163329009007803</v>
      </c>
      <c r="R83" s="153">
        <f t="shared" si="45"/>
        <v>0.06779950800763512</v>
      </c>
      <c r="S83" s="153">
        <f t="shared" si="46"/>
        <v>0.7603833865814695</v>
      </c>
      <c r="T83" s="153">
        <f t="shared" si="53"/>
        <v>2.162831196543523</v>
      </c>
      <c r="U83" s="153">
        <f t="shared" si="47"/>
        <v>1.3704851111178542</v>
      </c>
      <c r="V83" s="153">
        <f t="shared" si="48"/>
        <v>3.833263214726713</v>
      </c>
      <c r="W83" s="153">
        <f t="shared" si="54"/>
        <v>2.162831196543523</v>
      </c>
      <c r="X83" s="163">
        <f t="shared" si="49"/>
        <v>6.685645272601794</v>
      </c>
      <c r="Y83" s="163">
        <f t="shared" si="50"/>
        <v>-0.0756280193236715</v>
      </c>
      <c r="Z83" s="164">
        <f t="shared" si="51"/>
        <v>4.9351653910254605</v>
      </c>
    </row>
    <row r="84" spans="7:26" ht="12.75">
      <c r="G84" s="154">
        <f t="shared" si="56"/>
        <v>253</v>
      </c>
      <c r="H84" s="154">
        <f t="shared" si="36"/>
        <v>0.1714173283414873</v>
      </c>
      <c r="I84" s="154">
        <f t="shared" si="37"/>
        <v>3.8365807766607385</v>
      </c>
      <c r="J84" s="154">
        <f t="shared" si="38"/>
        <v>2.4284392657992884</v>
      </c>
      <c r="K84" s="154">
        <f t="shared" si="39"/>
        <v>2.424364343103088</v>
      </c>
      <c r="L84" s="154">
        <f t="shared" si="40"/>
        <v>0.00045657096939147324</v>
      </c>
      <c r="M84" s="154">
        <f t="shared" si="41"/>
        <v>0.5213675213675213</v>
      </c>
      <c r="N84" s="154">
        <f t="shared" si="52"/>
        <v>2.214735579949581</v>
      </c>
      <c r="O84" s="154">
        <f t="shared" si="42"/>
        <v>0.07325223505585884</v>
      </c>
      <c r="P84" s="154">
        <f t="shared" si="43"/>
        <v>1.5051302193353482</v>
      </c>
      <c r="Q84" s="154">
        <f t="shared" si="44"/>
        <v>1.1537122625163276</v>
      </c>
      <c r="R84" s="154">
        <f t="shared" si="45"/>
        <v>0.06779950800763512</v>
      </c>
      <c r="S84" s="154">
        <f t="shared" si="46"/>
        <v>0.7603833865814695</v>
      </c>
      <c r="T84" s="154">
        <f t="shared" si="53"/>
        <v>2.15944677779967</v>
      </c>
      <c r="U84" s="154">
        <f t="shared" si="47"/>
        <v>1.36704445850474</v>
      </c>
      <c r="V84" s="154">
        <f t="shared" si="48"/>
        <v>3.833263214726713</v>
      </c>
      <c r="W84" s="154">
        <f t="shared" si="54"/>
        <v>2.15944677779967</v>
      </c>
      <c r="X84" s="163">
        <f t="shared" si="49"/>
        <v>6.659219797216016</v>
      </c>
      <c r="Y84" s="165">
        <f t="shared" si="50"/>
        <v>-0.07532909434610757</v>
      </c>
      <c r="Z84" s="166">
        <f t="shared" si="51"/>
        <v>4.933215341360729</v>
      </c>
    </row>
    <row r="85" spans="7:26" ht="12.75">
      <c r="G85" s="153">
        <f t="shared" si="56"/>
        <v>254</v>
      </c>
      <c r="H85" s="153">
        <f t="shared" si="36"/>
        <v>0.1700702425725442</v>
      </c>
      <c r="I85" s="153">
        <f t="shared" si="37"/>
        <v>3.823444631870736</v>
      </c>
      <c r="J85" s="153">
        <f t="shared" si="38"/>
        <v>2.4093712013957886</v>
      </c>
      <c r="K85" s="153">
        <f t="shared" si="39"/>
        <v>2.405296650740391</v>
      </c>
      <c r="L85" s="153">
        <f t="shared" si="40"/>
        <v>0.00045657096939147324</v>
      </c>
      <c r="M85" s="153">
        <f t="shared" si="41"/>
        <v>0.5213675213675213</v>
      </c>
      <c r="N85" s="153">
        <f t="shared" si="52"/>
        <v>2.210289917702867</v>
      </c>
      <c r="O85" s="153">
        <f t="shared" si="42"/>
        <v>0.07325223505585884</v>
      </c>
      <c r="P85" s="153">
        <f t="shared" si="43"/>
        <v>1.481899897740779</v>
      </c>
      <c r="Q85" s="153">
        <f t="shared" si="44"/>
        <v>1.1442088759074434</v>
      </c>
      <c r="R85" s="153">
        <f t="shared" si="45"/>
        <v>0.06779950800763512</v>
      </c>
      <c r="S85" s="153">
        <f t="shared" si="46"/>
        <v>0.7603833865814695</v>
      </c>
      <c r="T85" s="153">
        <f t="shared" si="53"/>
        <v>2.156085507548614</v>
      </c>
      <c r="U85" s="153">
        <f t="shared" si="47"/>
        <v>1.3636308976444853</v>
      </c>
      <c r="V85" s="153">
        <f t="shared" si="48"/>
        <v>3.833263214726713</v>
      </c>
      <c r="W85" s="153">
        <f t="shared" si="54"/>
        <v>2.156085507548614</v>
      </c>
      <c r="X85" s="163">
        <f t="shared" si="49"/>
        <v>6.633002396439575</v>
      </c>
      <c r="Y85" s="163">
        <f t="shared" si="50"/>
        <v>-0.07503252310852446</v>
      </c>
      <c r="Z85" s="164">
        <f t="shared" si="51"/>
        <v>4.93128346695175</v>
      </c>
    </row>
    <row r="86" spans="7:26" ht="12.75">
      <c r="G86" s="154">
        <f t="shared" si="56"/>
        <v>255</v>
      </c>
      <c r="H86" s="154">
        <f t="shared" si="36"/>
        <v>0.1687389737763977</v>
      </c>
      <c r="I86" s="154">
        <f t="shared" si="37"/>
        <v>3.810411515667322</v>
      </c>
      <c r="J86" s="154">
        <f t="shared" si="38"/>
        <v>2.3905270270094707</v>
      </c>
      <c r="K86" s="154">
        <f t="shared" si="39"/>
        <v>2.3864528440265134</v>
      </c>
      <c r="L86" s="154">
        <f t="shared" si="40"/>
        <v>0.00045657096939147324</v>
      </c>
      <c r="M86" s="154">
        <f t="shared" si="41"/>
        <v>0.5213675213675213</v>
      </c>
      <c r="N86" s="154">
        <f t="shared" si="52"/>
        <v>2.205873335821308</v>
      </c>
      <c r="O86" s="154">
        <f t="shared" si="42"/>
        <v>0.07325223505585884</v>
      </c>
      <c r="P86" s="154">
        <f t="shared" si="43"/>
        <v>1.4591197976707875</v>
      </c>
      <c r="Q86" s="154">
        <f t="shared" si="44"/>
        <v>1.1348170744781625</v>
      </c>
      <c r="R86" s="154">
        <f t="shared" si="45"/>
        <v>0.06779950800763512</v>
      </c>
      <c r="S86" s="154">
        <f t="shared" si="46"/>
        <v>0.7603833865814695</v>
      </c>
      <c r="T86" s="154">
        <f t="shared" si="53"/>
        <v>2.152747142690793</v>
      </c>
      <c r="U86" s="154">
        <f t="shared" si="47"/>
        <v>1.3602441098105853</v>
      </c>
      <c r="V86" s="154">
        <f t="shared" si="48"/>
        <v>3.833263214726713</v>
      </c>
      <c r="W86" s="154">
        <f t="shared" si="54"/>
        <v>2.152747142690793</v>
      </c>
      <c r="X86" s="163">
        <f t="shared" si="49"/>
        <v>6.60699062233589</v>
      </c>
      <c r="Y86" s="165">
        <f t="shared" si="50"/>
        <v>-0.0747382779198636</v>
      </c>
      <c r="Z86" s="166">
        <f t="shared" si="51"/>
        <v>4.929369590026253</v>
      </c>
    </row>
    <row r="87" spans="7:26" ht="12.75">
      <c r="G87" s="153">
        <f t="shared" si="56"/>
        <v>256</v>
      </c>
      <c r="H87" s="153">
        <f t="shared" si="36"/>
        <v>0.16742327529617707</v>
      </c>
      <c r="I87" s="153">
        <f t="shared" si="37"/>
        <v>3.7974802206842457</v>
      </c>
      <c r="J87" s="153">
        <f t="shared" si="38"/>
        <v>2.371903251200364</v>
      </c>
      <c r="K87" s="153">
        <f t="shared" si="39"/>
        <v>2.3678294315896062</v>
      </c>
      <c r="L87" s="153">
        <f t="shared" si="40"/>
        <v>0.00045657096939147324</v>
      </c>
      <c r="M87" s="153">
        <f t="shared" si="41"/>
        <v>0.5213675213675213</v>
      </c>
      <c r="N87" s="153">
        <f t="shared" si="52"/>
        <v>2.2014855311804937</v>
      </c>
      <c r="O87" s="153">
        <f t="shared" si="42"/>
        <v>0.07325223505585884</v>
      </c>
      <c r="P87" s="153">
        <f t="shared" si="43"/>
        <v>1.4367794591667586</v>
      </c>
      <c r="Q87" s="153">
        <f t="shared" si="44"/>
        <v>1.1255351181198319</v>
      </c>
      <c r="R87" s="153">
        <f t="shared" si="45"/>
        <v>0.06779950800763512</v>
      </c>
      <c r="S87" s="153">
        <f t="shared" si="46"/>
        <v>0.7603833865814695</v>
      </c>
      <c r="T87" s="153">
        <f t="shared" si="53"/>
        <v>2.1494314436137847</v>
      </c>
      <c r="U87" s="153">
        <f t="shared" si="47"/>
        <v>1.3568837812566377</v>
      </c>
      <c r="V87" s="153">
        <f t="shared" si="48"/>
        <v>3.833263214726713</v>
      </c>
      <c r="W87" s="153">
        <f t="shared" si="54"/>
        <v>2.1494314436137847</v>
      </c>
      <c r="X87" s="163">
        <f t="shared" si="49"/>
        <v>6.581182065217391</v>
      </c>
      <c r="Y87" s="163">
        <f t="shared" si="50"/>
        <v>-0.07444633152173913</v>
      </c>
      <c r="Z87" s="164">
        <f t="shared" si="51"/>
        <v>4.927473535162601</v>
      </c>
    </row>
    <row r="88" spans="7:26" ht="12.75">
      <c r="G88" s="154">
        <f t="shared" si="56"/>
        <v>257</v>
      </c>
      <c r="H88" s="154">
        <f t="shared" si="36"/>
        <v>0.16612290526442883</v>
      </c>
      <c r="I88" s="154">
        <f t="shared" si="37"/>
        <v>3.7846495583469535</v>
      </c>
      <c r="J88" s="154">
        <f t="shared" si="38"/>
        <v>2.353496450322933</v>
      </c>
      <c r="K88" s="154">
        <f t="shared" si="39"/>
        <v>2.3494229898509333</v>
      </c>
      <c r="L88" s="154">
        <f t="shared" si="40"/>
        <v>0.00045657096939147324</v>
      </c>
      <c r="M88" s="154">
        <f t="shared" si="41"/>
        <v>0.5213675213675213</v>
      </c>
      <c r="N88" s="154">
        <f t="shared" si="52"/>
        <v>2.1971262049835927</v>
      </c>
      <c r="O88" s="154">
        <f t="shared" si="42"/>
        <v>0.07325223505585884</v>
      </c>
      <c r="P88" s="154">
        <f t="shared" si="43"/>
        <v>1.414868705039182</v>
      </c>
      <c r="Q88" s="154">
        <f t="shared" si="44"/>
        <v>1.1163613005120587</v>
      </c>
      <c r="R88" s="154">
        <f t="shared" si="45"/>
        <v>0.06779950800763512</v>
      </c>
      <c r="S88" s="154">
        <f t="shared" si="46"/>
        <v>0.7603833865814695</v>
      </c>
      <c r="T88" s="154">
        <f t="shared" si="53"/>
        <v>2.146138174128903</v>
      </c>
      <c r="U88" s="154">
        <f t="shared" si="47"/>
        <v>1.3535496031194523</v>
      </c>
      <c r="V88" s="154">
        <f t="shared" si="48"/>
        <v>3.833263214726713</v>
      </c>
      <c r="W88" s="154">
        <f t="shared" si="54"/>
        <v>2.146138174128903</v>
      </c>
      <c r="X88" s="163">
        <f t="shared" si="49"/>
        <v>6.5555743529013695</v>
      </c>
      <c r="Y88" s="165">
        <f t="shared" si="50"/>
        <v>-0.07415665708002028</v>
      </c>
      <c r="Z88" s="166">
        <f t="shared" si="51"/>
        <v>4.925595129249522</v>
      </c>
    </row>
    <row r="89" spans="7:26" ht="12.75">
      <c r="G89" s="153">
        <f t="shared" si="56"/>
        <v>258</v>
      </c>
      <c r="H89" s="153">
        <f t="shared" si="36"/>
        <v>0.16483762649195152</v>
      </c>
      <c r="I89" s="153">
        <f t="shared" si="37"/>
        <v>3.7719183585083997</v>
      </c>
      <c r="J89" s="153">
        <f t="shared" si="38"/>
        <v>2.335303266952525</v>
      </c>
      <c r="K89" s="153">
        <f t="shared" si="39"/>
        <v>2.33123016145135</v>
      </c>
      <c r="L89" s="153">
        <f t="shared" si="40"/>
        <v>0.00045657096939147324</v>
      </c>
      <c r="M89" s="153">
        <f t="shared" si="41"/>
        <v>0.5213675213675213</v>
      </c>
      <c r="N89" s="153">
        <f t="shared" si="52"/>
        <v>2.192795062683023</v>
      </c>
      <c r="O89" s="153">
        <f t="shared" si="42"/>
        <v>0.07325223505585884</v>
      </c>
      <c r="P89" s="153">
        <f t="shared" si="43"/>
        <v>1.3933776321596845</v>
      </c>
      <c r="Q89" s="153">
        <f t="shared" si="44"/>
        <v>1.1072939483384647</v>
      </c>
      <c r="R89" s="153">
        <f t="shared" si="45"/>
        <v>0.06779950800763512</v>
      </c>
      <c r="S89" s="153">
        <f t="shared" si="46"/>
        <v>0.7603833865814695</v>
      </c>
      <c r="T89" s="153">
        <f t="shared" si="53"/>
        <v>2.1428671014091987</v>
      </c>
      <c r="U89" s="153">
        <f t="shared" si="47"/>
        <v>1.3502412713244158</v>
      </c>
      <c r="V89" s="153">
        <f t="shared" si="48"/>
        <v>3.833263214726713</v>
      </c>
      <c r="W89" s="153">
        <f t="shared" si="54"/>
        <v>2.1428671014091987</v>
      </c>
      <c r="X89" s="163">
        <f t="shared" si="49"/>
        <v>6.530165149983147</v>
      </c>
      <c r="Y89" s="163">
        <f t="shared" si="50"/>
        <v>-0.07386922817660936</v>
      </c>
      <c r="Z89" s="164">
        <f t="shared" si="51"/>
        <v>4.92373420144664</v>
      </c>
    </row>
    <row r="90" spans="7:26" ht="12.75">
      <c r="G90" s="154">
        <f t="shared" si="56"/>
        <v>259</v>
      </c>
      <c r="H90" s="154">
        <f t="shared" si="36"/>
        <v>0.16356720635962882</v>
      </c>
      <c r="I90" s="154">
        <f t="shared" si="37"/>
        <v>3.7592854690933084</v>
      </c>
      <c r="J90" s="154">
        <f t="shared" si="38"/>
        <v>2.317320408354265</v>
      </c>
      <c r="K90" s="154">
        <f t="shared" si="39"/>
        <v>2.313247653720226</v>
      </c>
      <c r="L90" s="154">
        <f t="shared" si="40"/>
        <v>0.00045657096939147324</v>
      </c>
      <c r="M90" s="154">
        <f t="shared" si="41"/>
        <v>0.5213675213675213</v>
      </c>
      <c r="N90" s="154">
        <f t="shared" si="52"/>
        <v>2.1884918139038425</v>
      </c>
      <c r="O90" s="154">
        <f t="shared" si="42"/>
        <v>0.07325223505585884</v>
      </c>
      <c r="P90" s="154">
        <f t="shared" si="43"/>
        <v>1.3722966030536885</v>
      </c>
      <c r="Q90" s="154">
        <f t="shared" si="44"/>
        <v>1.0983314205235915</v>
      </c>
      <c r="R90" s="154">
        <f t="shared" si="45"/>
        <v>0.06779950800763512</v>
      </c>
      <c r="S90" s="154">
        <f t="shared" si="46"/>
        <v>0.7603833865814695</v>
      </c>
      <c r="T90" s="154">
        <f t="shared" si="53"/>
        <v>2.139617995928812</v>
      </c>
      <c r="U90" s="154">
        <f t="shared" si="47"/>
        <v>1.3469584864930475</v>
      </c>
      <c r="V90" s="154">
        <f t="shared" si="48"/>
        <v>3.833263214726713</v>
      </c>
      <c r="W90" s="154">
        <f t="shared" si="54"/>
        <v>2.139617995928812</v>
      </c>
      <c r="X90" s="163">
        <f t="shared" si="49"/>
        <v>6.50495215712607</v>
      </c>
      <c r="Y90" s="165">
        <f t="shared" si="50"/>
        <v>-0.07358401880141009</v>
      </c>
      <c r="Z90" s="166">
        <f t="shared" si="51"/>
        <v>4.921890583145846</v>
      </c>
    </row>
    <row r="91" spans="7:26" ht="12.75">
      <c r="G91" s="153">
        <f t="shared" si="56"/>
        <v>260</v>
      </c>
      <c r="H91" s="153">
        <f t="shared" si="36"/>
        <v>0.16231141671316957</v>
      </c>
      <c r="I91" s="153">
        <f t="shared" si="37"/>
        <v>3.7467497557506424</v>
      </c>
      <c r="J91" s="153">
        <f t="shared" si="38"/>
        <v>2.299544644993094</v>
      </c>
      <c r="K91" s="153">
        <f t="shared" si="39"/>
        <v>2.2954722371855154</v>
      </c>
      <c r="L91" s="153">
        <f t="shared" si="40"/>
        <v>0.00045657096939147324</v>
      </c>
      <c r="M91" s="153">
        <f t="shared" si="41"/>
        <v>0.5213675213675213</v>
      </c>
      <c r="N91" s="153">
        <f t="shared" si="52"/>
        <v>2.1842161723688043</v>
      </c>
      <c r="O91" s="153">
        <f t="shared" si="42"/>
        <v>0.07325223505585884</v>
      </c>
      <c r="P91" s="153">
        <f t="shared" si="43"/>
        <v>1.3516162377822174</v>
      </c>
      <c r="Q91" s="153">
        <f t="shared" si="44"/>
        <v>1.0894721074903169</v>
      </c>
      <c r="R91" s="153">
        <f t="shared" si="45"/>
        <v>0.06779950800763512</v>
      </c>
      <c r="S91" s="153">
        <f t="shared" si="46"/>
        <v>0.7603833865814695</v>
      </c>
      <c r="T91" s="153">
        <f t="shared" si="53"/>
        <v>2.1363906314036534</v>
      </c>
      <c r="U91" s="153">
        <f t="shared" si="47"/>
        <v>1.3437009538526896</v>
      </c>
      <c r="V91" s="153">
        <f t="shared" si="48"/>
        <v>3.833263214726713</v>
      </c>
      <c r="W91" s="153">
        <f t="shared" si="54"/>
        <v>2.1363906314036534</v>
      </c>
      <c r="X91" s="163">
        <f t="shared" si="49"/>
        <v>6.4799331103678925</v>
      </c>
      <c r="Y91" s="163">
        <f t="shared" si="50"/>
        <v>-0.0733010033444816</v>
      </c>
      <c r="Z91" s="164">
        <f t="shared" si="51"/>
        <v>4.920064107933458</v>
      </c>
    </row>
    <row r="92" spans="7:26" ht="12.75">
      <c r="G92" s="154">
        <f t="shared" si="56"/>
        <v>261</v>
      </c>
      <c r="H92" s="154">
        <f t="shared" si="36"/>
        <v>0.161070033760665</v>
      </c>
      <c r="I92" s="154">
        <f t="shared" si="37"/>
        <v>3.73431010151405</v>
      </c>
      <c r="J92" s="154">
        <f t="shared" si="38"/>
        <v>2.281972809083688</v>
      </c>
      <c r="K92" s="154">
        <f t="shared" si="39"/>
        <v>2.2779007441237002</v>
      </c>
      <c r="L92" s="154">
        <f t="shared" si="40"/>
        <v>0.00045657096939147324</v>
      </c>
      <c r="M92" s="154">
        <f t="shared" si="41"/>
        <v>0.5213675213675213</v>
      </c>
      <c r="N92" s="154">
        <f t="shared" si="52"/>
        <v>2.1799678558250424</v>
      </c>
      <c r="O92" s="154">
        <f t="shared" si="42"/>
        <v>0.07325223505585884</v>
      </c>
      <c r="P92" s="154">
        <f t="shared" si="43"/>
        <v>1.3313274061018203</v>
      </c>
      <c r="Q92" s="154">
        <f t="shared" si="44"/>
        <v>1.0807144304371439</v>
      </c>
      <c r="R92" s="154">
        <f t="shared" si="45"/>
        <v>0.06779950800763512</v>
      </c>
      <c r="S92" s="154">
        <f t="shared" si="46"/>
        <v>0.7603833865814695</v>
      </c>
      <c r="T92" s="154">
        <f t="shared" si="53"/>
        <v>2.133184784733366</v>
      </c>
      <c r="U92" s="154">
        <f t="shared" si="47"/>
        <v>1.340468383148273</v>
      </c>
      <c r="V92" s="154">
        <f t="shared" si="48"/>
        <v>3.833263214726713</v>
      </c>
      <c r="W92" s="154">
        <f t="shared" si="54"/>
        <v>2.133184784733366</v>
      </c>
      <c r="X92" s="163">
        <f t="shared" si="49"/>
        <v>6.455105780443112</v>
      </c>
      <c r="Y92" s="165">
        <f t="shared" si="50"/>
        <v>-0.07302015658837248</v>
      </c>
      <c r="Z92" s="166">
        <f t="shared" si="51"/>
        <v>4.918254611553185</v>
      </c>
    </row>
    <row r="93" spans="7:26" ht="12.75">
      <c r="G93" s="153">
        <f t="shared" si="56"/>
        <v>262</v>
      </c>
      <c r="H93" s="153">
        <f t="shared" si="36"/>
        <v>0.15984283797287835</v>
      </c>
      <c r="I93" s="153">
        <f t="shared" si="37"/>
        <v>3.7219654064701033</v>
      </c>
      <c r="J93" s="153">
        <f t="shared" si="38"/>
        <v>2.264601793179052</v>
      </c>
      <c r="K93" s="153">
        <f t="shared" si="39"/>
        <v>2.260530067148415</v>
      </c>
      <c r="L93" s="153">
        <f t="shared" si="40"/>
        <v>0.00045657096939147324</v>
      </c>
      <c r="M93" s="153">
        <f t="shared" si="41"/>
        <v>0.5213675213675213</v>
      </c>
      <c r="N93" s="153">
        <f t="shared" si="52"/>
        <v>2.1757465859723477</v>
      </c>
      <c r="O93" s="153">
        <f t="shared" si="42"/>
        <v>0.07325223505585884</v>
      </c>
      <c r="P93" s="153">
        <f t="shared" si="43"/>
        <v>1.3114212198920927</v>
      </c>
      <c r="Q93" s="153">
        <f t="shared" si="44"/>
        <v>1.0720568406347655</v>
      </c>
      <c r="R93" s="153">
        <f t="shared" si="45"/>
        <v>0.06779950800763512</v>
      </c>
      <c r="S93" s="153">
        <f t="shared" si="46"/>
        <v>0.7603833865814695</v>
      </c>
      <c r="T93" s="153">
        <f t="shared" si="53"/>
        <v>2.1300002359445545</v>
      </c>
      <c r="U93" s="153">
        <f t="shared" si="47"/>
        <v>1.3372604885561041</v>
      </c>
      <c r="V93" s="153">
        <f t="shared" si="48"/>
        <v>3.833263214726713</v>
      </c>
      <c r="W93" s="153">
        <f t="shared" si="54"/>
        <v>2.1300002359445545</v>
      </c>
      <c r="X93" s="163">
        <f t="shared" si="49"/>
        <v>6.430467972120809</v>
      </c>
      <c r="Y93" s="163">
        <f t="shared" si="50"/>
        <v>-0.07274145370063058</v>
      </c>
      <c r="Z93" s="164">
        <f t="shared" si="51"/>
        <v>4.9164619318698195</v>
      </c>
    </row>
    <row r="94" spans="7:26" ht="12.75">
      <c r="G94" s="154">
        <f t="shared" si="56"/>
        <v>263</v>
      </c>
      <c r="H94" s="154">
        <f t="shared" si="36"/>
        <v>0.15862961398618255</v>
      </c>
      <c r="I94" s="154">
        <f t="shared" si="37"/>
        <v>3.709714587434095</v>
      </c>
      <c r="J94" s="154">
        <f t="shared" si="38"/>
        <v>2.2474285487965977</v>
      </c>
      <c r="K94" s="154">
        <f t="shared" si="39"/>
        <v>2.2433571578365528</v>
      </c>
      <c r="L94" s="154">
        <f t="shared" si="40"/>
        <v>0.00045657096939147324</v>
      </c>
      <c r="M94" s="154">
        <f t="shared" si="41"/>
        <v>0.5213675213675213</v>
      </c>
      <c r="N94" s="154">
        <f t="shared" si="52"/>
        <v>2.1715520883929846</v>
      </c>
      <c r="O94" s="154">
        <f t="shared" si="42"/>
        <v>0.07325223505585884</v>
      </c>
      <c r="P94" s="154">
        <f t="shared" si="43"/>
        <v>1.2918890258406543</v>
      </c>
      <c r="Q94" s="154">
        <f t="shared" si="44"/>
        <v>1.0634978187413133</v>
      </c>
      <c r="R94" s="154">
        <f t="shared" si="45"/>
        <v>0.06779950800763512</v>
      </c>
      <c r="S94" s="154">
        <f t="shared" si="46"/>
        <v>0.7603833865814695</v>
      </c>
      <c r="T94" s="154">
        <f t="shared" si="53"/>
        <v>2.12683676813523</v>
      </c>
      <c r="U94" s="154">
        <f t="shared" si="47"/>
        <v>1.3340769885996169</v>
      </c>
      <c r="V94" s="154">
        <f t="shared" si="48"/>
        <v>3.833263214726713</v>
      </c>
      <c r="W94" s="154">
        <f t="shared" si="54"/>
        <v>2.12683676813523</v>
      </c>
      <c r="X94" s="163">
        <f t="shared" si="49"/>
        <v>6.406017523557613</v>
      </c>
      <c r="Y94" s="165">
        <f t="shared" si="50"/>
        <v>-0.07246487022648372</v>
      </c>
      <c r="Z94" s="166">
        <f t="shared" si="51"/>
        <v>4.914685908833723</v>
      </c>
    </row>
    <row r="95" spans="7:26" ht="12.75">
      <c r="G95" s="153">
        <f t="shared" si="56"/>
        <v>264</v>
      </c>
      <c r="H95" s="153">
        <f t="shared" si="36"/>
        <v>0.15743015050806736</v>
      </c>
      <c r="I95" s="153">
        <f t="shared" si="37"/>
        <v>3.697556577633209</v>
      </c>
      <c r="J95" s="153">
        <f t="shared" si="38"/>
        <v>2.2304500850805926</v>
      </c>
      <c r="K95" s="153">
        <f t="shared" si="39"/>
        <v>2.226379025390736</v>
      </c>
      <c r="L95" s="153">
        <f t="shared" si="40"/>
        <v>0.00045657096939147324</v>
      </c>
      <c r="M95" s="153">
        <f t="shared" si="41"/>
        <v>0.5213675213675213</v>
      </c>
      <c r="N95" s="153">
        <f t="shared" si="52"/>
        <v>2.1673840924830174</v>
      </c>
      <c r="O95" s="153">
        <f t="shared" si="42"/>
        <v>0.07325223505585884</v>
      </c>
      <c r="P95" s="153">
        <f t="shared" si="43"/>
        <v>1.272722398375912</v>
      </c>
      <c r="Q95" s="153">
        <f t="shared" si="44"/>
        <v>1.0550358741357302</v>
      </c>
      <c r="R95" s="153">
        <f t="shared" si="45"/>
        <v>0.06779950800763512</v>
      </c>
      <c r="S95" s="153">
        <f t="shared" si="46"/>
        <v>0.7603833865814695</v>
      </c>
      <c r="T95" s="153">
        <f t="shared" si="53"/>
        <v>2.1236941674204513</v>
      </c>
      <c r="U95" s="153">
        <f t="shared" si="47"/>
        <v>1.3309176060670427</v>
      </c>
      <c r="V95" s="153">
        <f t="shared" si="48"/>
        <v>3.833263214726713</v>
      </c>
      <c r="W95" s="153">
        <f t="shared" si="54"/>
        <v>2.1236941674204513</v>
      </c>
      <c r="X95" s="163">
        <f t="shared" si="49"/>
        <v>6.381752305665349</v>
      </c>
      <c r="Y95" s="163">
        <f t="shared" si="50"/>
        <v>-0.07219038208168642</v>
      </c>
      <c r="Z95" s="164">
        <f t="shared" si="51"/>
        <v>4.912926384445991</v>
      </c>
    </row>
    <row r="96" spans="7:26" ht="12.75">
      <c r="G96" s="154">
        <f t="shared" si="56"/>
        <v>265</v>
      </c>
      <c r="H96" s="154">
        <f t="shared" si="36"/>
        <v>0.1562442402251372</v>
      </c>
      <c r="I96" s="154">
        <f t="shared" si="37"/>
        <v>3.685490326396856</v>
      </c>
      <c r="J96" s="154">
        <f t="shared" si="38"/>
        <v>2.2136634674998676</v>
      </c>
      <c r="K96" s="154">
        <f t="shared" si="39"/>
        <v>2.2095927353370497</v>
      </c>
      <c r="L96" s="154">
        <f t="shared" si="40"/>
        <v>0.00045657096939147324</v>
      </c>
      <c r="M96" s="154">
        <f t="shared" si="41"/>
        <v>0.5213675213675213</v>
      </c>
      <c r="N96" s="154">
        <f t="shared" si="52"/>
        <v>2.163242331385109</v>
      </c>
      <c r="O96" s="154">
        <f t="shared" si="42"/>
        <v>0.07325223505585884</v>
      </c>
      <c r="P96" s="154">
        <f t="shared" si="43"/>
        <v>1.2539131328383057</v>
      </c>
      <c r="Q96" s="154">
        <f t="shared" si="44"/>
        <v>1.0466695442687175</v>
      </c>
      <c r="R96" s="154">
        <f t="shared" si="45"/>
        <v>0.06779950800763512</v>
      </c>
      <c r="S96" s="154">
        <f t="shared" si="46"/>
        <v>0.7603833865814695</v>
      </c>
      <c r="T96" s="154">
        <f t="shared" si="53"/>
        <v>2.120572222879133</v>
      </c>
      <c r="U96" s="154">
        <f t="shared" si="47"/>
        <v>1.3277820679309404</v>
      </c>
      <c r="V96" s="154">
        <f t="shared" si="48"/>
        <v>3.833263214726713</v>
      </c>
      <c r="W96" s="154">
        <f t="shared" si="54"/>
        <v>2.120572222879133</v>
      </c>
      <c r="X96" s="163">
        <f t="shared" si="49"/>
        <v>6.357670221493026</v>
      </c>
      <c r="Y96" s="165">
        <f t="shared" si="50"/>
        <v>-0.07191796554552911</v>
      </c>
      <c r="Z96" s="166">
        <f t="shared" si="51"/>
        <v>4.91118320272435</v>
      </c>
    </row>
    <row r="97" spans="7:26" ht="12.75">
      <c r="G97" s="153">
        <f t="shared" si="56"/>
        <v>266</v>
      </c>
      <c r="H97" s="153">
        <f t="shared" si="36"/>
        <v>0.1550716797135262</v>
      </c>
      <c r="I97" s="153">
        <f t="shared" si="37"/>
        <v>3.6735147988540113</v>
      </c>
      <c r="J97" s="153">
        <f t="shared" si="38"/>
        <v>2.1970658165797325</v>
      </c>
      <c r="K97" s="153">
        <f t="shared" si="39"/>
        <v>2.192995408256988</v>
      </c>
      <c r="L97" s="153">
        <f t="shared" si="40"/>
        <v>0.00045657096939147324</v>
      </c>
      <c r="M97" s="153">
        <f t="shared" si="41"/>
        <v>0.5213675213675213</v>
      </c>
      <c r="N97" s="153">
        <f t="shared" si="52"/>
        <v>2.1591265419227463</v>
      </c>
      <c r="O97" s="153">
        <f t="shared" si="42"/>
        <v>0.07325223505585884</v>
      </c>
      <c r="P97" s="153">
        <f t="shared" si="43"/>
        <v>1.2354532388811346</v>
      </c>
      <c r="Q97" s="153">
        <f t="shared" si="44"/>
        <v>1.0383973940307314</v>
      </c>
      <c r="R97" s="153">
        <f t="shared" si="45"/>
        <v>0.06779950800763512</v>
      </c>
      <c r="S97" s="153">
        <f t="shared" si="46"/>
        <v>0.7603833865814695</v>
      </c>
      <c r="T97" s="153">
        <f t="shared" si="53"/>
        <v>2.117470726501982</v>
      </c>
      <c r="U97" s="153">
        <f t="shared" si="47"/>
        <v>1.3246701052695462</v>
      </c>
      <c r="V97" s="153">
        <f t="shared" si="48"/>
        <v>3.833263214726713</v>
      </c>
      <c r="W97" s="153">
        <f t="shared" si="54"/>
        <v>2.117470726501982</v>
      </c>
      <c r="X97" s="163">
        <f t="shared" si="49"/>
        <v>6.333769205622752</v>
      </c>
      <c r="Y97" s="163">
        <f t="shared" si="50"/>
        <v>-0.07164759725400456</v>
      </c>
      <c r="Z97" s="164">
        <f t="shared" si="51"/>
        <v>4.909456209669754</v>
      </c>
    </row>
    <row r="98" spans="7:26" ht="12.75">
      <c r="G98" s="154">
        <f t="shared" si="56"/>
        <v>267</v>
      </c>
      <c r="H98" s="154">
        <f t="shared" si="36"/>
        <v>0.15391226935165678</v>
      </c>
      <c r="I98" s="154">
        <f t="shared" si="37"/>
        <v>3.661628975637329</v>
      </c>
      <c r="J98" s="154">
        <f t="shared" si="38"/>
        <v>2.1806543066670736</v>
      </c>
      <c r="K98" s="154">
        <f t="shared" si="39"/>
        <v>2.176584218552568</v>
      </c>
      <c r="L98" s="154">
        <f t="shared" si="40"/>
        <v>0.00045657096939147324</v>
      </c>
      <c r="M98" s="154">
        <f t="shared" si="41"/>
        <v>0.5213675213675213</v>
      </c>
      <c r="N98" s="154">
        <f t="shared" si="52"/>
        <v>2.1550364645358684</v>
      </c>
      <c r="O98" s="154">
        <f t="shared" si="42"/>
        <v>0.07325223505585884</v>
      </c>
      <c r="P98" s="154">
        <f t="shared" si="43"/>
        <v>1.217334934092403</v>
      </c>
      <c r="Q98" s="154">
        <f t="shared" si="44"/>
        <v>1.0302180151365157</v>
      </c>
      <c r="R98" s="154">
        <f t="shared" si="45"/>
        <v>0.06779950800763512</v>
      </c>
      <c r="S98" s="154">
        <f t="shared" si="46"/>
        <v>0.7603833865814695</v>
      </c>
      <c r="T98" s="154">
        <f t="shared" si="53"/>
        <v>2.114389473140545</v>
      </c>
      <c r="U98" s="154">
        <f t="shared" si="47"/>
        <v>1.3215814531898848</v>
      </c>
      <c r="V98" s="154">
        <f t="shared" si="48"/>
        <v>3.833263214726713</v>
      </c>
      <c r="W98" s="154">
        <f t="shared" si="54"/>
        <v>2.114389473140545</v>
      </c>
      <c r="X98" s="163">
        <f t="shared" si="49"/>
        <v>6.310047223579221</v>
      </c>
      <c r="Y98" s="165">
        <f t="shared" si="50"/>
        <v>-0.07137925419312814</v>
      </c>
      <c r="Z98" s="166">
        <f t="shared" si="51"/>
        <v>4.90774525323364</v>
      </c>
    </row>
    <row r="99" spans="7:26" ht="12.75">
      <c r="G99" s="153">
        <f t="shared" si="56"/>
        <v>268</v>
      </c>
      <c r="H99" s="153">
        <f t="shared" si="36"/>
        <v>0.1527658132352732</v>
      </c>
      <c r="I99" s="153">
        <f t="shared" si="37"/>
        <v>3.6498318525939064</v>
      </c>
      <c r="J99" s="153">
        <f t="shared" si="38"/>
        <v>2.164426164727648</v>
      </c>
      <c r="K99" s="153">
        <f t="shared" si="39"/>
        <v>2.1603563932436525</v>
      </c>
      <c r="L99" s="153">
        <f t="shared" si="40"/>
        <v>0.00045657096939147324</v>
      </c>
      <c r="M99" s="153">
        <f t="shared" si="41"/>
        <v>0.5213675213675213</v>
      </c>
      <c r="N99" s="153">
        <f t="shared" si="52"/>
        <v>2.150971843217852</v>
      </c>
      <c r="O99" s="153">
        <f t="shared" si="42"/>
        <v>0.07325223505585884</v>
      </c>
      <c r="P99" s="153">
        <f t="shared" si="43"/>
        <v>1.1995506378295084</v>
      </c>
      <c r="Q99" s="153">
        <f t="shared" si="44"/>
        <v>1.0221300255256824</v>
      </c>
      <c r="R99" s="153">
        <f t="shared" si="45"/>
        <v>0.06779950800763512</v>
      </c>
      <c r="S99" s="153">
        <f t="shared" si="46"/>
        <v>0.7603833865814695</v>
      </c>
      <c r="T99" s="153">
        <f t="shared" si="53"/>
        <v>2.1113282604573316</v>
      </c>
      <c r="U99" s="153">
        <f t="shared" si="47"/>
        <v>1.3185158507526094</v>
      </c>
      <c r="V99" s="153">
        <f t="shared" si="48"/>
        <v>3.833263214726713</v>
      </c>
      <c r="W99" s="153">
        <f t="shared" si="54"/>
        <v>2.1113282604573316</v>
      </c>
      <c r="X99" s="163">
        <f t="shared" si="49"/>
        <v>6.2865022712524325</v>
      </c>
      <c r="Y99" s="163">
        <f t="shared" si="50"/>
        <v>-0.07111291369240752</v>
      </c>
      <c r="Z99" s="164">
        <f t="shared" si="51"/>
        <v>4.906050183285847</v>
      </c>
    </row>
    <row r="100" spans="7:26" ht="12.75">
      <c r="G100" s="154">
        <f>G99+1</f>
        <v>269</v>
      </c>
      <c r="H100" s="154">
        <f t="shared" si="36"/>
        <v>0.15163211909468166</v>
      </c>
      <c r="I100" s="154">
        <f t="shared" si="37"/>
        <v>3.6381224405024795</v>
      </c>
      <c r="J100" s="154">
        <f t="shared" si="38"/>
        <v>2.1483786691746145</v>
      </c>
      <c r="K100" s="154">
        <f t="shared" si="39"/>
        <v>2.1443092107965005</v>
      </c>
      <c r="L100" s="154">
        <f t="shared" si="40"/>
        <v>0.00045657096939147324</v>
      </c>
      <c r="M100" s="154">
        <f t="shared" si="41"/>
        <v>0.5213675213675213</v>
      </c>
      <c r="N100" s="154">
        <f t="shared" si="52"/>
        <v>2.1469324254538282</v>
      </c>
      <c r="O100" s="154">
        <f t="shared" si="42"/>
        <v>0.07325223505585884</v>
      </c>
      <c r="P100" s="154">
        <f t="shared" si="43"/>
        <v>1.182092965258895</v>
      </c>
      <c r="Q100" s="154">
        <f t="shared" si="44"/>
        <v>1.014132068778859</v>
      </c>
      <c r="R100" s="154">
        <f t="shared" si="45"/>
        <v>0.06779950800763512</v>
      </c>
      <c r="S100" s="154">
        <f t="shared" si="46"/>
        <v>0.7603833865814695</v>
      </c>
      <c r="T100" s="154">
        <f t="shared" si="53"/>
        <v>2.1082868888769903</v>
      </c>
      <c r="U100" s="154">
        <f t="shared" si="47"/>
        <v>1.3154730408985102</v>
      </c>
      <c r="V100" s="154">
        <f t="shared" si="48"/>
        <v>3.833263214726713</v>
      </c>
      <c r="W100" s="154">
        <f t="shared" si="54"/>
        <v>2.1082868888769903</v>
      </c>
      <c r="X100" s="163">
        <f t="shared" si="49"/>
        <v>6.263132374333279</v>
      </c>
      <c r="Y100" s="165">
        <f t="shared" si="50"/>
        <v>-0.07084855341845805</v>
      </c>
      <c r="Z100" s="166">
        <f t="shared" si="51"/>
        <v>4.904370851583192</v>
      </c>
    </row>
    <row r="101" spans="7:26" ht="12.75">
      <c r="G101" s="153">
        <f aca="true" t="shared" si="57" ref="G101:G113">G100+1</f>
        <v>270</v>
      </c>
      <c r="H101" s="153">
        <f t="shared" si="36"/>
        <v>0.15051099821413252</v>
      </c>
      <c r="I101" s="153">
        <f t="shared" si="37"/>
        <v>3.626499764796914</v>
      </c>
      <c r="J101" s="153">
        <f t="shared" si="38"/>
        <v>2.132509148727381</v>
      </c>
      <c r="K101" s="153">
        <f t="shared" si="39"/>
        <v>2.1284399999826418</v>
      </c>
      <c r="L101" s="153">
        <f t="shared" si="40"/>
        <v>0.00045657096939147324</v>
      </c>
      <c r="M101" s="153">
        <f t="shared" si="41"/>
        <v>0.5213675213675213</v>
      </c>
      <c r="N101" s="153">
        <f t="shared" si="52"/>
        <v>2.1429179621602925</v>
      </c>
      <c r="O101" s="153">
        <f t="shared" si="42"/>
        <v>0.07325223505585884</v>
      </c>
      <c r="P101" s="153">
        <f t="shared" si="43"/>
        <v>1.1649547215931324</v>
      </c>
      <c r="Q101" s="153">
        <f t="shared" si="44"/>
        <v>1.0062228135489486</v>
      </c>
      <c r="R101" s="153">
        <f t="shared" si="45"/>
        <v>0.06779950800763512</v>
      </c>
      <c r="S101" s="153">
        <f t="shared" si="46"/>
        <v>0.7603833865814695</v>
      </c>
      <c r="T101" s="153">
        <f t="shared" si="53"/>
        <v>2.1052651615385116</v>
      </c>
      <c r="U101" s="153">
        <f t="shared" si="47"/>
        <v>1.312452770376664</v>
      </c>
      <c r="V101" s="153">
        <f t="shared" si="48"/>
        <v>3.833263214726713</v>
      </c>
      <c r="W101" s="153">
        <f t="shared" si="54"/>
        <v>2.1052651615385116</v>
      </c>
      <c r="X101" s="163">
        <f t="shared" si="49"/>
        <v>6.239935587761674</v>
      </c>
      <c r="Y101" s="163">
        <f t="shared" si="50"/>
        <v>-0.07058615136876005</v>
      </c>
      <c r="Z101" s="164">
        <f t="shared" si="51"/>
        <v>4.902707111738642</v>
      </c>
    </row>
    <row r="102" spans="7:26" ht="12.75">
      <c r="G102" s="154">
        <f t="shared" si="57"/>
        <v>271</v>
      </c>
      <c r="H102" s="154">
        <f t="shared" si="36"/>
        <v>0.14940226535328033</v>
      </c>
      <c r="I102" s="154">
        <f t="shared" si="37"/>
        <v>3.6149628652958192</v>
      </c>
      <c r="J102" s="154">
        <f t="shared" si="38"/>
        <v>2.116814981299873</v>
      </c>
      <c r="K102" s="154">
        <f t="shared" si="39"/>
        <v>2.112746138767161</v>
      </c>
      <c r="L102" s="154">
        <f t="shared" si="40"/>
        <v>0.00045657096939147324</v>
      </c>
      <c r="M102" s="154">
        <f t="shared" si="41"/>
        <v>0.5213675213675213</v>
      </c>
      <c r="N102" s="154">
        <f t="shared" si="52"/>
        <v>2.138928207625981</v>
      </c>
      <c r="O102" s="154">
        <f t="shared" si="42"/>
        <v>0.07325223505585884</v>
      </c>
      <c r="P102" s="154">
        <f t="shared" si="43"/>
        <v>1.1481288965181717</v>
      </c>
      <c r="Q102" s="154">
        <f t="shared" si="44"/>
        <v>0.9984009530070473</v>
      </c>
      <c r="R102" s="154">
        <f t="shared" si="45"/>
        <v>0.06779950800763512</v>
      </c>
      <c r="S102" s="154">
        <f t="shared" si="46"/>
        <v>0.7603833865814695</v>
      </c>
      <c r="T102" s="154">
        <f t="shared" si="53"/>
        <v>2.102262884248428</v>
      </c>
      <c r="U102" s="154">
        <f t="shared" si="47"/>
        <v>1.309454789674167</v>
      </c>
      <c r="V102" s="154">
        <f t="shared" si="48"/>
        <v>3.833263214726713</v>
      </c>
      <c r="W102" s="154">
        <f t="shared" si="54"/>
        <v>2.102262884248428</v>
      </c>
      <c r="X102" s="163">
        <f t="shared" si="49"/>
        <v>6.216909995186908</v>
      </c>
      <c r="Y102" s="165">
        <f t="shared" si="50"/>
        <v>-0.07032568586555431</v>
      </c>
      <c r="Z102" s="166">
        <f t="shared" si="51"/>
        <v>4.901058819191148</v>
      </c>
    </row>
    <row r="103" spans="7:26" ht="12.75">
      <c r="G103" s="153">
        <f t="shared" si="57"/>
        <v>272</v>
      </c>
      <c r="H103" s="153">
        <f aca="true" t="shared" si="58" ref="H103:H134">(Iout*(Vout_nom^2)*2.5*Rsense*K_1)/(eff*(G103^2)*K_FQ)*us</f>
        <v>0.14830573867066207</v>
      </c>
      <c r="I103" s="153">
        <f aca="true" t="shared" si="59" ref="I103:I134">(1*10^-9*(5*10^8*SQRT(fsw*kHz)+(1.09655978*10^10)*SQRT(ftyp)*SQRT(H103)))/SQRT(fsw*kHz)</f>
        <v>3.6035107959381136</v>
      </c>
      <c r="J103" s="153">
        <f aca="true" t="shared" si="60" ref="J103:J134">(b_1^3/(27*a_1^3))-(d_1^3/27)+SQRT((ftyp)^2*H103^2/(4*a_1^2*c_1^2*(fsw*kHz)^2))+(b_1^3*(ftyp)*H103/(27*a_1^4*c_1*(fsw*kHz))-(d_1^3*(ftyp)*H103/(27*a_1*c_1*(fsw*kHz)))+(b_1*d_1^2*(ftyp)*H103/(9*a_1^2*c_1*(fsw*kHz)))-(b_1^2*d_1*(ftyp)*H103/(9*a_1^3*c_1*(fsw*kHz))))</f>
        <v>2.10129359291736</v>
      </c>
      <c r="K103" s="153">
        <f aca="true" t="shared" si="61" ref="K103:K134">(b_1*d_1^2/(9*a_1))-(b_1^2*d_1/(9*a_1^2))+(ftyp*H103/(2*a_1*c_1*fsw*kHz))</f>
        <v>2.0972250532255488</v>
      </c>
      <c r="L103" s="153">
        <f aca="true" t="shared" si="62" ref="L103:L134">(d_1^2/9)+(b_1^2/(9*a_1^2))-(2*b_1*d_1/(9*a_1))</f>
        <v>0.00045657096939147324</v>
      </c>
      <c r="M103" s="153">
        <f aca="true" t="shared" si="63" ref="M103:M134">((b_1*c_1*fsw*kHz)+(2*a_1*c_1*d_1*fsw*kHz))/(3*a_1*c_1*fsw*kHz)</f>
        <v>0.5213675213675213</v>
      </c>
      <c r="N103" s="153">
        <f t="shared" si="52"/>
        <v>2.1349629194539754</v>
      </c>
      <c r="O103" s="153">
        <f aca="true" t="shared" si="64" ref="O103:O134">(b_2^3/(27*a_2^3))-(d_2^3/27)</f>
        <v>0.07325223505585884</v>
      </c>
      <c r="P103" s="153">
        <f aca="true" t="shared" si="65" ref="P103:P134">(ftyp^2*H103^2/(4*a_2^2*c_2^2*(fsw*kHz)^2))+(b_2^3*ftyp*H103/(27*a_2^4*c_2*(fsw*kHz)))-(d_2^3*ftyp*H103/(27*a_2*c_2*(fsw*kHz)))+(b_2*d_2^2*ftyp*H103/(9*a_2^2*c_2*(fsw*kHz)))-(b_2^2*d_2*ftyp*H103/(9*a_2^3*c_2*(fsw*kHz)))</f>
        <v>1.1316086588038454</v>
      </c>
      <c r="Q103" s="153">
        <f aca="true" t="shared" si="66" ref="Q103:Q134">(b_2*d_2^2/(9*a_2))-(b_2^2*d_2/(9*a_2^2))+(ftyp*H103/(2*a_2*c_2*(fsw*kHz)))</f>
        <v>0.990665204302602</v>
      </c>
      <c r="R103" s="153">
        <f aca="true" t="shared" si="67" ref="R103:R134">(d_2^2/9)+(b_2^2/(9*a_2^2))-(2*b_2*d_2/(9*a_2))</f>
        <v>0.06779950800763512</v>
      </c>
      <c r="S103" s="153">
        <f aca="true" t="shared" si="68" ref="S103:S134">(b_2*c_2*(fsw*kHz)+2*a_2*c_2*d_2*(fsw*kHz))/(3*a_2*c_2*(fsw*kHz))</f>
        <v>0.7603833865814695</v>
      </c>
      <c r="T103" s="153">
        <f t="shared" si="53"/>
        <v>2.099279865434992</v>
      </c>
      <c r="U103" s="153">
        <f aca="true" t="shared" si="69" ref="U103:U134">c_3+(SQRT(ftyp)*SQRT(H103)/(SQRT(a_3)*SQRT(b_3)*SQRT(fsw*kHz)))</f>
        <v>1.3064788529474238</v>
      </c>
      <c r="V103" s="153">
        <f aca="true" t="shared" si="70" ref="V103:V134">(a_4*(fsw*kHz)*b_4/ftyp)</f>
        <v>3.833263214726713</v>
      </c>
      <c r="W103" s="153">
        <f t="shared" si="54"/>
        <v>2.099279865434992</v>
      </c>
      <c r="X103" s="163">
        <f aca="true" t="shared" si="71" ref="X103:X134">Pin_max/G103</f>
        <v>6.194053708439897</v>
      </c>
      <c r="Y103" s="163">
        <f aca="true" t="shared" si="72" ref="Y103:Y134">-X103*Rsense*1.414</f>
        <v>-0.07006713554987212</v>
      </c>
      <c r="Z103" s="164">
        <f aca="true" t="shared" si="73" ref="Z103:Z134">MIN(6,MAX(0.5,Beta*G*($Y103-Voff_trim)/(MAX(0,MIN(4.5,W103)-Alpha1_A)+MAX(0,MIN(4.5,W103)-Alpha1_B)-Alpha1_C)+Alpha2))</f>
        <v>4.899425831176035</v>
      </c>
    </row>
    <row r="104" spans="7:26" ht="12.75">
      <c r="G104" s="154">
        <f t="shared" si="57"/>
        <v>273</v>
      </c>
      <c r="H104" s="154">
        <f t="shared" si="58"/>
        <v>0.14722123964913336</v>
      </c>
      <c r="I104" s="154">
        <f t="shared" si="59"/>
        <v>3.592142624524421</v>
      </c>
      <c r="J104" s="154">
        <f t="shared" si="60"/>
        <v>2.0859424566610056</v>
      </c>
      <c r="K104" s="154">
        <f t="shared" si="61"/>
        <v>2.0818742164882713</v>
      </c>
      <c r="L104" s="154">
        <f t="shared" si="62"/>
        <v>0.00045657096939147324</v>
      </c>
      <c r="M104" s="154">
        <f t="shared" si="63"/>
        <v>0.5213675213675213</v>
      </c>
      <c r="N104" s="154">
        <f t="shared" si="52"/>
        <v>2.1310218585050142</v>
      </c>
      <c r="O104" s="154">
        <f t="shared" si="64"/>
        <v>0.07325223505585884</v>
      </c>
      <c r="P104" s="154">
        <f t="shared" si="65"/>
        <v>1.1153873510909162</v>
      </c>
      <c r="Q104" s="154">
        <f t="shared" si="66"/>
        <v>0.9830143080373773</v>
      </c>
      <c r="R104" s="154">
        <f t="shared" si="67"/>
        <v>0.06779950800763512</v>
      </c>
      <c r="S104" s="154">
        <f t="shared" si="68"/>
        <v>0.7603833865814695</v>
      </c>
      <c r="T104" s="154">
        <f t="shared" si="53"/>
        <v>2.0963159161033067</v>
      </c>
      <c r="U104" s="154">
        <f t="shared" si="69"/>
        <v>1.3035247179549425</v>
      </c>
      <c r="V104" s="154">
        <f t="shared" si="70"/>
        <v>3.833263214726713</v>
      </c>
      <c r="W104" s="154">
        <f t="shared" si="54"/>
        <v>2.0963159161033067</v>
      </c>
      <c r="X104" s="163">
        <f t="shared" si="71"/>
        <v>6.17136486701704</v>
      </c>
      <c r="Y104" s="165">
        <f t="shared" si="72"/>
        <v>-0.06981047937569676</v>
      </c>
      <c r="Z104" s="166">
        <f t="shared" si="73"/>
        <v>4.897808006696004</v>
      </c>
    </row>
    <row r="105" spans="7:26" ht="12.75">
      <c r="G105" s="153">
        <f t="shared" si="57"/>
        <v>274</v>
      </c>
      <c r="H105" s="153">
        <f t="shared" si="58"/>
        <v>0.14614859302320662</v>
      </c>
      <c r="I105" s="153">
        <f t="shared" si="59"/>
        <v>3.580857432464113</v>
      </c>
      <c r="J105" s="153">
        <f t="shared" si="60"/>
        <v>2.0707590916393297</v>
      </c>
      <c r="K105" s="153">
        <f t="shared" si="61"/>
        <v>2.066691147712255</v>
      </c>
      <c r="L105" s="153">
        <f t="shared" si="62"/>
        <v>0.00045657096939147324</v>
      </c>
      <c r="M105" s="153">
        <f t="shared" si="63"/>
        <v>0.5213675213675213</v>
      </c>
      <c r="N105" s="153">
        <f t="shared" si="52"/>
        <v>2.127104788841976</v>
      </c>
      <c r="O105" s="153">
        <f t="shared" si="64"/>
        <v>0.07325223505585884</v>
      </c>
      <c r="P105" s="153">
        <f t="shared" si="65"/>
        <v>1.0994584848483</v>
      </c>
      <c r="Q105" s="153">
        <f t="shared" si="66"/>
        <v>0.975447027752845</v>
      </c>
      <c r="R105" s="153">
        <f t="shared" si="67"/>
        <v>0.06779950800763512</v>
      </c>
      <c r="S105" s="153">
        <f t="shared" si="68"/>
        <v>0.7603833865814695</v>
      </c>
      <c r="T105" s="153">
        <f t="shared" si="53"/>
        <v>2.093370849791386</v>
      </c>
      <c r="U105" s="153">
        <f t="shared" si="69"/>
        <v>1.3005921459916032</v>
      </c>
      <c r="V105" s="153">
        <f t="shared" si="70"/>
        <v>3.833263214726713</v>
      </c>
      <c r="W105" s="153">
        <f t="shared" si="54"/>
        <v>2.093370849791386</v>
      </c>
      <c r="X105" s="163">
        <f t="shared" si="71"/>
        <v>6.148841637575372</v>
      </c>
      <c r="Y105" s="163">
        <f t="shared" si="72"/>
        <v>-0.0695556966042526</v>
      </c>
      <c r="Z105" s="164">
        <f t="shared" si="73"/>
        <v>4.896205206492689</v>
      </c>
    </row>
    <row r="106" spans="7:26" ht="12.75">
      <c r="G106" s="154">
        <f t="shared" si="57"/>
        <v>275</v>
      </c>
      <c r="H106" s="154">
        <f t="shared" si="58"/>
        <v>0.14508762670823486</v>
      </c>
      <c r="I106" s="154">
        <f t="shared" si="59"/>
        <v>3.569654314527879</v>
      </c>
      <c r="J106" s="154">
        <f t="shared" si="60"/>
        <v>2.055741061985807</v>
      </c>
      <c r="K106" s="154">
        <f t="shared" si="61"/>
        <v>2.0516734110785007</v>
      </c>
      <c r="L106" s="154">
        <f t="shared" si="62"/>
        <v>0.00045657096939147324</v>
      </c>
      <c r="M106" s="154">
        <f t="shared" si="63"/>
        <v>0.5213675213675213</v>
      </c>
      <c r="N106" s="154">
        <f t="shared" si="52"/>
        <v>2.123211477675504</v>
      </c>
      <c r="O106" s="154">
        <f t="shared" si="64"/>
        <v>0.07325223505585884</v>
      </c>
      <c r="P106" s="154">
        <f t="shared" si="65"/>
        <v>1.0838157354942766</v>
      </c>
      <c r="Q106" s="154">
        <f t="shared" si="66"/>
        <v>0.9679621494305907</v>
      </c>
      <c r="R106" s="154">
        <f t="shared" si="67"/>
        <v>0.06779950800763512</v>
      </c>
      <c r="S106" s="154">
        <f t="shared" si="68"/>
        <v>0.7603833865814695</v>
      </c>
      <c r="T106" s="154">
        <f t="shared" si="53"/>
        <v>2.090444482527118</v>
      </c>
      <c r="U106" s="154">
        <f t="shared" si="69"/>
        <v>1.297680901824361</v>
      </c>
      <c r="V106" s="154">
        <f t="shared" si="70"/>
        <v>3.833263214726713</v>
      </c>
      <c r="W106" s="154">
        <f t="shared" si="54"/>
        <v>2.090444482527118</v>
      </c>
      <c r="X106" s="163">
        <f t="shared" si="71"/>
        <v>6.1264822134387344</v>
      </c>
      <c r="Y106" s="165">
        <f t="shared" si="72"/>
        <v>-0.06930276679841896</v>
      </c>
      <c r="Z106" s="166">
        <f t="shared" si="73"/>
        <v>4.894617293018774</v>
      </c>
    </row>
    <row r="107" spans="7:26" ht="12.75">
      <c r="G107" s="153">
        <f t="shared" si="57"/>
        <v>276</v>
      </c>
      <c r="H107" s="153">
        <f t="shared" si="58"/>
        <v>0.14403817173138866</v>
      </c>
      <c r="I107" s="153">
        <f t="shared" si="59"/>
        <v>3.5585323786056775</v>
      </c>
      <c r="J107" s="153">
        <f t="shared" si="60"/>
        <v>2.0408859758818414</v>
      </c>
      <c r="K107" s="153">
        <f t="shared" si="61"/>
        <v>2.0368186148150786</v>
      </c>
      <c r="L107" s="153">
        <f t="shared" si="62"/>
        <v>0.00045657096939147324</v>
      </c>
      <c r="M107" s="153">
        <f t="shared" si="63"/>
        <v>0.5213675213675213</v>
      </c>
      <c r="N107" s="153">
        <f t="shared" si="52"/>
        <v>2.1193416953107524</v>
      </c>
      <c r="O107" s="153">
        <f t="shared" si="64"/>
        <v>0.07325223505585884</v>
      </c>
      <c r="P107" s="153">
        <f t="shared" si="65"/>
        <v>1.0684529376758134</v>
      </c>
      <c r="Q107" s="153">
        <f t="shared" si="66"/>
        <v>0.9605584810053708</v>
      </c>
      <c r="R107" s="153">
        <f t="shared" si="67"/>
        <v>0.06779950800763512</v>
      </c>
      <c r="S107" s="153">
        <f t="shared" si="68"/>
        <v>0.7603833865814695</v>
      </c>
      <c r="T107" s="153">
        <f t="shared" si="53"/>
        <v>2.0875366327861147</v>
      </c>
      <c r="U107" s="153">
        <f t="shared" si="69"/>
        <v>1.294790753629345</v>
      </c>
      <c r="V107" s="153">
        <f t="shared" si="70"/>
        <v>3.833263214726713</v>
      </c>
      <c r="W107" s="153">
        <f t="shared" si="54"/>
        <v>2.0875366327861147</v>
      </c>
      <c r="X107" s="163">
        <f t="shared" si="71"/>
        <v>6.104284814114681</v>
      </c>
      <c r="Y107" s="163">
        <f t="shared" si="72"/>
        <v>-0.06905166981726528</v>
      </c>
      <c r="Z107" s="164">
        <f t="shared" si="73"/>
        <v>4.893044130410683</v>
      </c>
    </row>
    <row r="108" spans="7:26" ht="12.75">
      <c r="G108" s="154">
        <f t="shared" si="57"/>
        <v>277</v>
      </c>
      <c r="H108" s="154">
        <f t="shared" si="58"/>
        <v>0.1430000621643741</v>
      </c>
      <c r="I108" s="154">
        <f t="shared" si="59"/>
        <v>3.5474907454699167</v>
      </c>
      <c r="J108" s="154">
        <f t="shared" si="60"/>
        <v>2.0261914846043823</v>
      </c>
      <c r="K108" s="154">
        <f t="shared" si="61"/>
        <v>2.0221244102447664</v>
      </c>
      <c r="L108" s="154">
        <f t="shared" si="62"/>
        <v>0.00045657096939147324</v>
      </c>
      <c r="M108" s="154">
        <f t="shared" si="63"/>
        <v>0.5213675213675213</v>
      </c>
      <c r="N108" s="154">
        <f t="shared" si="52"/>
        <v>2.1154952150952218</v>
      </c>
      <c r="O108" s="154">
        <f t="shared" si="64"/>
        <v>0.07325223505585884</v>
      </c>
      <c r="P108" s="154">
        <f t="shared" si="65"/>
        <v>1.0533640807003095</v>
      </c>
      <c r="Q108" s="154">
        <f t="shared" si="66"/>
        <v>0.9532348518904546</v>
      </c>
      <c r="R108" s="154">
        <f t="shared" si="67"/>
        <v>0.06779950800763512</v>
      </c>
      <c r="S108" s="154">
        <f t="shared" si="68"/>
        <v>0.7603833865814695</v>
      </c>
      <c r="T108" s="154">
        <f t="shared" si="53"/>
        <v>2.0846471214504265</v>
      </c>
      <c r="U108" s="154">
        <f t="shared" si="69"/>
        <v>1.2919214729303223</v>
      </c>
      <c r="V108" s="154">
        <f t="shared" si="70"/>
        <v>3.833263214726713</v>
      </c>
      <c r="W108" s="154">
        <f t="shared" si="54"/>
        <v>2.0846471214504265</v>
      </c>
      <c r="X108" s="163">
        <f t="shared" si="71"/>
        <v>6.082247684821849</v>
      </c>
      <c r="Y108" s="165">
        <f t="shared" si="72"/>
        <v>-0.06880238581070476</v>
      </c>
      <c r="Z108" s="166">
        <f t="shared" si="73"/>
        <v>4.891485584461751</v>
      </c>
    </row>
    <row r="109" spans="7:26" ht="12.75">
      <c r="G109" s="153">
        <f t="shared" si="57"/>
        <v>278</v>
      </c>
      <c r="H109" s="153">
        <f t="shared" si="58"/>
        <v>0.141973135057842</v>
      </c>
      <c r="I109" s="153">
        <f t="shared" si="59"/>
        <v>3.5365285485437665</v>
      </c>
      <c r="J109" s="153">
        <f t="shared" si="60"/>
        <v>2.011655281597489</v>
      </c>
      <c r="K109" s="153">
        <f t="shared" si="61"/>
        <v>2.0075884908566253</v>
      </c>
      <c r="L109" s="153">
        <f t="shared" si="62"/>
        <v>0.00045657096939147324</v>
      </c>
      <c r="M109" s="153">
        <f t="shared" si="63"/>
        <v>0.5213675213675213</v>
      </c>
      <c r="N109" s="153">
        <f t="shared" si="52"/>
        <v>2.111671813367657</v>
      </c>
      <c r="O109" s="153">
        <f t="shared" si="64"/>
        <v>0.07325223505585884</v>
      </c>
      <c r="P109" s="153">
        <f t="shared" si="65"/>
        <v>1.0385433041143237</v>
      </c>
      <c r="Q109" s="153">
        <f t="shared" si="66"/>
        <v>0.9459901125148956</v>
      </c>
      <c r="R109" s="153">
        <f t="shared" si="67"/>
        <v>0.06779950800763512</v>
      </c>
      <c r="S109" s="153">
        <f t="shared" si="68"/>
        <v>0.7603833865814695</v>
      </c>
      <c r="T109" s="153">
        <f t="shared" si="53"/>
        <v>2.081775771768096</v>
      </c>
      <c r="U109" s="153">
        <f t="shared" si="69"/>
        <v>1.2890728345384868</v>
      </c>
      <c r="V109" s="153">
        <f t="shared" si="70"/>
        <v>3.833263214726713</v>
      </c>
      <c r="W109" s="153">
        <f t="shared" si="54"/>
        <v>2.081775771768096</v>
      </c>
      <c r="X109" s="163">
        <f t="shared" si="71"/>
        <v>6.060369096027525</v>
      </c>
      <c r="Y109" s="163">
        <f t="shared" si="72"/>
        <v>-0.06855489521426336</v>
      </c>
      <c r="Z109" s="164">
        <f t="shared" si="73"/>
        <v>4.889941522595966</v>
      </c>
    </row>
    <row r="110" spans="7:26" ht="12.75">
      <c r="G110" s="154">
        <f t="shared" si="57"/>
        <v>279</v>
      </c>
      <c r="H110" s="154">
        <f t="shared" si="58"/>
        <v>0.1409572303774394</v>
      </c>
      <c r="I110" s="154">
        <f t="shared" si="59"/>
        <v>3.525644933674433</v>
      </c>
      <c r="J110" s="154">
        <f t="shared" si="60"/>
        <v>1.997275101567132</v>
      </c>
      <c r="K110" s="154">
        <f t="shared" si="61"/>
        <v>1.993208591400825</v>
      </c>
      <c r="L110" s="154">
        <f t="shared" si="62"/>
        <v>0.00045657096939147324</v>
      </c>
      <c r="M110" s="154">
        <f t="shared" si="63"/>
        <v>0.5213675213675213</v>
      </c>
      <c r="N110" s="154">
        <f t="shared" si="52"/>
        <v>2.1078712694079815</v>
      </c>
      <c r="O110" s="154">
        <f t="shared" si="64"/>
        <v>0.07325223505585884</v>
      </c>
      <c r="P110" s="154">
        <f t="shared" si="65"/>
        <v>1.0239848934240283</v>
      </c>
      <c r="Q110" s="154">
        <f t="shared" si="66"/>
        <v>0.9388231338723882</v>
      </c>
      <c r="R110" s="154">
        <f t="shared" si="67"/>
        <v>0.06779950800763512</v>
      </c>
      <c r="S110" s="154">
        <f t="shared" si="68"/>
        <v>0.7603833865814695</v>
      </c>
      <c r="T110" s="154">
        <f t="shared" si="53"/>
        <v>2.0789224093135372</v>
      </c>
      <c r="U110" s="154">
        <f t="shared" si="69"/>
        <v>1.2862446164935457</v>
      </c>
      <c r="V110" s="154">
        <f t="shared" si="70"/>
        <v>3.833263214726713</v>
      </c>
      <c r="W110" s="154">
        <f t="shared" si="54"/>
        <v>2.0789224093135372</v>
      </c>
      <c r="X110" s="163">
        <f t="shared" si="71"/>
        <v>6.038647342995168</v>
      </c>
      <c r="Y110" s="165">
        <f t="shared" si="72"/>
        <v>-0.06830917874396134</v>
      </c>
      <c r="Z110" s="166">
        <f t="shared" si="73"/>
        <v>4.888411813842187</v>
      </c>
    </row>
    <row r="111" spans="7:26" ht="12.75">
      <c r="G111" s="153">
        <f t="shared" si="57"/>
        <v>280</v>
      </c>
      <c r="H111" s="153">
        <f t="shared" si="58"/>
        <v>0.13995219094145742</v>
      </c>
      <c r="I111" s="153">
        <f t="shared" si="59"/>
        <v>3.5148390589113103</v>
      </c>
      <c r="J111" s="153">
        <f t="shared" si="60"/>
        <v>1.9830487195985973</v>
      </c>
      <c r="K111" s="153">
        <f t="shared" si="61"/>
        <v>1.9789824870060628</v>
      </c>
      <c r="L111" s="153">
        <f t="shared" si="62"/>
        <v>0.00045657096939147324</v>
      </c>
      <c r="M111" s="153">
        <f t="shared" si="63"/>
        <v>0.5213675213675213</v>
      </c>
      <c r="N111" s="153">
        <f t="shared" si="52"/>
        <v>2.1040933653882528</v>
      </c>
      <c r="O111" s="153">
        <f t="shared" si="64"/>
        <v>0.07325223505585884</v>
      </c>
      <c r="P111" s="153">
        <f t="shared" si="65"/>
        <v>1.009683275952386</v>
      </c>
      <c r="Q111" s="153">
        <f t="shared" si="66"/>
        <v>0.9317328070813885</v>
      </c>
      <c r="R111" s="153">
        <f t="shared" si="67"/>
        <v>0.06779950800763512</v>
      </c>
      <c r="S111" s="153">
        <f t="shared" si="68"/>
        <v>0.7603833865814695</v>
      </c>
      <c r="T111" s="153">
        <f t="shared" si="53"/>
        <v>2.0760868619487125</v>
      </c>
      <c r="U111" s="153">
        <f t="shared" si="69"/>
        <v>1.2834366000060689</v>
      </c>
      <c r="V111" s="153">
        <f t="shared" si="70"/>
        <v>3.833263214726713</v>
      </c>
      <c r="W111" s="153">
        <f t="shared" si="54"/>
        <v>2.0760868619487125</v>
      </c>
      <c r="X111" s="163">
        <f t="shared" si="71"/>
        <v>6.017080745341614</v>
      </c>
      <c r="Y111" s="163">
        <f t="shared" si="72"/>
        <v>-0.06806521739130433</v>
      </c>
      <c r="Z111" s="164">
        <f t="shared" si="73"/>
        <v>4.886896328808886</v>
      </c>
    </row>
    <row r="112" spans="7:26" ht="12.75">
      <c r="G112" s="154">
        <f t="shared" si="57"/>
        <v>281</v>
      </c>
      <c r="H112" s="154">
        <f t="shared" si="58"/>
        <v>0.13895786236002913</v>
      </c>
      <c r="I112" s="154">
        <f t="shared" si="59"/>
        <v>3.5041100942888503</v>
      </c>
      <c r="J112" s="154">
        <f t="shared" si="60"/>
        <v>1.9689739502958299</v>
      </c>
      <c r="K112" s="154">
        <f t="shared" si="61"/>
        <v>1.9649079923189225</v>
      </c>
      <c r="L112" s="154">
        <f t="shared" si="62"/>
        <v>0.00045657096939147324</v>
      </c>
      <c r="M112" s="154">
        <f t="shared" si="63"/>
        <v>0.5213675213675213</v>
      </c>
      <c r="N112" s="154">
        <f t="shared" si="52"/>
        <v>2.1003378863245983</v>
      </c>
      <c r="O112" s="154">
        <f t="shared" si="64"/>
        <v>0.07325223505585884</v>
      </c>
      <c r="P112" s="154">
        <f t="shared" si="65"/>
        <v>0.9956330168281842</v>
      </c>
      <c r="Q112" s="154">
        <f t="shared" si="66"/>
        <v>0.9247180429561684</v>
      </c>
      <c r="R112" s="154">
        <f t="shared" si="67"/>
        <v>0.06779950800763512</v>
      </c>
      <c r="S112" s="154">
        <f t="shared" si="68"/>
        <v>0.7603833865814695</v>
      </c>
      <c r="T112" s="154">
        <f t="shared" si="53"/>
        <v>2.073268959785101</v>
      </c>
      <c r="U112" s="154">
        <f t="shared" si="69"/>
        <v>1.280648569401065</v>
      </c>
      <c r="V112" s="154">
        <f t="shared" si="70"/>
        <v>3.833263214726713</v>
      </c>
      <c r="W112" s="154">
        <f t="shared" si="54"/>
        <v>2.073268959785101</v>
      </c>
      <c r="X112" s="163">
        <f t="shared" si="71"/>
        <v>5.995667646603744</v>
      </c>
      <c r="Y112" s="165">
        <f t="shared" si="72"/>
        <v>-0.06782299241838155</v>
      </c>
      <c r="Z112" s="166">
        <f t="shared" si="73"/>
        <v>4.885394939659338</v>
      </c>
    </row>
    <row r="113" spans="7:26" ht="12.75">
      <c r="G113" s="153">
        <f t="shared" si="57"/>
        <v>282</v>
      </c>
      <c r="H113" s="153">
        <f t="shared" si="58"/>
        <v>0.1379740929758345</v>
      </c>
      <c r="I113" s="153">
        <f t="shared" si="59"/>
        <v>3.493457221614068</v>
      </c>
      <c r="J113" s="153">
        <f t="shared" si="60"/>
        <v>1.9550486469421073</v>
      </c>
      <c r="K113" s="153">
        <f t="shared" si="61"/>
        <v>1.950982960664568</v>
      </c>
      <c r="L113" s="153">
        <f t="shared" si="62"/>
        <v>0.00045657096939147324</v>
      </c>
      <c r="M113" s="153">
        <f t="shared" si="63"/>
        <v>0.5213675213675213</v>
      </c>
      <c r="N113" s="153">
        <f t="shared" si="52"/>
        <v>2.096604620030127</v>
      </c>
      <c r="O113" s="153">
        <f t="shared" si="64"/>
        <v>0.07325223505585884</v>
      </c>
      <c r="P113" s="153">
        <f t="shared" si="65"/>
        <v>0.9818288151023044</v>
      </c>
      <c r="Q113" s="153">
        <f t="shared" si="66"/>
        <v>0.9177777715885029</v>
      </c>
      <c r="R113" s="153">
        <f t="shared" si="67"/>
        <v>0.06779950800763512</v>
      </c>
      <c r="S113" s="153">
        <f t="shared" si="68"/>
        <v>0.7603833865814695</v>
      </c>
      <c r="T113" s="153">
        <f t="shared" si="53"/>
        <v>2.0704685351464236</v>
      </c>
      <c r="U113" s="153">
        <f t="shared" si="69"/>
        <v>1.2778803120627633</v>
      </c>
      <c r="V113" s="153">
        <f t="shared" si="70"/>
        <v>3.833263214726713</v>
      </c>
      <c r="W113" s="153">
        <f t="shared" si="54"/>
        <v>2.0704685351464236</v>
      </c>
      <c r="X113" s="163">
        <f t="shared" si="71"/>
        <v>5.974406413814369</v>
      </c>
      <c r="Y113" s="163">
        <f t="shared" si="72"/>
        <v>-0.06758248535306814</v>
      </c>
      <c r="Z113" s="164">
        <f t="shared" si="73"/>
        <v>4.883907520087321</v>
      </c>
    </row>
    <row r="114" spans="7:26" ht="12.75">
      <c r="G114" s="154">
        <f>G113+1</f>
        <v>283</v>
      </c>
      <c r="H114" s="154">
        <f t="shared" si="58"/>
        <v>0.1370007338062688</v>
      </c>
      <c r="I114" s="154">
        <f t="shared" si="59"/>
        <v>3.4828796342585404</v>
      </c>
      <c r="J114" s="154">
        <f t="shared" si="60"/>
        <v>1.941270700681434</v>
      </c>
      <c r="K114" s="154">
        <f t="shared" si="61"/>
        <v>1.9372052832281486</v>
      </c>
      <c r="L114" s="154">
        <f t="shared" si="62"/>
        <v>0.00045657096939147324</v>
      </c>
      <c r="M114" s="154">
        <f t="shared" si="63"/>
        <v>0.5213675213675213</v>
      </c>
      <c r="N114" s="154">
        <f t="shared" si="52"/>
        <v>2.0928933570687756</v>
      </c>
      <c r="O114" s="154">
        <f t="shared" si="64"/>
        <v>0.07325223505585884</v>
      </c>
      <c r="P114" s="154">
        <f t="shared" si="65"/>
        <v>0.968265499986734</v>
      </c>
      <c r="Q114" s="154">
        <f t="shared" si="66"/>
        <v>0.9109109419396804</v>
      </c>
      <c r="R114" s="154">
        <f t="shared" si="67"/>
        <v>0.06779950800763512</v>
      </c>
      <c r="S114" s="154">
        <f t="shared" si="68"/>
        <v>0.7603833865814695</v>
      </c>
      <c r="T114" s="154">
        <f t="shared" si="53"/>
        <v>2.0676854225321213</v>
      </c>
      <c r="U114" s="154">
        <f t="shared" si="69"/>
        <v>1.2751316183805628</v>
      </c>
      <c r="V114" s="154">
        <f t="shared" si="70"/>
        <v>3.833263214726713</v>
      </c>
      <c r="W114" s="154">
        <f t="shared" si="54"/>
        <v>2.0676854225321213</v>
      </c>
      <c r="X114" s="163">
        <f t="shared" si="71"/>
        <v>5.953295437087109</v>
      </c>
      <c r="Y114" s="165">
        <f t="shared" si="72"/>
        <v>-0.06734367798432937</v>
      </c>
      <c r="Z114" s="166">
        <f t="shared" si="73"/>
        <v>4.882433945293273</v>
      </c>
    </row>
    <row r="115" spans="7:26" ht="12.75">
      <c r="G115" s="153">
        <f aca="true" t="shared" si="74" ref="G115:G120">G114+1</f>
        <v>284</v>
      </c>
      <c r="H115" s="153">
        <f t="shared" si="58"/>
        <v>0.13603763848703457</v>
      </c>
      <c r="I115" s="153">
        <f t="shared" si="59"/>
        <v>3.472376536954813</v>
      </c>
      <c r="J115" s="153">
        <f t="shared" si="60"/>
        <v>1.927638039720079</v>
      </c>
      <c r="K115" s="153">
        <f t="shared" si="61"/>
        <v>1.923572888256357</v>
      </c>
      <c r="L115" s="153">
        <f t="shared" si="62"/>
        <v>0.00045657096939147324</v>
      </c>
      <c r="M115" s="153">
        <f t="shared" si="63"/>
        <v>0.5213675213675213</v>
      </c>
      <c r="N115" s="153">
        <f t="shared" si="52"/>
        <v>2.089203890710083</v>
      </c>
      <c r="O115" s="153">
        <f t="shared" si="64"/>
        <v>0.07325223505585884</v>
      </c>
      <c r="P115" s="153">
        <f t="shared" si="65"/>
        <v>0.9549380272120417</v>
      </c>
      <c r="Q115" s="153">
        <f t="shared" si="66"/>
        <v>0.9041165214425574</v>
      </c>
      <c r="R115" s="153">
        <f t="shared" si="67"/>
        <v>0.06779950800763512</v>
      </c>
      <c r="S115" s="153">
        <f t="shared" si="68"/>
        <v>0.7603833865814695</v>
      </c>
      <c r="T115" s="153">
        <f t="shared" si="53"/>
        <v>2.0649194585815605</v>
      </c>
      <c r="U115" s="153">
        <f t="shared" si="69"/>
        <v>1.2724022816961242</v>
      </c>
      <c r="V115" s="153">
        <f t="shared" si="70"/>
        <v>3.833263214726713</v>
      </c>
      <c r="W115" s="153">
        <f t="shared" si="54"/>
        <v>2.0649194585815605</v>
      </c>
      <c r="X115" s="163">
        <f t="shared" si="71"/>
        <v>5.9323331292100425</v>
      </c>
      <c r="Y115" s="163">
        <f t="shared" si="72"/>
        <v>-0.067106552357624</v>
      </c>
      <c r="Z115" s="164">
        <f t="shared" si="73"/>
        <v>4.880974091960883</v>
      </c>
    </row>
    <row r="116" spans="7:26" ht="12.75">
      <c r="G116" s="154">
        <f t="shared" si="74"/>
        <v>285</v>
      </c>
      <c r="H116" s="154">
        <f t="shared" si="58"/>
        <v>0.13508466321711618</v>
      </c>
      <c r="I116" s="154">
        <f t="shared" si="59"/>
        <v>3.461947145597078</v>
      </c>
      <c r="J116" s="154">
        <f t="shared" si="60"/>
        <v>1.9141486285476905</v>
      </c>
      <c r="K116" s="154">
        <f t="shared" si="61"/>
        <v>1.9100837402785567</v>
      </c>
      <c r="L116" s="154">
        <f t="shared" si="62"/>
        <v>0.00045657096939147324</v>
      </c>
      <c r="M116" s="154">
        <f t="shared" si="63"/>
        <v>0.5213675213675213</v>
      </c>
      <c r="N116" s="154">
        <f t="shared" si="52"/>
        <v>2.08553601688486</v>
      </c>
      <c r="O116" s="154">
        <f t="shared" si="64"/>
        <v>0.07325223505585884</v>
      </c>
      <c r="P116" s="154">
        <f t="shared" si="65"/>
        <v>0.9418414754991753</v>
      </c>
      <c r="Q116" s="154">
        <f t="shared" si="66"/>
        <v>0.8973934956133662</v>
      </c>
      <c r="R116" s="154">
        <f t="shared" si="67"/>
        <v>0.06779950800763512</v>
      </c>
      <c r="S116" s="154">
        <f t="shared" si="68"/>
        <v>0.7603833865814695</v>
      </c>
      <c r="T116" s="154">
        <f t="shared" si="53"/>
        <v>2.0621704820389493</v>
      </c>
      <c r="U116" s="154">
        <f t="shared" si="69"/>
        <v>1.2696920982515765</v>
      </c>
      <c r="V116" s="154">
        <f t="shared" si="70"/>
        <v>3.833263214726713</v>
      </c>
      <c r="W116" s="154">
        <f t="shared" si="54"/>
        <v>2.0621704820389493</v>
      </c>
      <c r="X116" s="163">
        <f t="shared" si="71"/>
        <v>5.911517925247902</v>
      </c>
      <c r="Y116" s="165">
        <f t="shared" si="72"/>
        <v>-0.06687109077040426</v>
      </c>
      <c r="Z116" s="166">
        <f t="shared" si="73"/>
        <v>4.879527838234142</v>
      </c>
    </row>
    <row r="117" spans="7:26" ht="12.75">
      <c r="G117" s="153">
        <f t="shared" si="74"/>
        <v>286</v>
      </c>
      <c r="H117" s="153">
        <f t="shared" si="58"/>
        <v>0.13414166670509878</v>
      </c>
      <c r="I117" s="153">
        <f t="shared" si="59"/>
        <v>3.4515906870460378</v>
      </c>
      <c r="J117" s="153">
        <f t="shared" si="60"/>
        <v>1.9008004671774377</v>
      </c>
      <c r="K117" s="153">
        <f t="shared" si="61"/>
        <v>1.8967358393469396</v>
      </c>
      <c r="L117" s="153">
        <f t="shared" si="62"/>
        <v>0.00045657096939147324</v>
      </c>
      <c r="M117" s="153">
        <f t="shared" si="63"/>
        <v>0.5213675213675213</v>
      </c>
      <c r="N117" s="153">
        <f t="shared" si="52"/>
        <v>2.081889534141742</v>
      </c>
      <c r="O117" s="153">
        <f t="shared" si="64"/>
        <v>0.07325223505585884</v>
      </c>
      <c r="P117" s="153">
        <f t="shared" si="65"/>
        <v>0.9289710431416077</v>
      </c>
      <c r="Q117" s="153">
        <f t="shared" si="66"/>
        <v>0.8907408676730075</v>
      </c>
      <c r="R117" s="153">
        <f t="shared" si="67"/>
        <v>0.06779950800763512</v>
      </c>
      <c r="S117" s="153">
        <f t="shared" si="68"/>
        <v>0.7603833865814695</v>
      </c>
      <c r="T117" s="153">
        <f t="shared" si="53"/>
        <v>2.0594383337189526</v>
      </c>
      <c r="U117" s="153">
        <f t="shared" si="69"/>
        <v>1.2670008671388087</v>
      </c>
      <c r="V117" s="153">
        <f t="shared" si="70"/>
        <v>3.833263214726713</v>
      </c>
      <c r="W117" s="153">
        <f t="shared" si="54"/>
        <v>2.0594383337189526</v>
      </c>
      <c r="X117" s="163">
        <f t="shared" si="71"/>
        <v>5.890848282152629</v>
      </c>
      <c r="Y117" s="163">
        <f t="shared" si="72"/>
        <v>-0.06663727576771054</v>
      </c>
      <c r="Z117" s="164">
        <f t="shared" si="73"/>
        <v>4.878095063694837</v>
      </c>
    </row>
    <row r="118" spans="7:26" ht="12.75">
      <c r="G118" s="154">
        <f t="shared" si="74"/>
        <v>287</v>
      </c>
      <c r="H118" s="154">
        <f t="shared" si="58"/>
        <v>0.13320851011679466</v>
      </c>
      <c r="I118" s="154">
        <f t="shared" si="59"/>
        <v>3.441306398937864</v>
      </c>
      <c r="J118" s="154">
        <f t="shared" si="60"/>
        <v>1.887591590404659</v>
      </c>
      <c r="K118" s="154">
        <f t="shared" si="61"/>
        <v>1.8835272202951863</v>
      </c>
      <c r="L118" s="154">
        <f t="shared" si="62"/>
        <v>0.00045657096939147324</v>
      </c>
      <c r="M118" s="154">
        <f t="shared" si="63"/>
        <v>0.5213675213675213</v>
      </c>
      <c r="N118" s="154">
        <f t="shared" si="52"/>
        <v>2.078264243604595</v>
      </c>
      <c r="O118" s="154">
        <f t="shared" si="64"/>
        <v>0.07325223505585884</v>
      </c>
      <c r="P118" s="154">
        <f t="shared" si="65"/>
        <v>0.9163220446940175</v>
      </c>
      <c r="Q118" s="154">
        <f t="shared" si="66"/>
        <v>0.8841576581775651</v>
      </c>
      <c r="R118" s="154">
        <f t="shared" si="67"/>
        <v>0.06779950800763512</v>
      </c>
      <c r="S118" s="154">
        <f t="shared" si="68"/>
        <v>0.7603833865814695</v>
      </c>
      <c r="T118" s="154">
        <f t="shared" si="53"/>
        <v>2.0567228564729856</v>
      </c>
      <c r="U118" s="154">
        <f t="shared" si="69"/>
        <v>1.2643283902498232</v>
      </c>
      <c r="V118" s="154">
        <f t="shared" si="70"/>
        <v>3.833263214726713</v>
      </c>
      <c r="W118" s="154">
        <f t="shared" si="54"/>
        <v>2.0567228564729856</v>
      </c>
      <c r="X118" s="163">
        <f t="shared" si="71"/>
        <v>5.870322678382062</v>
      </c>
      <c r="Y118" s="165">
        <f t="shared" si="72"/>
        <v>-0.06640509013785788</v>
      </c>
      <c r="Z118" s="166">
        <f t="shared" si="73"/>
        <v>4.876675649340436</v>
      </c>
    </row>
    <row r="119" spans="7:26" ht="12.75">
      <c r="G119" s="153">
        <f t="shared" si="74"/>
        <v>288</v>
      </c>
      <c r="H119" s="153">
        <f t="shared" si="58"/>
        <v>0.1322850570241399</v>
      </c>
      <c r="I119" s="153">
        <f t="shared" si="59"/>
        <v>3.431093529497107</v>
      </c>
      <c r="J119" s="153">
        <f t="shared" si="60"/>
        <v>1.8745200670834916</v>
      </c>
      <c r="K119" s="153">
        <f t="shared" si="61"/>
        <v>1.8704559520151147</v>
      </c>
      <c r="L119" s="153">
        <f t="shared" si="62"/>
        <v>0.00045657096939147324</v>
      </c>
      <c r="M119" s="153">
        <f t="shared" si="63"/>
        <v>0.5213675213675213</v>
      </c>
      <c r="N119" s="153">
        <f t="shared" si="52"/>
        <v>2.0746599489307647</v>
      </c>
      <c r="O119" s="153">
        <f t="shared" si="64"/>
        <v>0.07325223505585884</v>
      </c>
      <c r="P119" s="153">
        <f t="shared" si="65"/>
        <v>0.9038899077638112</v>
      </c>
      <c r="Q119" s="153">
        <f t="shared" si="66"/>
        <v>0.8776429046577849</v>
      </c>
      <c r="R119" s="153">
        <f t="shared" si="67"/>
        <v>0.06779950800763512</v>
      </c>
      <c r="S119" s="153">
        <f t="shared" si="68"/>
        <v>0.7603833865814695</v>
      </c>
      <c r="T119" s="153">
        <f t="shared" si="53"/>
        <v>2.0540238951561705</v>
      </c>
      <c r="U119" s="153">
        <f t="shared" si="69"/>
        <v>1.2616744722281226</v>
      </c>
      <c r="V119" s="153">
        <f t="shared" si="70"/>
        <v>3.833263214726713</v>
      </c>
      <c r="W119" s="153">
        <f t="shared" si="54"/>
        <v>2.0540238951561705</v>
      </c>
      <c r="X119" s="163">
        <f t="shared" si="71"/>
        <v>5.849939613526569</v>
      </c>
      <c r="Y119" s="163">
        <f t="shared" si="72"/>
        <v>-0.06617451690821255</v>
      </c>
      <c r="Z119" s="164">
        <f t="shared" si="73"/>
        <v>4.875269477562422</v>
      </c>
    </row>
    <row r="120" spans="7:26" ht="12.75">
      <c r="G120" s="154">
        <f t="shared" si="74"/>
        <v>289</v>
      </c>
      <c r="H120" s="154">
        <f t="shared" si="58"/>
        <v>0.13137117335532691</v>
      </c>
      <c r="I120" s="154">
        <f t="shared" si="59"/>
        <v>3.420951337353519</v>
      </c>
      <c r="J120" s="154">
        <f t="shared" si="60"/>
        <v>1.8615839994209962</v>
      </c>
      <c r="K120" s="154">
        <f t="shared" si="61"/>
        <v>1.857520136750812</v>
      </c>
      <c r="L120" s="154">
        <f t="shared" si="62"/>
        <v>0.00045657096939147324</v>
      </c>
      <c r="M120" s="154">
        <f t="shared" si="63"/>
        <v>0.5213675213675213</v>
      </c>
      <c r="N120" s="154">
        <f t="shared" si="52"/>
        <v>2.071076456270143</v>
      </c>
      <c r="O120" s="154">
        <f t="shared" si="64"/>
        <v>0.07325223505585884</v>
      </c>
      <c r="P120" s="154">
        <f t="shared" si="65"/>
        <v>0.8916701699019643</v>
      </c>
      <c r="Q120" s="154">
        <f t="shared" si="66"/>
        <v>0.8711956612672699</v>
      </c>
      <c r="R120" s="154">
        <f t="shared" si="67"/>
        <v>0.06779950800763512</v>
      </c>
      <c r="S120" s="154">
        <f t="shared" si="68"/>
        <v>0.7603833865814695</v>
      </c>
      <c r="T120" s="154">
        <f t="shared" si="53"/>
        <v>2.051341296594941</v>
      </c>
      <c r="U120" s="154">
        <f t="shared" si="69"/>
        <v>1.2590389204211045</v>
      </c>
      <c r="V120" s="154">
        <f t="shared" si="70"/>
        <v>3.833263214726713</v>
      </c>
      <c r="W120" s="154">
        <f t="shared" si="54"/>
        <v>2.051341296594941</v>
      </c>
      <c r="X120" s="163">
        <f t="shared" si="71"/>
        <v>5.829697607943433</v>
      </c>
      <c r="Y120" s="165">
        <f t="shared" si="72"/>
        <v>-0.06594553934105611</v>
      </c>
      <c r="Z120" s="166">
        <f t="shared" si="73"/>
        <v>4.873876432125017</v>
      </c>
    </row>
    <row r="121" spans="7:26" ht="12.75">
      <c r="G121" s="153">
        <f>G120+1</f>
        <v>290</v>
      </c>
      <c r="H121" s="153">
        <f t="shared" si="58"/>
        <v>0.13046672734613868</v>
      </c>
      <c r="I121" s="153">
        <f t="shared" si="59"/>
        <v>3.410879091362645</v>
      </c>
      <c r="J121" s="153">
        <f t="shared" si="60"/>
        <v>1.8487815222882886</v>
      </c>
      <c r="K121" s="153">
        <f t="shared" si="61"/>
        <v>1.844717909409786</v>
      </c>
      <c r="L121" s="153">
        <f t="shared" si="62"/>
        <v>0.00045657096939147324</v>
      </c>
      <c r="M121" s="153">
        <f t="shared" si="63"/>
        <v>0.5213675213675213</v>
      </c>
      <c r="N121" s="153">
        <f t="shared" si="52"/>
        <v>2.067513574225033</v>
      </c>
      <c r="O121" s="153">
        <f t="shared" si="64"/>
        <v>0.07325223505585884</v>
      </c>
      <c r="P121" s="153">
        <f t="shared" si="65"/>
        <v>0.8796584755897691</v>
      </c>
      <c r="Q121" s="153">
        <f t="shared" si="66"/>
        <v>0.8648149984391547</v>
      </c>
      <c r="R121" s="153">
        <f t="shared" si="67"/>
        <v>0.06779950800763512</v>
      </c>
      <c r="S121" s="153">
        <f t="shared" si="68"/>
        <v>0.7603833865814695</v>
      </c>
      <c r="T121" s="153">
        <f t="shared" si="53"/>
        <v>2.0486749095552845</v>
      </c>
      <c r="U121" s="153">
        <f t="shared" si="69"/>
        <v>1.256421544833446</v>
      </c>
      <c r="V121" s="153">
        <f t="shared" si="70"/>
        <v>3.833263214726713</v>
      </c>
      <c r="W121" s="153">
        <f t="shared" si="54"/>
        <v>2.0486749095552845</v>
      </c>
      <c r="X121" s="163">
        <f t="shared" si="71"/>
        <v>5.8095952023988</v>
      </c>
      <c r="Y121" s="163">
        <f t="shared" si="72"/>
        <v>-0.06571814092953522</v>
      </c>
      <c r="Z121" s="164">
        <f t="shared" si="73"/>
        <v>4.872496398144286</v>
      </c>
    </row>
    <row r="122" spans="7:26" ht="12.75">
      <c r="G122" s="154">
        <f aca="true" t="shared" si="75" ref="G122:G131">G121+1</f>
        <v>291</v>
      </c>
      <c r="H122" s="154">
        <f t="shared" si="58"/>
        <v>0.1295715894924512</v>
      </c>
      <c r="I122" s="154">
        <f t="shared" si="59"/>
        <v>3.4008760704301264</v>
      </c>
      <c r="J122" s="154">
        <f t="shared" si="60"/>
        <v>1.836110802548212</v>
      </c>
      <c r="K122" s="154">
        <f t="shared" si="61"/>
        <v>1.832047436890646</v>
      </c>
      <c r="L122" s="154">
        <f t="shared" si="62"/>
        <v>0.00045657096939147324</v>
      </c>
      <c r="M122" s="154">
        <f t="shared" si="63"/>
        <v>0.5213675213675213</v>
      </c>
      <c r="N122" s="154">
        <f t="shared" si="52"/>
        <v>2.0639711138108003</v>
      </c>
      <c r="O122" s="154">
        <f t="shared" si="64"/>
        <v>0.07325223505585884</v>
      </c>
      <c r="P122" s="154">
        <f t="shared" si="65"/>
        <v>0.8678505733182088</v>
      </c>
      <c r="Q122" s="154">
        <f t="shared" si="66"/>
        <v>0.858500002551021</v>
      </c>
      <c r="R122" s="154">
        <f t="shared" si="67"/>
        <v>0.06779950800763512</v>
      </c>
      <c r="S122" s="154">
        <f t="shared" si="68"/>
        <v>0.7603833865814695</v>
      </c>
      <c r="T122" s="154">
        <f t="shared" si="53"/>
        <v>2.0460245847115974</v>
      </c>
      <c r="U122" s="154">
        <f t="shared" si="69"/>
        <v>1.2538221580814408</v>
      </c>
      <c r="V122" s="154">
        <f t="shared" si="70"/>
        <v>3.833263214726713</v>
      </c>
      <c r="W122" s="154">
        <f t="shared" si="54"/>
        <v>2.0460245847115974</v>
      </c>
      <c r="X122" s="163">
        <f t="shared" si="71"/>
        <v>5.7896309577170175</v>
      </c>
      <c r="Y122" s="165">
        <f t="shared" si="72"/>
        <v>-0.0654923053936949</v>
      </c>
      <c r="Z122" s="166">
        <f t="shared" si="73"/>
        <v>4.871129262067678</v>
      </c>
    </row>
    <row r="123" spans="7:26" ht="12.75">
      <c r="G123" s="153">
        <f t="shared" si="75"/>
        <v>292</v>
      </c>
      <c r="H123" s="153">
        <f t="shared" si="58"/>
        <v>0.12868563250387338</v>
      </c>
      <c r="I123" s="153">
        <f t="shared" si="59"/>
        <v>3.3909415633396125</v>
      </c>
      <c r="J123" s="153">
        <f t="shared" si="60"/>
        <v>1.8235700383991058</v>
      </c>
      <c r="K123" s="153">
        <f t="shared" si="61"/>
        <v>1.8195069174268874</v>
      </c>
      <c r="L123" s="153">
        <f t="shared" si="62"/>
        <v>0.00045657096939147324</v>
      </c>
      <c r="M123" s="153">
        <f t="shared" si="63"/>
        <v>0.5213675213675213</v>
      </c>
      <c r="N123" s="153">
        <f t="shared" si="52"/>
        <v>2.060448888417284</v>
      </c>
      <c r="O123" s="153">
        <f t="shared" si="64"/>
        <v>0.07325223505585884</v>
      </c>
      <c r="P123" s="153">
        <f t="shared" si="65"/>
        <v>0.8562423127568161</v>
      </c>
      <c r="Q123" s="153">
        <f t="shared" si="66"/>
        <v>0.8522497755978378</v>
      </c>
      <c r="R123" s="153">
        <f t="shared" si="67"/>
        <v>0.06779950800763512</v>
      </c>
      <c r="S123" s="153">
        <f t="shared" si="68"/>
        <v>0.7603833865814695</v>
      </c>
      <c r="T123" s="153">
        <f t="shared" si="53"/>
        <v>2.0433901746161514</v>
      </c>
      <c r="U123" s="153">
        <f t="shared" si="69"/>
        <v>1.2512405753482851</v>
      </c>
      <c r="V123" s="153">
        <f t="shared" si="70"/>
        <v>3.833263214726713</v>
      </c>
      <c r="W123" s="153">
        <f t="shared" si="54"/>
        <v>2.0433901746161514</v>
      </c>
      <c r="X123" s="163">
        <f t="shared" si="71"/>
        <v>5.769803454437165</v>
      </c>
      <c r="Y123" s="163">
        <f t="shared" si="72"/>
        <v>-0.0652680166765932</v>
      </c>
      <c r="Z123" s="164">
        <f t="shared" si="73"/>
        <v>4.869774911653875</v>
      </c>
    </row>
    <row r="124" spans="7:26" ht="12.75">
      <c r="G124" s="154">
        <f t="shared" si="75"/>
        <v>293</v>
      </c>
      <c r="H124" s="154">
        <f t="shared" si="58"/>
        <v>0.12780873125849176</v>
      </c>
      <c r="I124" s="154">
        <f t="shared" si="59"/>
        <v>3.381074868584187</v>
      </c>
      <c r="J124" s="154">
        <f t="shared" si="60"/>
        <v>1.8111574587342156</v>
      </c>
      <c r="K124" s="154">
        <f t="shared" si="61"/>
        <v>1.8070945799463114</v>
      </c>
      <c r="L124" s="154">
        <f t="shared" si="62"/>
        <v>0.00045657096939147324</v>
      </c>
      <c r="M124" s="154">
        <f t="shared" si="63"/>
        <v>0.5213675213675213</v>
      </c>
      <c r="N124" s="154">
        <f t="shared" si="52"/>
        <v>2.056946713770956</v>
      </c>
      <c r="O124" s="154">
        <f t="shared" si="64"/>
        <v>0.07325223505585884</v>
      </c>
      <c r="P124" s="154">
        <f t="shared" si="65"/>
        <v>0.8448296420089659</v>
      </c>
      <c r="Q124" s="154">
        <f t="shared" si="66"/>
        <v>0.8460634348726944</v>
      </c>
      <c r="R124" s="154">
        <f t="shared" si="67"/>
        <v>0.06779950800763512</v>
      </c>
      <c r="S124" s="154">
        <f t="shared" si="68"/>
        <v>0.7603833865814695</v>
      </c>
      <c r="T124" s="154">
        <f t="shared" si="53"/>
        <v>2.040771533669145</v>
      </c>
      <c r="U124" s="154">
        <f t="shared" si="69"/>
        <v>1.2486766143402703</v>
      </c>
      <c r="V124" s="154">
        <f t="shared" si="70"/>
        <v>3.833263214726713</v>
      </c>
      <c r="W124" s="154">
        <f t="shared" si="54"/>
        <v>2.040771533669145</v>
      </c>
      <c r="X124" s="163">
        <f t="shared" si="71"/>
        <v>5.750111292476628</v>
      </c>
      <c r="Y124" s="165">
        <f t="shared" si="72"/>
        <v>-0.06504525894049562</v>
      </c>
      <c r="Z124" s="166">
        <f t="shared" si="73"/>
        <v>4.868433235953083</v>
      </c>
    </row>
    <row r="125" spans="7:26" ht="12.75">
      <c r="G125" s="153">
        <f t="shared" si="75"/>
        <v>294</v>
      </c>
      <c r="H125" s="153">
        <f t="shared" si="58"/>
        <v>0.12694076275869154</v>
      </c>
      <c r="I125" s="153">
        <f t="shared" si="59"/>
        <v>3.3712752942012485</v>
      </c>
      <c r="J125" s="153">
        <f t="shared" si="60"/>
        <v>1.7988713225163377</v>
      </c>
      <c r="K125" s="153">
        <f t="shared" si="61"/>
        <v>1.7948086834456844</v>
      </c>
      <c r="L125" s="153">
        <f t="shared" si="62"/>
        <v>0.00045657096939147324</v>
      </c>
      <c r="M125" s="153">
        <f t="shared" si="63"/>
        <v>0.5213675213675213</v>
      </c>
      <c r="N125" s="153">
        <f t="shared" si="52"/>
        <v>2.053464407897813</v>
      </c>
      <c r="O125" s="153">
        <f t="shared" si="64"/>
        <v>0.07325223505585884</v>
      </c>
      <c r="P125" s="153">
        <f t="shared" si="65"/>
        <v>0.8336086049506881</v>
      </c>
      <c r="Q125" s="153">
        <f t="shared" si="66"/>
        <v>0.8399401126551296</v>
      </c>
      <c r="R125" s="153">
        <f t="shared" si="67"/>
        <v>0.06779950800763512</v>
      </c>
      <c r="S125" s="153">
        <f t="shared" si="68"/>
        <v>0.7603833865814695</v>
      </c>
      <c r="T125" s="153">
        <f t="shared" si="53"/>
        <v>2.03816851808934</v>
      </c>
      <c r="U125" s="153">
        <f t="shared" si="69"/>
        <v>1.246130095243875</v>
      </c>
      <c r="V125" s="153">
        <f t="shared" si="70"/>
        <v>3.833263214726713</v>
      </c>
      <c r="W125" s="153">
        <f t="shared" si="54"/>
        <v>2.03816851808934</v>
      </c>
      <c r="X125" s="163">
        <f t="shared" si="71"/>
        <v>5.730553090801537</v>
      </c>
      <c r="Y125" s="163">
        <f t="shared" si="72"/>
        <v>-0.06482401656314699</v>
      </c>
      <c r="Z125" s="164">
        <f t="shared" si="73"/>
        <v>4.867104125287627</v>
      </c>
    </row>
    <row r="126" spans="7:26" ht="12.75">
      <c r="G126" s="154">
        <f t="shared" si="75"/>
        <v>295</v>
      </c>
      <c r="H126" s="154">
        <f t="shared" si="58"/>
        <v>0.12608160608802368</v>
      </c>
      <c r="I126" s="154">
        <f t="shared" si="59"/>
        <v>3.3615421576107356</v>
      </c>
      <c r="J126" s="154">
        <f t="shared" si="60"/>
        <v>1.7867099181672703</v>
      </c>
      <c r="K126" s="154">
        <f t="shared" si="61"/>
        <v>1.7826475163802</v>
      </c>
      <c r="L126" s="154">
        <f t="shared" si="62"/>
        <v>0.00045657096939147324</v>
      </c>
      <c r="M126" s="154">
        <f t="shared" si="63"/>
        <v>0.5213675213675213</v>
      </c>
      <c r="N126" s="154">
        <f t="shared" si="52"/>
        <v>2.0500017910869746</v>
      </c>
      <c r="O126" s="154">
        <f t="shared" si="64"/>
        <v>0.07325223505585884</v>
      </c>
      <c r="P126" s="154">
        <f t="shared" si="65"/>
        <v>0.8225753386501802</v>
      </c>
      <c r="Q126" s="154">
        <f t="shared" si="66"/>
        <v>0.833878955906837</v>
      </c>
      <c r="R126" s="154">
        <f t="shared" si="67"/>
        <v>0.06779950800763512</v>
      </c>
      <c r="S126" s="154">
        <f t="shared" si="68"/>
        <v>0.7603833865814695</v>
      </c>
      <c r="T126" s="154">
        <f t="shared" si="53"/>
        <v>2.035580985885253</v>
      </c>
      <c r="U126" s="154">
        <f t="shared" si="69"/>
        <v>1.2436008406837264</v>
      </c>
      <c r="V126" s="154">
        <f t="shared" si="70"/>
        <v>3.833263214726713</v>
      </c>
      <c r="W126" s="154">
        <f t="shared" si="54"/>
        <v>2.035580985885253</v>
      </c>
      <c r="X126" s="163">
        <f t="shared" si="71"/>
        <v>5.711127487103905</v>
      </c>
      <c r="Y126" s="165">
        <f t="shared" si="72"/>
        <v>-0.06460427413411937</v>
      </c>
      <c r="Z126" s="166">
        <f t="shared" si="73"/>
        <v>4.865787471232956</v>
      </c>
    </row>
    <row r="127" spans="7:26" ht="12.75">
      <c r="G127" s="153">
        <f t="shared" si="75"/>
        <v>296</v>
      </c>
      <c r="H127" s="153">
        <f t="shared" si="58"/>
        <v>0.12523114236909083</v>
      </c>
      <c r="I127" s="153">
        <f t="shared" si="59"/>
        <v>3.3518747854566455</v>
      </c>
      <c r="J127" s="153">
        <f t="shared" si="60"/>
        <v>1.7746715629716876</v>
      </c>
      <c r="K127" s="153">
        <f t="shared" si="61"/>
        <v>1.7706093960673635</v>
      </c>
      <c r="L127" s="153">
        <f t="shared" si="62"/>
        <v>0.00045657096939147324</v>
      </c>
      <c r="M127" s="153">
        <f t="shared" si="63"/>
        <v>0.5213675213675213</v>
      </c>
      <c r="N127" s="153">
        <f t="shared" si="52"/>
        <v>2.046558685854988</v>
      </c>
      <c r="O127" s="153">
        <f t="shared" si="64"/>
        <v>0.07325223505585884</v>
      </c>
      <c r="P127" s="153">
        <f t="shared" si="65"/>
        <v>0.8117260708653173</v>
      </c>
      <c r="Q127" s="153">
        <f t="shared" si="66"/>
        <v>0.8278791259745607</v>
      </c>
      <c r="R127" s="153">
        <f t="shared" si="67"/>
        <v>0.06779950800763512</v>
      </c>
      <c r="S127" s="153">
        <f t="shared" si="68"/>
        <v>0.7603833865814695</v>
      </c>
      <c r="T127" s="153">
        <f t="shared" si="53"/>
        <v>2.033008796826909</v>
      </c>
      <c r="U127" s="153">
        <f t="shared" si="69"/>
        <v>1.2410886756814166</v>
      </c>
      <c r="V127" s="153">
        <f t="shared" si="70"/>
        <v>3.833263214726713</v>
      </c>
      <c r="W127" s="153">
        <f t="shared" si="54"/>
        <v>2.033008796826909</v>
      </c>
      <c r="X127" s="163">
        <f t="shared" si="71"/>
        <v>5.691833137485311</v>
      </c>
      <c r="Y127" s="163">
        <f t="shared" si="72"/>
        <v>-0.06438601645123383</v>
      </c>
      <c r="Z127" s="164">
        <f t="shared" si="73"/>
        <v>4.8644831665989345</v>
      </c>
    </row>
    <row r="128" spans="7:26" ht="12.75">
      <c r="G128" s="154">
        <f t="shared" si="75"/>
        <v>297</v>
      </c>
      <c r="H128" s="154">
        <f t="shared" si="58"/>
        <v>0.12438925472242358</v>
      </c>
      <c r="I128" s="154">
        <f t="shared" si="59"/>
        <v>3.3422725134517406</v>
      </c>
      <c r="J128" s="154">
        <f t="shared" si="60"/>
        <v>1.7627546024950307</v>
      </c>
      <c r="K128" s="154">
        <f t="shared" si="61"/>
        <v>1.758692668104896</v>
      </c>
      <c r="L128" s="154">
        <f t="shared" si="62"/>
        <v>0.00045657096939147324</v>
      </c>
      <c r="M128" s="154">
        <f t="shared" si="63"/>
        <v>0.5213675213675213</v>
      </c>
      <c r="N128" s="154">
        <f t="shared" si="52"/>
        <v>2.0431349169108053</v>
      </c>
      <c r="O128" s="154">
        <f t="shared" si="64"/>
        <v>0.07325223505585884</v>
      </c>
      <c r="P128" s="154">
        <f t="shared" si="65"/>
        <v>0.8010571176165355</v>
      </c>
      <c r="Q128" s="154">
        <f t="shared" si="66"/>
        <v>0.8219397982999762</v>
      </c>
      <c r="R128" s="154">
        <f t="shared" si="67"/>
        <v>0.06779950800763512</v>
      </c>
      <c r="S128" s="154">
        <f t="shared" si="68"/>
        <v>0.7603833865814695</v>
      </c>
      <c r="T128" s="154">
        <f t="shared" si="53"/>
        <v>2.0304518124181277</v>
      </c>
      <c r="U128" s="154">
        <f t="shared" si="69"/>
        <v>1.2385934276151491</v>
      </c>
      <c r="V128" s="154">
        <f t="shared" si="70"/>
        <v>3.833263214726713</v>
      </c>
      <c r="W128" s="154">
        <f t="shared" si="54"/>
        <v>2.0304518124181277</v>
      </c>
      <c r="X128" s="163">
        <f t="shared" si="71"/>
        <v>5.672668716146976</v>
      </c>
      <c r="Y128" s="165">
        <f t="shared" si="72"/>
        <v>-0.06416922851705459</v>
      </c>
      <c r="Z128" s="166">
        <f t="shared" si="73"/>
        <v>4.8631911054115315</v>
      </c>
    </row>
    <row r="129" spans="7:26" ht="12.75">
      <c r="G129" s="153">
        <f t="shared" si="75"/>
        <v>298</v>
      </c>
      <c r="H129" s="153">
        <f t="shared" si="58"/>
        <v>0.12355582822632158</v>
      </c>
      <c r="I129" s="153">
        <f t="shared" si="59"/>
        <v>3.3327346862253924</v>
      </c>
      <c r="J129" s="153">
        <f t="shared" si="60"/>
        <v>1.7509574100150558</v>
      </c>
      <c r="K129" s="153">
        <f t="shared" si="61"/>
        <v>1.7468957058022938</v>
      </c>
      <c r="L129" s="153">
        <f t="shared" si="62"/>
        <v>0.00045657096939147324</v>
      </c>
      <c r="M129" s="153">
        <f t="shared" si="63"/>
        <v>0.5213675213675213</v>
      </c>
      <c r="N129" s="153">
        <f t="shared" si="52"/>
        <v>2.039730311121433</v>
      </c>
      <c r="O129" s="153">
        <f t="shared" si="64"/>
        <v>0.07325223505585884</v>
      </c>
      <c r="P129" s="153">
        <f t="shared" si="65"/>
        <v>0.7905648808325858</v>
      </c>
      <c r="Q129" s="153">
        <f t="shared" si="66"/>
        <v>0.816060162136379</v>
      </c>
      <c r="R129" s="153">
        <f t="shared" si="67"/>
        <v>0.06779950800763512</v>
      </c>
      <c r="S129" s="153">
        <f t="shared" si="68"/>
        <v>0.7603833865814695</v>
      </c>
      <c r="T129" s="153">
        <f t="shared" si="53"/>
        <v>2.0279098958693407</v>
      </c>
      <c r="U129" s="153">
        <f t="shared" si="69"/>
        <v>1.236114926180199</v>
      </c>
      <c r="V129" s="153">
        <f t="shared" si="70"/>
        <v>3.833263214726713</v>
      </c>
      <c r="W129" s="153">
        <f t="shared" si="54"/>
        <v>2.0279098958693407</v>
      </c>
      <c r="X129" s="163">
        <f t="shared" si="71"/>
        <v>5.653632915086081</v>
      </c>
      <c r="Y129" s="163">
        <f t="shared" si="72"/>
        <v>-0.06395389553545375</v>
      </c>
      <c r="Z129" s="164">
        <f t="shared" si="73"/>
        <v>4.861911182894796</v>
      </c>
    </row>
    <row r="130" spans="7:26" ht="12.75">
      <c r="G130" s="154">
        <f t="shared" si="75"/>
        <v>299</v>
      </c>
      <c r="H130" s="154">
        <f t="shared" si="58"/>
        <v>0.12273074987763292</v>
      </c>
      <c r="I130" s="154">
        <f t="shared" si="59"/>
        <v>3.3232606571744707</v>
      </c>
      <c r="J130" s="154">
        <f t="shared" si="60"/>
        <v>1.7392783859666672</v>
      </c>
      <c r="K130" s="154">
        <f t="shared" si="61"/>
        <v>1.7352169096256698</v>
      </c>
      <c r="L130" s="154">
        <f t="shared" si="62"/>
        <v>0.00045657096939147324</v>
      </c>
      <c r="M130" s="154">
        <f t="shared" si="63"/>
        <v>0.5213675213675213</v>
      </c>
      <c r="N130" s="154">
        <f t="shared" si="52"/>
        <v>2.036344697478232</v>
      </c>
      <c r="O130" s="154">
        <f t="shared" si="64"/>
        <v>0.07325223505585884</v>
      </c>
      <c r="P130" s="154">
        <f t="shared" si="65"/>
        <v>0.7802458460667259</v>
      </c>
      <c r="Q130" s="154">
        <f t="shared" si="66"/>
        <v>0.8102394202719913</v>
      </c>
      <c r="R130" s="154">
        <f t="shared" si="67"/>
        <v>0.06779950800763512</v>
      </c>
      <c r="S130" s="154">
        <f t="shared" si="68"/>
        <v>0.7603833865814695</v>
      </c>
      <c r="T130" s="154">
        <f t="shared" si="53"/>
        <v>2.025382912070922</v>
      </c>
      <c r="U130" s="154">
        <f t="shared" si="69"/>
        <v>1.2336530033501647</v>
      </c>
      <c r="V130" s="154">
        <f t="shared" si="70"/>
        <v>3.833263214726713</v>
      </c>
      <c r="W130" s="154">
        <f t="shared" si="54"/>
        <v>2.025382912070922</v>
      </c>
      <c r="X130" s="163">
        <f t="shared" si="71"/>
        <v>5.634724443798167</v>
      </c>
      <c r="Y130" s="165">
        <f t="shared" si="72"/>
        <v>-0.06374000290824486</v>
      </c>
      <c r="Z130" s="166">
        <f t="shared" si="73"/>
        <v>4.86064329545319</v>
      </c>
    </row>
    <row r="131" spans="7:26" ht="12.75">
      <c r="G131" s="153">
        <f t="shared" si="75"/>
        <v>300</v>
      </c>
      <c r="H131" s="153">
        <f t="shared" si="58"/>
        <v>0.12191390855344733</v>
      </c>
      <c r="I131" s="153">
        <f t="shared" si="59"/>
        <v>3.313849788317223</v>
      </c>
      <c r="J131" s="153">
        <f t="shared" si="60"/>
        <v>1.727715957399679</v>
      </c>
      <c r="K131" s="153">
        <f t="shared" si="61"/>
        <v>1.7236547066555281</v>
      </c>
      <c r="L131" s="153">
        <f t="shared" si="62"/>
        <v>0.00045657096939147324</v>
      </c>
      <c r="M131" s="153">
        <f t="shared" si="63"/>
        <v>0.5213675213675213</v>
      </c>
      <c r="N131" s="153">
        <f t="shared" si="52"/>
        <v>2.0329779070638496</v>
      </c>
      <c r="O131" s="153">
        <f t="shared" si="64"/>
        <v>0.07325223505585884</v>
      </c>
      <c r="P131" s="153">
        <f t="shared" si="65"/>
        <v>0.7700965802810237</v>
      </c>
      <c r="Q131" s="153">
        <f t="shared" si="66"/>
        <v>0.8044767887597163</v>
      </c>
      <c r="R131" s="153">
        <f t="shared" si="67"/>
        <v>0.06779950800763512</v>
      </c>
      <c r="S131" s="153">
        <f t="shared" si="68"/>
        <v>0.7603833865814695</v>
      </c>
      <c r="T131" s="153">
        <f t="shared" si="53"/>
        <v>2.0228707275670237</v>
      </c>
      <c r="U131" s="153">
        <f t="shared" si="69"/>
        <v>1.2312074933389976</v>
      </c>
      <c r="V131" s="153">
        <f t="shared" si="70"/>
        <v>3.833263214726713</v>
      </c>
      <c r="W131" s="153">
        <f t="shared" si="54"/>
        <v>2.0228707275670237</v>
      </c>
      <c r="X131" s="163">
        <f t="shared" si="71"/>
        <v>5.615942028985507</v>
      </c>
      <c r="Y131" s="163">
        <f t="shared" si="72"/>
        <v>-0.06352753623188405</v>
      </c>
      <c r="Z131" s="164">
        <f t="shared" si="73"/>
        <v>4.859387340654232</v>
      </c>
    </row>
    <row r="132" spans="7:26" ht="12.75">
      <c r="G132" s="154">
        <f>G131+1</f>
        <v>301</v>
      </c>
      <c r="H132" s="154">
        <f t="shared" si="58"/>
        <v>0.12110519497367868</v>
      </c>
      <c r="I132" s="154">
        <f t="shared" si="59"/>
        <v>3.304501450150057</v>
      </c>
      <c r="J132" s="154">
        <f t="shared" si="60"/>
        <v>1.7162685774491713</v>
      </c>
      <c r="K132" s="154">
        <f t="shared" si="61"/>
        <v>1.7122075500571308</v>
      </c>
      <c r="L132" s="154">
        <f t="shared" si="62"/>
        <v>0.00045657096939147324</v>
      </c>
      <c r="M132" s="154">
        <f t="shared" si="63"/>
        <v>0.5213675213675213</v>
      </c>
      <c r="N132" s="154">
        <f t="shared" si="52"/>
        <v>2.029629773019784</v>
      </c>
      <c r="O132" s="154">
        <f t="shared" si="64"/>
        <v>0.07325223505585884</v>
      </c>
      <c r="P132" s="154">
        <f t="shared" si="65"/>
        <v>0.7601137296965158</v>
      </c>
      <c r="Q132" s="154">
        <f t="shared" si="66"/>
        <v>0.7987714966531668</v>
      </c>
      <c r="R132" s="154">
        <f t="shared" si="67"/>
        <v>0.06779950800763512</v>
      </c>
      <c r="S132" s="154">
        <f t="shared" si="68"/>
        <v>0.7603833865814695</v>
      </c>
      <c r="T132" s="154">
        <f t="shared" si="53"/>
        <v>2.020373210529907</v>
      </c>
      <c r="U132" s="154">
        <f t="shared" si="69"/>
        <v>1.228778232563785</v>
      </c>
      <c r="V132" s="154">
        <f t="shared" si="70"/>
        <v>3.833263214726713</v>
      </c>
      <c r="W132" s="154">
        <f t="shared" si="54"/>
        <v>2.020373210529907</v>
      </c>
      <c r="X132" s="163">
        <f t="shared" si="71"/>
        <v>5.597284414271269</v>
      </c>
      <c r="Y132" s="165">
        <f t="shared" si="72"/>
        <v>-0.0633164812942366</v>
      </c>
      <c r="Z132" s="166">
        <f t="shared" si="73"/>
        <v>4.8581432172114285</v>
      </c>
    </row>
    <row r="133" spans="7:26" ht="12.75">
      <c r="G133" s="153">
        <f aca="true" t="shared" si="76" ref="G133:G144">G132+1</f>
        <v>302</v>
      </c>
      <c r="H133" s="153">
        <f t="shared" si="58"/>
        <v>0.12030450166451319</v>
      </c>
      <c r="I133" s="153">
        <f t="shared" si="59"/>
        <v>3.295215021507175</v>
      </c>
      <c r="J133" s="153">
        <f t="shared" si="60"/>
        <v>1.7049347248180964</v>
      </c>
      <c r="K133" s="153">
        <f t="shared" si="61"/>
        <v>1.7008739185631125</v>
      </c>
      <c r="L133" s="153">
        <f t="shared" si="62"/>
        <v>0.00045657096939147324</v>
      </c>
      <c r="M133" s="153">
        <f t="shared" si="63"/>
        <v>0.5213675213675213</v>
      </c>
      <c r="N133" s="153">
        <f t="shared" si="52"/>
        <v>2.0263001305145467</v>
      </c>
      <c r="O133" s="153">
        <f t="shared" si="64"/>
        <v>0.07325223505585884</v>
      </c>
      <c r="P133" s="153">
        <f t="shared" si="65"/>
        <v>0.7502940177070538</v>
      </c>
      <c r="Q133" s="153">
        <f t="shared" si="66"/>
        <v>0.7931227857487998</v>
      </c>
      <c r="R133" s="153">
        <f t="shared" si="67"/>
        <v>0.06779950800763512</v>
      </c>
      <c r="S133" s="153">
        <f t="shared" si="68"/>
        <v>0.7603833865814695</v>
      </c>
      <c r="T133" s="153">
        <f t="shared" si="53"/>
        <v>2.0178902307347517</v>
      </c>
      <c r="U133" s="153">
        <f t="shared" si="69"/>
        <v>1.2263650596082758</v>
      </c>
      <c r="V133" s="153">
        <f t="shared" si="70"/>
        <v>3.833263214726713</v>
      </c>
      <c r="W133" s="153">
        <f t="shared" si="54"/>
        <v>2.0178902307347517</v>
      </c>
      <c r="X133" s="163">
        <f t="shared" si="71"/>
        <v>5.578750359919377</v>
      </c>
      <c r="Y133" s="163">
        <f t="shared" si="72"/>
        <v>-0.063106824071408</v>
      </c>
      <c r="Z133" s="164">
        <f t="shared" si="73"/>
        <v>4.856910824967548</v>
      </c>
    </row>
    <row r="134" spans="7:26" ht="12.75">
      <c r="G134" s="154">
        <f t="shared" si="76"/>
        <v>303</v>
      </c>
      <c r="H134" s="154">
        <f t="shared" si="58"/>
        <v>0.11951172292270107</v>
      </c>
      <c r="I134" s="154">
        <f t="shared" si="59"/>
        <v>3.2859898894229937</v>
      </c>
      <c r="J134" s="154">
        <f t="shared" si="60"/>
        <v>1.6937129032718266</v>
      </c>
      <c r="K134" s="154">
        <f t="shared" si="61"/>
        <v>1.689652315968038</v>
      </c>
      <c r="L134" s="154">
        <f t="shared" si="62"/>
        <v>0.00045657096939147324</v>
      </c>
      <c r="M134" s="154">
        <f t="shared" si="63"/>
        <v>0.5213675213675213</v>
      </c>
      <c r="N134" s="154">
        <f t="shared" si="52"/>
        <v>2.022988816712429</v>
      </c>
      <c r="O134" s="154">
        <f t="shared" si="64"/>
        <v>0.07325223505585884</v>
      </c>
      <c r="P134" s="154">
        <f t="shared" si="65"/>
        <v>0.7406342428547532</v>
      </c>
      <c r="Q134" s="154">
        <f t="shared" si="66"/>
        <v>0.7875299103340023</v>
      </c>
      <c r="R134" s="154">
        <f t="shared" si="67"/>
        <v>0.06779950800763512</v>
      </c>
      <c r="S134" s="154">
        <f t="shared" si="68"/>
        <v>0.7603833865814695</v>
      </c>
      <c r="T134" s="154">
        <f t="shared" si="53"/>
        <v>2.015421659534939</v>
      </c>
      <c r="U134" s="154">
        <f t="shared" si="69"/>
        <v>1.2239678151871263</v>
      </c>
      <c r="V134" s="154">
        <f t="shared" si="70"/>
        <v>3.833263214726713</v>
      </c>
      <c r="W134" s="154">
        <f t="shared" si="54"/>
        <v>2.015421659534939</v>
      </c>
      <c r="X134" s="163">
        <f t="shared" si="71"/>
        <v>5.560338642559907</v>
      </c>
      <c r="Y134" s="165">
        <f t="shared" si="72"/>
        <v>-0.06289855072463767</v>
      </c>
      <c r="Z134" s="166">
        <f t="shared" si="73"/>
        <v>4.855690064878165</v>
      </c>
    </row>
    <row r="135" spans="7:26" ht="12.75">
      <c r="G135" s="153">
        <f t="shared" si="76"/>
        <v>304</v>
      </c>
      <c r="H135" s="153">
        <f aca="true" t="shared" si="77" ref="H135:H166">(Iout*(Vout_nom^2)*2.5*Rsense*K_1)/(eff*(G135^2)*K_FQ)*us</f>
        <v>0.1187267547806685</v>
      </c>
      <c r="I135" s="153">
        <f aca="true" t="shared" si="78" ref="I135:I166">(1*10^-9*(5*10^8*SQRT(fsw*kHz)+(1.09655978*10^10)*SQRT(ftyp)*SQRT(H135)))/SQRT(fsw*kHz)</f>
        <v>3.2768254489972595</v>
      </c>
      <c r="J135" s="153">
        <f aca="true" t="shared" si="79" ref="J135:J166">(b_1^3/(27*a_1^3))-(d_1^3/27)+SQRT((ftyp)^2*H135^2/(4*a_1^2*c_1^2*(fsw*kHz)^2))+(b_1^3*(ftyp)*H135/(27*a_1^4*c_1*(fsw*kHz))-(d_1^3*(ftyp)*H135/(27*a_1*c_1*(fsw*kHz)))+(b_1*d_1^2*(ftyp)*H135/(9*a_1^2*c_1*(fsw*kHz)))-(b_1^2*d_1*(ftyp)*H135/(9*a_1^3*c_1*(fsw*kHz))))</f>
        <v>1.682601641144311</v>
      </c>
      <c r="K135" s="153">
        <f aca="true" t="shared" si="80" ref="K135:K166">(b_1*d_1^2/(9*a_1))-(b_1^2*d_1/(9*a_1^2))+(ftyp*H135/(2*a_1*c_1*fsw*kHz))</f>
        <v>1.6785412706345713</v>
      </c>
      <c r="L135" s="153">
        <f aca="true" t="shared" si="81" ref="L135:L166">(d_1^2/9)+(b_1^2/(9*a_1^2))-(2*b_1*d_1/(9*a_1))</f>
        <v>0.00045657096939147324</v>
      </c>
      <c r="M135" s="153">
        <f aca="true" t="shared" si="82" ref="M135:M166">((b_1*c_1*fsw*kHz)+(2*a_1*c_1*d_1*fsw*kHz))/(3*a_1*c_1*fsw*kHz)</f>
        <v>0.5213675213675213</v>
      </c>
      <c r="N135" s="153">
        <f t="shared" si="52"/>
        <v>2.0196956707428466</v>
      </c>
      <c r="O135" s="153">
        <f aca="true" t="shared" si="83" ref="O135:O166">(b_2^3/(27*a_2^3))-(d_2^3/27)</f>
        <v>0.07325223505585884</v>
      </c>
      <c r="P135" s="153">
        <f aca="true" t="shared" si="84" ref="P135:P166">(ftyp^2*H135^2/(4*a_2^2*c_2^2*(fsw*kHz)^2))+(b_2^3*ftyp*H135/(27*a_2^4*c_2*(fsw*kHz)))-(d_2^3*ftyp*H135/(27*a_2*c_2*(fsw*kHz)))+(b_2*d_2^2*ftyp*H135/(9*a_2^2*c_2*(fsw*kHz)))-(b_2^2*d_2*ftyp*H135/(9*a_2^3*c_2*(fsw*kHz)))</f>
        <v>0.731131276865022</v>
      </c>
      <c r="Q135" s="153">
        <f aca="true" t="shared" si="85" ref="Q135:Q166">(b_2*d_2^2/(9*a_2))-(b_2^2*d_2/(9*a_2^2))+(ftyp*H135/(2*a_2*c_2*(fsw*kHz)))</f>
        <v>0.7819921369409646</v>
      </c>
      <c r="R135" s="153">
        <f aca="true" t="shared" si="86" ref="R135:R166">(d_2^2/9)+(b_2^2/(9*a_2^2))-(2*b_2*d_2/(9*a_2))</f>
        <v>0.06779950800763512</v>
      </c>
      <c r="S135" s="153">
        <f aca="true" t="shared" si="87" ref="S135:S166">(b_2*c_2*(fsw*kHz)+2*a_2*c_2*d_2*(fsw*kHz))/(3*a_2*c_2*(fsw*kHz))</f>
        <v>0.7603833865814695</v>
      </c>
      <c r="T135" s="153">
        <f t="shared" si="53"/>
        <v>2.0129673698377957</v>
      </c>
      <c r="U135" s="153">
        <f aca="true" t="shared" si="88" ref="U135:U166">c_3+(SQRT(ftyp)*SQRT(H135)/(SQRT(a_3)*SQRT(b_3)*SQRT(fsw*kHz)))</f>
        <v>1.2215863421108528</v>
      </c>
      <c r="V135" s="153">
        <f aca="true" t="shared" si="89" ref="V135:V166">(a_4*(fsw*kHz)*b_4/ftyp)</f>
        <v>3.833263214726713</v>
      </c>
      <c r="W135" s="153">
        <f t="shared" si="54"/>
        <v>2.0129673698377957</v>
      </c>
      <c r="X135" s="163">
        <f aca="true" t="shared" si="90" ref="X135:X166">Pin_max/G135</f>
        <v>5.542048054919908</v>
      </c>
      <c r="Y135" s="163">
        <f aca="true" t="shared" si="91" ref="Y135:Y166">-X135*Rsense*1.414</f>
        <v>-0.062691647597254</v>
      </c>
      <c r="Z135" s="164">
        <f aca="true" t="shared" si="92" ref="Z135:Z166">MIN(6,MAX(0.5,Beta*G*($Y135-Voff_trim)/(MAX(0,MIN(4.5,W135)-Alpha1_A)+MAX(0,MIN(4.5,W135)-Alpha1_B)-Alpha1_C)+Alpha2))</f>
        <v>4.854480838995519</v>
      </c>
    </row>
    <row r="136" spans="7:26" ht="12.75">
      <c r="G136" s="154">
        <f t="shared" si="76"/>
        <v>305</v>
      </c>
      <c r="H136" s="154">
        <f t="shared" si="77"/>
        <v>0.11794949497242957</v>
      </c>
      <c r="I136" s="154">
        <f t="shared" si="78"/>
        <v>3.267721103262842</v>
      </c>
      <c r="J136" s="154">
        <f t="shared" si="79"/>
        <v>1.6715994908555583</v>
      </c>
      <c r="K136" s="154">
        <f t="shared" si="80"/>
        <v>1.6675393350109644</v>
      </c>
      <c r="L136" s="154">
        <f t="shared" si="81"/>
        <v>0.00045657096939147324</v>
      </c>
      <c r="M136" s="154">
        <f t="shared" si="82"/>
        <v>0.5213675213675213</v>
      </c>
      <c r="N136" s="154">
        <f aca="true" t="shared" si="93" ref="N136:N187">(J136+K136)^(1/3)+(L136/(J136^(1/3)))+M136</f>
        <v>2.0164205336702588</v>
      </c>
      <c r="O136" s="154">
        <f t="shared" si="83"/>
        <v>0.07325223505585884</v>
      </c>
      <c r="P136" s="154">
        <f t="shared" si="84"/>
        <v>0.7217820627392346</v>
      </c>
      <c r="Q136" s="154">
        <f t="shared" si="85"/>
        <v>0.7765087441061956</v>
      </c>
      <c r="R136" s="154">
        <f t="shared" si="86"/>
        <v>0.06779950800763512</v>
      </c>
      <c r="S136" s="154">
        <f t="shared" si="87"/>
        <v>0.7603833865814695</v>
      </c>
      <c r="T136" s="154">
        <f aca="true" t="shared" si="94" ref="T136:T187">((O136+SQRT(P136)+Q136)^(1/3))+(R136/((O136+SQRT(P136)+Q136)^(1/3)))+S136</f>
        <v>2.0105272360807893</v>
      </c>
      <c r="U136" s="154">
        <f t="shared" si="88"/>
        <v>1.219220485251473</v>
      </c>
      <c r="V136" s="154">
        <f t="shared" si="89"/>
        <v>3.833263214726713</v>
      </c>
      <c r="W136" s="154">
        <f aca="true" t="shared" si="95" ref="W136:W187">IF(I136&gt;=0.5,IF(I136&lt;1,I136,IF(N136&gt;=1,IF(N136&lt;2,N136,IF(T136&gt;=2,IF(T136&lt;4.5,T136,IF(U136&gt;=4.5,IF(U136&lt;4.6,U136,V136))))))))</f>
        <v>2.0105272360807893</v>
      </c>
      <c r="X136" s="163">
        <f t="shared" si="90"/>
        <v>5.523877405559515</v>
      </c>
      <c r="Y136" s="165">
        <f t="shared" si="91"/>
        <v>-0.06248610121168923</v>
      </c>
      <c r="Z136" s="166">
        <f t="shared" si="92"/>
        <v>4.853283050452628</v>
      </c>
    </row>
    <row r="137" spans="7:26" ht="12.75">
      <c r="G137" s="153">
        <f t="shared" si="76"/>
        <v>306</v>
      </c>
      <c r="H137" s="153">
        <f t="shared" si="77"/>
        <v>0.11717984290027618</v>
      </c>
      <c r="I137" s="153">
        <f t="shared" si="78"/>
        <v>3.2586762630561013</v>
      </c>
      <c r="J137" s="153">
        <f t="shared" si="79"/>
        <v>1.6607050284401303</v>
      </c>
      <c r="K137" s="153">
        <f t="shared" si="80"/>
        <v>1.6566450851595629</v>
      </c>
      <c r="L137" s="153">
        <f t="shared" si="81"/>
        <v>0.00045657096939147324</v>
      </c>
      <c r="M137" s="153">
        <f t="shared" si="82"/>
        <v>0.5213675213675213</v>
      </c>
      <c r="N137" s="153">
        <f t="shared" si="93"/>
        <v>2.013163248464635</v>
      </c>
      <c r="O137" s="153">
        <f t="shared" si="83"/>
        <v>0.07325223505585884</v>
      </c>
      <c r="P137" s="153">
        <f t="shared" si="84"/>
        <v>0.7125836129031711</v>
      </c>
      <c r="Q137" s="153">
        <f t="shared" si="85"/>
        <v>0.7710790221355291</v>
      </c>
      <c r="R137" s="153">
        <f t="shared" si="86"/>
        <v>0.06779950800763512</v>
      </c>
      <c r="S137" s="153">
        <f t="shared" si="87"/>
        <v>0.7603833865814695</v>
      </c>
      <c r="T137" s="153">
        <f t="shared" si="94"/>
        <v>2.008101134208165</v>
      </c>
      <c r="U137" s="153">
        <f t="shared" si="88"/>
        <v>1.216870091508821</v>
      </c>
      <c r="V137" s="153">
        <f t="shared" si="89"/>
        <v>3.833263214726713</v>
      </c>
      <c r="W137" s="153">
        <f t="shared" si="95"/>
        <v>2.008101134208165</v>
      </c>
      <c r="X137" s="163">
        <f t="shared" si="90"/>
        <v>5.505825518613242</v>
      </c>
      <c r="Y137" s="163">
        <f t="shared" si="91"/>
        <v>-0.062281898266553</v>
      </c>
      <c r="Z137" s="164">
        <f t="shared" si="92"/>
        <v>4.852096603447716</v>
      </c>
    </row>
    <row r="138" spans="7:26" ht="12.75">
      <c r="G138" s="154">
        <f t="shared" si="76"/>
        <v>307</v>
      </c>
      <c r="H138" s="154">
        <f t="shared" si="77"/>
        <v>0.11641769960222668</v>
      </c>
      <c r="I138" s="154">
        <f t="shared" si="78"/>
        <v>3.249690346889795</v>
      </c>
      <c r="J138" s="154">
        <f t="shared" si="79"/>
        <v>1.6499168530863775</v>
      </c>
      <c r="K138" s="154">
        <f t="shared" si="80"/>
        <v>1.645857120296048</v>
      </c>
      <c r="L138" s="154">
        <f t="shared" si="81"/>
        <v>0.00045657096939147324</v>
      </c>
      <c r="M138" s="154">
        <f t="shared" si="82"/>
        <v>0.5213675213675213</v>
      </c>
      <c r="N138" s="154">
        <f t="shared" si="93"/>
        <v>2.009923659972482</v>
      </c>
      <c r="O138" s="154">
        <f t="shared" si="83"/>
        <v>0.07325223505585884</v>
      </c>
      <c r="P138" s="154">
        <f t="shared" si="84"/>
        <v>0.7035330074094184</v>
      </c>
      <c r="Q138" s="154">
        <f t="shared" si="85"/>
        <v>0.7657022728744801</v>
      </c>
      <c r="R138" s="154">
        <f t="shared" si="86"/>
        <v>0.06779950800763512</v>
      </c>
      <c r="S138" s="154">
        <f t="shared" si="87"/>
        <v>0.7603833865814695</v>
      </c>
      <c r="T138" s="154">
        <f t="shared" si="94"/>
        <v>2.005688941648011</v>
      </c>
      <c r="U138" s="154">
        <f t="shared" si="88"/>
        <v>1.214535009777522</v>
      </c>
      <c r="V138" s="154">
        <f t="shared" si="89"/>
        <v>3.833263214726713</v>
      </c>
      <c r="W138" s="154">
        <f t="shared" si="95"/>
        <v>2.005688941648011</v>
      </c>
      <c r="X138" s="163">
        <f t="shared" si="90"/>
        <v>5.487891233536326</v>
      </c>
      <c r="Y138" s="165">
        <f t="shared" si="91"/>
        <v>-0.06207902563376291</v>
      </c>
      <c r="Z138" s="166">
        <f t="shared" si="92"/>
        <v>4.850921403228902</v>
      </c>
    </row>
    <row r="139" spans="7:26" ht="12.75">
      <c r="G139" s="153">
        <f t="shared" si="76"/>
        <v>308</v>
      </c>
      <c r="H139" s="153">
        <f t="shared" si="77"/>
        <v>0.11566296772021273</v>
      </c>
      <c r="I139" s="153">
        <f t="shared" si="78"/>
        <v>3.240762780828464</v>
      </c>
      <c r="J139" s="153">
        <f t="shared" si="79"/>
        <v>1.6392335866861185</v>
      </c>
      <c r="K139" s="153">
        <f t="shared" si="80"/>
        <v>1.635174062339128</v>
      </c>
      <c r="L139" s="153">
        <f t="shared" si="81"/>
        <v>0.00045657096939147324</v>
      </c>
      <c r="M139" s="153">
        <f t="shared" si="82"/>
        <v>0.5213675213675213</v>
      </c>
      <c r="N139" s="153">
        <f t="shared" si="93"/>
        <v>2.006701614888388</v>
      </c>
      <c r="O139" s="153">
        <f t="shared" si="83"/>
        <v>0.07325223505585884</v>
      </c>
      <c r="P139" s="153">
        <f t="shared" si="84"/>
        <v>0.6946273921919925</v>
      </c>
      <c r="Q139" s="153">
        <f t="shared" si="85"/>
        <v>0.7603778094838107</v>
      </c>
      <c r="R139" s="153">
        <f t="shared" si="86"/>
        <v>0.06779950800763512</v>
      </c>
      <c r="S139" s="153">
        <f t="shared" si="87"/>
        <v>0.7603833865814695</v>
      </c>
      <c r="T139" s="153">
        <f t="shared" si="94"/>
        <v>2.003290537289752</v>
      </c>
      <c r="U139" s="153">
        <f t="shared" si="88"/>
        <v>1.2122150909146079</v>
      </c>
      <c r="V139" s="153">
        <f t="shared" si="89"/>
        <v>3.833263214726713</v>
      </c>
      <c r="W139" s="153">
        <f t="shared" si="95"/>
        <v>2.003290537289752</v>
      </c>
      <c r="X139" s="163">
        <f t="shared" si="90"/>
        <v>5.470073404856013</v>
      </c>
      <c r="Y139" s="163">
        <f t="shared" si="91"/>
        <v>-0.06187747035573122</v>
      </c>
      <c r="Z139" s="164">
        <f t="shared" si="92"/>
        <v>4.849757356079148</v>
      </c>
    </row>
    <row r="140" spans="7:26" ht="12.75">
      <c r="G140" s="154">
        <f t="shared" si="76"/>
        <v>309</v>
      </c>
      <c r="H140" s="154">
        <f t="shared" si="77"/>
        <v>0.11491555146898608</v>
      </c>
      <c r="I140" s="154">
        <f t="shared" si="78"/>
        <v>3.2318929983662357</v>
      </c>
      <c r="J140" s="154">
        <f t="shared" si="79"/>
        <v>1.6286538733945184</v>
      </c>
      <c r="K140" s="154">
        <f t="shared" si="80"/>
        <v>1.6245945554704213</v>
      </c>
      <c r="L140" s="154">
        <f t="shared" si="81"/>
        <v>0.00045657096939147324</v>
      </c>
      <c r="M140" s="154">
        <f t="shared" si="82"/>
        <v>0.5213675213675213</v>
      </c>
      <c r="N140" s="154">
        <f t="shared" si="93"/>
        <v>2.0034969617271012</v>
      </c>
      <c r="O140" s="154">
        <f t="shared" si="83"/>
        <v>0.07325223505585884</v>
      </c>
      <c r="P140" s="154">
        <f t="shared" si="84"/>
        <v>0.6858639773714996</v>
      </c>
      <c r="Q140" s="154">
        <f t="shared" si="85"/>
        <v>0.7551049562201743</v>
      </c>
      <c r="R140" s="154">
        <f t="shared" si="86"/>
        <v>0.06779950800763512</v>
      </c>
      <c r="S140" s="154">
        <f t="shared" si="87"/>
        <v>0.7603833865814695</v>
      </c>
      <c r="T140" s="154">
        <f t="shared" si="94"/>
        <v>2.000905801462051</v>
      </c>
      <c r="U140" s="154">
        <f t="shared" si="88"/>
        <v>1.2099101877077647</v>
      </c>
      <c r="V140" s="154">
        <f t="shared" si="89"/>
        <v>3.833263214726713</v>
      </c>
      <c r="W140" s="154">
        <f t="shared" si="95"/>
        <v>2.000905801462051</v>
      </c>
      <c r="X140" s="163">
        <f t="shared" si="90"/>
        <v>5.452370901927677</v>
      </c>
      <c r="Y140" s="165">
        <f t="shared" si="91"/>
        <v>-0.06167721964260587</v>
      </c>
      <c r="Z140" s="166">
        <f t="shared" si="92"/>
        <v>4.84860436930148</v>
      </c>
    </row>
    <row r="141" spans="7:26" ht="12.75">
      <c r="G141" s="153">
        <f t="shared" si="76"/>
        <v>310</v>
      </c>
      <c r="H141" s="153">
        <f t="shared" si="77"/>
        <v>0.11417535660572592</v>
      </c>
      <c r="I141" s="153">
        <f t="shared" si="78"/>
        <v>3.2230804403069895</v>
      </c>
      <c r="J141" s="153">
        <f t="shared" si="79"/>
        <v>1.6181763791998776</v>
      </c>
      <c r="K141" s="153">
        <f t="shared" si="80"/>
        <v>1.614117265704257</v>
      </c>
      <c r="L141" s="153">
        <f t="shared" si="81"/>
        <v>0.00045657096939147324</v>
      </c>
      <c r="M141" s="153">
        <f t="shared" si="82"/>
        <v>0.5213675213675213</v>
      </c>
      <c r="N141" s="153">
        <f t="shared" si="93"/>
        <v>2.0003095507961155</v>
      </c>
      <c r="O141" s="153">
        <f t="shared" si="83"/>
        <v>0.07325223505585884</v>
      </c>
      <c r="P141" s="153">
        <f t="shared" si="84"/>
        <v>0.6772400356092122</v>
      </c>
      <c r="Q141" s="153">
        <f t="shared" si="85"/>
        <v>0.7498830482217025</v>
      </c>
      <c r="R141" s="153">
        <f t="shared" si="86"/>
        <v>0.06779950800763512</v>
      </c>
      <c r="S141" s="153">
        <f t="shared" si="87"/>
        <v>0.7603833865814695</v>
      </c>
      <c r="T141" s="153">
        <f t="shared" si="94"/>
        <v>1.9985346159111177</v>
      </c>
      <c r="U141" s="153">
        <f t="shared" si="88"/>
        <v>1.2076201548441912</v>
      </c>
      <c r="V141" s="153">
        <f t="shared" si="89"/>
        <v>3.833263214726713</v>
      </c>
      <c r="W141" s="153" t="b">
        <f t="shared" si="95"/>
        <v>0</v>
      </c>
      <c r="X141" s="163">
        <f t="shared" si="90"/>
        <v>5.434782608695651</v>
      </c>
      <c r="Y141" s="163">
        <f t="shared" si="91"/>
        <v>-0.061478260869565204</v>
      </c>
      <c r="Z141" s="164">
        <f t="shared" si="92"/>
        <v>1.468813316589278</v>
      </c>
    </row>
    <row r="142" spans="7:26" ht="12.75">
      <c r="G142" s="154">
        <f t="shared" si="76"/>
        <v>311</v>
      </c>
      <c r="H142" s="154">
        <f t="shared" si="77"/>
        <v>0.11344229040032941</v>
      </c>
      <c r="I142" s="154">
        <f t="shared" si="78"/>
        <v>3.214324554646839</v>
      </c>
      <c r="J142" s="154">
        <f t="shared" si="79"/>
        <v>1.6077997915030922</v>
      </c>
      <c r="K142" s="154">
        <f t="shared" si="80"/>
        <v>1.603740880467141</v>
      </c>
      <c r="L142" s="154">
        <f t="shared" si="81"/>
        <v>0.00045657096939147324</v>
      </c>
      <c r="M142" s="154">
        <f t="shared" si="82"/>
        <v>0.5213675213675213</v>
      </c>
      <c r="N142" s="154">
        <f t="shared" si="93"/>
        <v>1.9971392341687517</v>
      </c>
      <c r="O142" s="154">
        <f t="shared" si="83"/>
        <v>0.07325223505585884</v>
      </c>
      <c r="P142" s="154">
        <f t="shared" si="84"/>
        <v>0.6687529005085011</v>
      </c>
      <c r="Q142" s="154">
        <f t="shared" si="85"/>
        <v>0.7447114312984114</v>
      </c>
      <c r="R142" s="154">
        <f t="shared" si="86"/>
        <v>0.06779950800763512</v>
      </c>
      <c r="S142" s="154">
        <f t="shared" si="87"/>
        <v>0.7603833865814695</v>
      </c>
      <c r="T142" s="154">
        <f t="shared" si="94"/>
        <v>1.9961768637794113</v>
      </c>
      <c r="U142" s="154">
        <f t="shared" si="88"/>
        <v>1.205344848880062</v>
      </c>
      <c r="V142" s="154">
        <f t="shared" si="89"/>
        <v>3.833263214726713</v>
      </c>
      <c r="W142" s="154">
        <f t="shared" si="95"/>
        <v>1.9971392341687517</v>
      </c>
      <c r="X142" s="163">
        <f t="shared" si="90"/>
        <v>5.417307423458688</v>
      </c>
      <c r="Y142" s="165">
        <f t="shared" si="91"/>
        <v>-0.061280581574164675</v>
      </c>
      <c r="Z142" s="166">
        <f t="shared" si="92"/>
        <v>4.8318332130935895</v>
      </c>
    </row>
    <row r="143" spans="7:26" ht="12.75">
      <c r="G143" s="153">
        <f t="shared" si="76"/>
        <v>312</v>
      </c>
      <c r="H143" s="153">
        <f t="shared" si="77"/>
        <v>0.11271626160636773</v>
      </c>
      <c r="I143" s="153">
        <f t="shared" si="78"/>
        <v>3.2056247964588676</v>
      </c>
      <c r="J143" s="153">
        <f t="shared" si="79"/>
        <v>1.5975228187065356</v>
      </c>
      <c r="K143" s="153">
        <f t="shared" si="80"/>
        <v>1.5934641081866476</v>
      </c>
      <c r="L143" s="153">
        <f t="shared" si="81"/>
        <v>0.00045657096939147324</v>
      </c>
      <c r="M143" s="153">
        <f t="shared" si="82"/>
        <v>0.5213675213675213</v>
      </c>
      <c r="N143" s="153">
        <f t="shared" si="93"/>
        <v>1.993985865657733</v>
      </c>
      <c r="O143" s="153">
        <f t="shared" si="83"/>
        <v>0.07325223505585884</v>
      </c>
      <c r="P143" s="153">
        <f t="shared" si="84"/>
        <v>0.6603999650621106</v>
      </c>
      <c r="Q143" s="153">
        <f t="shared" si="85"/>
        <v>0.7395894617273029</v>
      </c>
      <c r="R143" s="153">
        <f t="shared" si="86"/>
        <v>0.06779950800763512</v>
      </c>
      <c r="S143" s="153">
        <f t="shared" si="87"/>
        <v>0.7603833865814695</v>
      </c>
      <c r="T143" s="153">
        <f t="shared" si="94"/>
        <v>1.9938324295847312</v>
      </c>
      <c r="U143" s="153">
        <f t="shared" si="88"/>
        <v>1.2030841282105746</v>
      </c>
      <c r="V143" s="153">
        <f t="shared" si="89"/>
        <v>3.833263214726713</v>
      </c>
      <c r="W143" s="153">
        <f t="shared" si="95"/>
        <v>1.993985865657733</v>
      </c>
      <c r="X143" s="163">
        <f t="shared" si="90"/>
        <v>5.39994425863991</v>
      </c>
      <c r="Y143" s="163">
        <f t="shared" si="91"/>
        <v>-0.06108416945373466</v>
      </c>
      <c r="Z143" s="164">
        <f t="shared" si="92"/>
        <v>4.826023728784335</v>
      </c>
    </row>
    <row r="144" spans="7:26" ht="12.75">
      <c r="G144" s="154">
        <f t="shared" si="76"/>
        <v>313</v>
      </c>
      <c r="H144" s="154">
        <f t="shared" si="77"/>
        <v>0.11199718043269055</v>
      </c>
      <c r="I144" s="154">
        <f t="shared" si="78"/>
        <v>3.1969806277800856</v>
      </c>
      <c r="J144" s="154">
        <f t="shared" si="79"/>
        <v>1.5873441898121194</v>
      </c>
      <c r="K144" s="154">
        <f t="shared" si="80"/>
        <v>1.5832856778894875</v>
      </c>
      <c r="L144" s="154">
        <f t="shared" si="81"/>
        <v>0.00045657096939147324</v>
      </c>
      <c r="M144" s="154">
        <f t="shared" si="82"/>
        <v>0.5213675213675213</v>
      </c>
      <c r="N144" s="154">
        <f t="shared" si="93"/>
        <v>1.990849300789238</v>
      </c>
      <c r="O144" s="154">
        <f t="shared" si="83"/>
        <v>0.07325223505585884</v>
      </c>
      <c r="P144" s="154">
        <f t="shared" si="84"/>
        <v>0.6521786801438225</v>
      </c>
      <c r="Q144" s="154">
        <f t="shared" si="85"/>
        <v>0.7345165060520411</v>
      </c>
      <c r="R144" s="154">
        <f t="shared" si="86"/>
        <v>0.06779950800763512</v>
      </c>
      <c r="S144" s="154">
        <f t="shared" si="87"/>
        <v>0.7603833865814695</v>
      </c>
      <c r="T144" s="154">
        <f t="shared" si="94"/>
        <v>1.991501199199688</v>
      </c>
      <c r="U144" s="154">
        <f t="shared" si="88"/>
        <v>1.2008378530405728</v>
      </c>
      <c r="V144" s="154">
        <f t="shared" si="89"/>
        <v>3.833263214726713</v>
      </c>
      <c r="W144" s="154">
        <f t="shared" si="95"/>
        <v>1.990849300789238</v>
      </c>
      <c r="X144" s="163">
        <f t="shared" si="90"/>
        <v>5.382692040561189</v>
      </c>
      <c r="Y144" s="165">
        <f t="shared" si="91"/>
        <v>-0.06088901236282816</v>
      </c>
      <c r="Z144" s="166">
        <f t="shared" si="92"/>
        <v>4.8202360793933545</v>
      </c>
    </row>
    <row r="145" spans="7:26" ht="12.75">
      <c r="G145" s="153">
        <f>G144+1</f>
        <v>314</v>
      </c>
      <c r="H145" s="153">
        <f t="shared" si="77"/>
        <v>0.1112849585156625</v>
      </c>
      <c r="I145" s="153">
        <f t="shared" si="78"/>
        <v>3.1883915175005315</v>
      </c>
      <c r="J145" s="153">
        <f t="shared" si="79"/>
        <v>1.577262654028299</v>
      </c>
      <c r="K145" s="153">
        <f t="shared" si="80"/>
        <v>1.57320433880852</v>
      </c>
      <c r="L145" s="153">
        <f t="shared" si="81"/>
        <v>0.00045657096939147324</v>
      </c>
      <c r="M145" s="153">
        <f t="shared" si="82"/>
        <v>0.5213675213675213</v>
      </c>
      <c r="N145" s="153">
        <f t="shared" si="93"/>
        <v>1.9877293967774206</v>
      </c>
      <c r="O145" s="153">
        <f t="shared" si="83"/>
        <v>0.07325223505585884</v>
      </c>
      <c r="P145" s="153">
        <f t="shared" si="84"/>
        <v>0.6440865530430988</v>
      </c>
      <c r="Q145" s="153">
        <f t="shared" si="85"/>
        <v>0.7294919408870859</v>
      </c>
      <c r="R145" s="153">
        <f t="shared" si="86"/>
        <v>0.06779950800763512</v>
      </c>
      <c r="S145" s="153">
        <f t="shared" si="87"/>
        <v>0.7603833865814695</v>
      </c>
      <c r="T145" s="153">
        <f t="shared" si="94"/>
        <v>1.9891830598315419</v>
      </c>
      <c r="U145" s="153">
        <f t="shared" si="88"/>
        <v>1.1986058853557302</v>
      </c>
      <c r="V145" s="153">
        <f t="shared" si="89"/>
        <v>3.833263214726713</v>
      </c>
      <c r="W145" s="153">
        <f t="shared" si="95"/>
        <v>1.9877293967774206</v>
      </c>
      <c r="X145" s="163">
        <f t="shared" si="90"/>
        <v>5.365549709221821</v>
      </c>
      <c r="Y145" s="163">
        <f t="shared" si="91"/>
        <v>-0.060695098310717246</v>
      </c>
      <c r="Z145" s="164">
        <f t="shared" si="92"/>
        <v>4.814470104703214</v>
      </c>
    </row>
    <row r="146" spans="7:26" ht="12.75">
      <c r="G146" s="154">
        <f aca="true" t="shared" si="96" ref="G146:G153">G145+1</f>
        <v>315</v>
      </c>
      <c r="H146" s="154">
        <f t="shared" si="77"/>
        <v>0.11057950889201573</v>
      </c>
      <c r="I146" s="154">
        <f t="shared" si="78"/>
        <v>3.179856941254499</v>
      </c>
      <c r="J146" s="154">
        <f t="shared" si="79"/>
        <v>1.5672769803857993</v>
      </c>
      <c r="K146" s="154">
        <f t="shared" si="80"/>
        <v>1.5632188599984878</v>
      </c>
      <c r="L146" s="154">
        <f t="shared" si="81"/>
        <v>0.00045657096939147324</v>
      </c>
      <c r="M146" s="154">
        <f t="shared" si="82"/>
        <v>0.5213675213675213</v>
      </c>
      <c r="N146" s="154">
        <f t="shared" si="93"/>
        <v>1.9846260124993902</v>
      </c>
      <c r="O146" s="154">
        <f t="shared" si="83"/>
        <v>0.07325223505585884</v>
      </c>
      <c r="P146" s="154">
        <f t="shared" si="84"/>
        <v>0.6361211460413518</v>
      </c>
      <c r="Q146" s="154">
        <f t="shared" si="85"/>
        <v>0.7245151527261754</v>
      </c>
      <c r="R146" s="154">
        <f t="shared" si="86"/>
        <v>0.06779950800763512</v>
      </c>
      <c r="S146" s="154">
        <f t="shared" si="87"/>
        <v>0.7603833865814695</v>
      </c>
      <c r="T146" s="154">
        <f t="shared" si="94"/>
        <v>1.9868779000024075</v>
      </c>
      <c r="U146" s="154">
        <f t="shared" si="88"/>
        <v>1.1963880888942833</v>
      </c>
      <c r="V146" s="154">
        <f t="shared" si="89"/>
        <v>3.833263214726713</v>
      </c>
      <c r="W146" s="154">
        <f t="shared" si="95"/>
        <v>1.9846260124993902</v>
      </c>
      <c r="X146" s="163">
        <f t="shared" si="90"/>
        <v>5.348516218081435</v>
      </c>
      <c r="Y146" s="165">
        <f t="shared" si="91"/>
        <v>-0.06050241545893719</v>
      </c>
      <c r="Z146" s="166">
        <f t="shared" si="92"/>
        <v>4.808725646184229</v>
      </c>
    </row>
    <row r="147" spans="7:26" ht="12.75">
      <c r="G147" s="153">
        <f t="shared" si="96"/>
        <v>316</v>
      </c>
      <c r="H147" s="153">
        <f t="shared" si="77"/>
        <v>0.10988074597230273</v>
      </c>
      <c r="I147" s="153">
        <f t="shared" si="78"/>
        <v>3.1713763813138196</v>
      </c>
      <c r="J147" s="153">
        <f t="shared" si="79"/>
        <v>1.5573859573618396</v>
      </c>
      <c r="K147" s="153">
        <f t="shared" si="80"/>
        <v>1.553328029960248</v>
      </c>
      <c r="L147" s="153">
        <f t="shared" si="81"/>
        <v>0.00045657096939147324</v>
      </c>
      <c r="M147" s="153">
        <f t="shared" si="82"/>
        <v>0.5213675213675213</v>
      </c>
      <c r="N147" s="153">
        <f t="shared" si="93"/>
        <v>1.9815390084706395</v>
      </c>
      <c r="O147" s="153">
        <f t="shared" si="83"/>
        <v>0.07325223505585884</v>
      </c>
      <c r="P147" s="153">
        <f t="shared" si="84"/>
        <v>0.6282800750285278</v>
      </c>
      <c r="Q147" s="153">
        <f t="shared" si="85"/>
        <v>0.71958553775504</v>
      </c>
      <c r="R147" s="153">
        <f t="shared" si="86"/>
        <v>0.06779950800763512</v>
      </c>
      <c r="S147" s="153">
        <f t="shared" si="87"/>
        <v>0.7603833865814695</v>
      </c>
      <c r="T147" s="153">
        <f t="shared" si="94"/>
        <v>1.9845856095298122</v>
      </c>
      <c r="U147" s="153">
        <f t="shared" si="88"/>
        <v>1.1941843291193015</v>
      </c>
      <c r="V147" s="153">
        <f t="shared" si="89"/>
        <v>3.833263214726713</v>
      </c>
      <c r="W147" s="153">
        <f t="shared" si="95"/>
        <v>1.9815390084706395</v>
      </c>
      <c r="X147" s="163">
        <f t="shared" si="90"/>
        <v>5.331590533847</v>
      </c>
      <c r="Y147" s="163">
        <f t="shared" si="91"/>
        <v>-0.06031095211887726</v>
      </c>
      <c r="Z147" s="164">
        <f t="shared" si="92"/>
        <v>4.803002546971364</v>
      </c>
    </row>
    <row r="148" spans="7:26" ht="12.75">
      <c r="G148" s="154">
        <f t="shared" si="96"/>
        <v>317</v>
      </c>
      <c r="H148" s="154">
        <f t="shared" si="77"/>
        <v>0.10918858551493459</v>
      </c>
      <c r="I148" s="154">
        <f t="shared" si="78"/>
        <v>3.1629493264831763</v>
      </c>
      <c r="J148" s="154">
        <f t="shared" si="79"/>
        <v>1.5475883925126412</v>
      </c>
      <c r="K148" s="154">
        <f t="shared" si="80"/>
        <v>1.5435306562732898</v>
      </c>
      <c r="L148" s="154">
        <f t="shared" si="81"/>
        <v>0.00045657096939147324</v>
      </c>
      <c r="M148" s="154">
        <f t="shared" si="82"/>
        <v>0.5213675213675213</v>
      </c>
      <c r="N148" s="154">
        <f t="shared" si="93"/>
        <v>1.9784682468209138</v>
      </c>
      <c r="O148" s="154">
        <f t="shared" si="83"/>
        <v>0.07325223505585884</v>
      </c>
      <c r="P148" s="154">
        <f t="shared" si="84"/>
        <v>0.6205610081587394</v>
      </c>
      <c r="Q148" s="154">
        <f t="shared" si="85"/>
        <v>0.7147025016682491</v>
      </c>
      <c r="R148" s="154">
        <f t="shared" si="86"/>
        <v>0.06779950800763512</v>
      </c>
      <c r="S148" s="154">
        <f t="shared" si="87"/>
        <v>0.7603833865814695</v>
      </c>
      <c r="T148" s="154">
        <f t="shared" si="94"/>
        <v>1.9823060795076028</v>
      </c>
      <c r="U148" s="154">
        <f t="shared" si="88"/>
        <v>1.1919944731914804</v>
      </c>
      <c r="V148" s="154">
        <f t="shared" si="89"/>
        <v>3.833263214726713</v>
      </c>
      <c r="W148" s="154">
        <f t="shared" si="95"/>
        <v>1.9784682468209138</v>
      </c>
      <c r="X148" s="163">
        <f t="shared" si="90"/>
        <v>5.314771636263886</v>
      </c>
      <c r="Y148" s="165">
        <f t="shared" si="91"/>
        <v>-0.06012069674941708</v>
      </c>
      <c r="Z148" s="166">
        <f t="shared" si="92"/>
        <v>4.7973006518415175</v>
      </c>
    </row>
    <row r="149" spans="7:26" ht="12.75">
      <c r="G149" s="153">
        <f t="shared" si="96"/>
        <v>318</v>
      </c>
      <c r="H149" s="153">
        <f t="shared" si="77"/>
        <v>0.10850294460078974</v>
      </c>
      <c r="I149" s="153">
        <f t="shared" si="78"/>
        <v>3.15457527199738</v>
      </c>
      <c r="J149" s="153">
        <f t="shared" si="79"/>
        <v>1.5378831121140175</v>
      </c>
      <c r="K149" s="153">
        <f t="shared" si="80"/>
        <v>1.5338255652363249</v>
      </c>
      <c r="L149" s="153">
        <f t="shared" si="81"/>
        <v>0.00045657096939147324</v>
      </c>
      <c r="M149" s="153">
        <f t="shared" si="82"/>
        <v>0.5213675213675213</v>
      </c>
      <c r="N149" s="153">
        <f t="shared" si="93"/>
        <v>1.975413591270507</v>
      </c>
      <c r="O149" s="153">
        <f t="shared" si="83"/>
        <v>0.07325223505585884</v>
      </c>
      <c r="P149" s="153">
        <f t="shared" si="84"/>
        <v>0.6129616645437297</v>
      </c>
      <c r="Q149" s="153">
        <f t="shared" si="85"/>
        <v>0.7098654594900814</v>
      </c>
      <c r="R149" s="153">
        <f t="shared" si="86"/>
        <v>0.06779950800763512</v>
      </c>
      <c r="S149" s="153">
        <f t="shared" si="87"/>
        <v>0.7603833865814695</v>
      </c>
      <c r="T149" s="153">
        <f t="shared" si="94"/>
        <v>1.9800392022871935</v>
      </c>
      <c r="U149" s="153">
        <f t="shared" si="88"/>
        <v>1.1898183899424506</v>
      </c>
      <c r="V149" s="153">
        <f t="shared" si="89"/>
        <v>3.833263214726713</v>
      </c>
      <c r="W149" s="153">
        <f t="shared" si="95"/>
        <v>1.975413591270507</v>
      </c>
      <c r="X149" s="163">
        <f t="shared" si="90"/>
        <v>5.298058517910856</v>
      </c>
      <c r="Y149" s="163">
        <f t="shared" si="91"/>
        <v>-0.059931637954607604</v>
      </c>
      <c r="Z149" s="164">
        <f t="shared" si="92"/>
        <v>4.7916198071912</v>
      </c>
    </row>
    <row r="150" spans="7:26" ht="12.75">
      <c r="G150" s="154">
        <f t="shared" si="96"/>
        <v>319</v>
      </c>
      <c r="H150" s="154">
        <f t="shared" si="77"/>
        <v>0.10782374160837906</v>
      </c>
      <c r="I150" s="154">
        <f t="shared" si="78"/>
        <v>3.146253719420586</v>
      </c>
      <c r="J150" s="154">
        <f t="shared" si="79"/>
        <v>1.52826896080983</v>
      </c>
      <c r="K150" s="154">
        <f t="shared" si="80"/>
        <v>1.5242116015157585</v>
      </c>
      <c r="L150" s="154">
        <f t="shared" si="81"/>
        <v>0.00045657096939147324</v>
      </c>
      <c r="M150" s="154">
        <f t="shared" si="82"/>
        <v>0.5213675213675213</v>
      </c>
      <c r="N150" s="154">
        <f t="shared" si="93"/>
        <v>1.972374907106984</v>
      </c>
      <c r="O150" s="154">
        <f t="shared" si="83"/>
        <v>0.07325223505585884</v>
      </c>
      <c r="P150" s="154">
        <f t="shared" si="84"/>
        <v>0.605479812982981</v>
      </c>
      <c r="Q150" s="154">
        <f t="shared" si="85"/>
        <v>0.7050738353993199</v>
      </c>
      <c r="R150" s="154">
        <f t="shared" si="86"/>
        <v>0.06779950800763512</v>
      </c>
      <c r="S150" s="154">
        <f t="shared" si="87"/>
        <v>0.7603833865814695</v>
      </c>
      <c r="T150" s="154">
        <f t="shared" si="94"/>
        <v>1.9777848714591448</v>
      </c>
      <c r="U150" s="154">
        <f t="shared" si="88"/>
        <v>1.1876559498485872</v>
      </c>
      <c r="V150" s="154">
        <f t="shared" si="89"/>
        <v>3.833263214726713</v>
      </c>
      <c r="W150" s="154">
        <f t="shared" si="95"/>
        <v>1.972374907106984</v>
      </c>
      <c r="X150" s="163">
        <f t="shared" si="90"/>
        <v>5.281450183998909</v>
      </c>
      <c r="Y150" s="165">
        <f t="shared" si="91"/>
        <v>-0.05974376448139566</v>
      </c>
      <c r="Z150" s="166">
        <f t="shared" si="92"/>
        <v>4.785959861014555</v>
      </c>
    </row>
    <row r="151" spans="7:26" ht="12.75">
      <c r="G151" s="153">
        <f t="shared" si="96"/>
        <v>320</v>
      </c>
      <c r="H151" s="153">
        <f t="shared" si="77"/>
        <v>0.10715089618955334</v>
      </c>
      <c r="I151" s="153">
        <f t="shared" si="78"/>
        <v>3.1379841765473966</v>
      </c>
      <c r="J151" s="153">
        <f t="shared" si="79"/>
        <v>1.5187448012681293</v>
      </c>
      <c r="K151" s="153">
        <f t="shared" si="80"/>
        <v>1.5146876278018317</v>
      </c>
      <c r="L151" s="153">
        <f t="shared" si="81"/>
        <v>0.00045657096939147324</v>
      </c>
      <c r="M151" s="153">
        <f t="shared" si="82"/>
        <v>0.5213675213675213</v>
      </c>
      <c r="N151" s="153">
        <f t="shared" si="93"/>
        <v>1.9693520611623097</v>
      </c>
      <c r="O151" s="153">
        <f t="shared" si="83"/>
        <v>0.07325223505585884</v>
      </c>
      <c r="P151" s="153">
        <f t="shared" si="84"/>
        <v>0.5981132707293374</v>
      </c>
      <c r="Q151" s="153">
        <f t="shared" si="85"/>
        <v>0.7003270625578739</v>
      </c>
      <c r="R151" s="153">
        <f t="shared" si="86"/>
        <v>0.06779950800763512</v>
      </c>
      <c r="S151" s="153">
        <f t="shared" si="87"/>
        <v>0.7603833865814695</v>
      </c>
      <c r="T151" s="153">
        <f t="shared" si="94"/>
        <v>1.9755429818350734</v>
      </c>
      <c r="U151" s="153">
        <f t="shared" si="88"/>
        <v>1.1855070250053101</v>
      </c>
      <c r="V151" s="153">
        <f t="shared" si="89"/>
        <v>3.833263214726713</v>
      </c>
      <c r="W151" s="153">
        <f t="shared" si="95"/>
        <v>1.9693520611623097</v>
      </c>
      <c r="X151" s="163">
        <f t="shared" si="90"/>
        <v>5.264945652173912</v>
      </c>
      <c r="Y151" s="163">
        <f t="shared" si="91"/>
        <v>-0.05955706521739129</v>
      </c>
      <c r="Z151" s="164">
        <f t="shared" si="92"/>
        <v>4.780320662881789</v>
      </c>
    </row>
    <row r="152" spans="7:26" ht="12.75">
      <c r="G152" s="154">
        <f t="shared" si="96"/>
        <v>321</v>
      </c>
      <c r="H152" s="154">
        <f t="shared" si="77"/>
        <v>0.10648432924573967</v>
      </c>
      <c r="I152" s="154">
        <f t="shared" si="78"/>
        <v>3.129766157305816</v>
      </c>
      <c r="J152" s="154">
        <f t="shared" si="79"/>
        <v>1.5093095138447785</v>
      </c>
      <c r="K152" s="154">
        <f t="shared" si="80"/>
        <v>1.5052525244722537</v>
      </c>
      <c r="L152" s="154">
        <f t="shared" si="81"/>
        <v>0.00045657096939147324</v>
      </c>
      <c r="M152" s="154">
        <f t="shared" si="82"/>
        <v>0.5213675213675213</v>
      </c>
      <c r="N152" s="154">
        <f t="shared" si="93"/>
        <v>1.966344921790386</v>
      </c>
      <c r="O152" s="154">
        <f t="shared" si="83"/>
        <v>0.07325223505585884</v>
      </c>
      <c r="P152" s="154">
        <f t="shared" si="84"/>
        <v>0.5908599022890345</v>
      </c>
      <c r="Q152" s="154">
        <f t="shared" si="85"/>
        <v>0.6956245829431321</v>
      </c>
      <c r="R152" s="154">
        <f t="shared" si="86"/>
        <v>0.06779950800763512</v>
      </c>
      <c r="S152" s="154">
        <f t="shared" si="87"/>
        <v>0.7603833865814695</v>
      </c>
      <c r="T152" s="154">
        <f t="shared" si="94"/>
        <v>1.9733134294298764</v>
      </c>
      <c r="U152" s="154">
        <f t="shared" si="88"/>
        <v>1.183371489101867</v>
      </c>
      <c r="V152" s="154">
        <f t="shared" si="89"/>
        <v>3.833263214726713</v>
      </c>
      <c r="W152" s="154">
        <f t="shared" si="95"/>
        <v>1.966344921790386</v>
      </c>
      <c r="X152" s="163">
        <f t="shared" si="90"/>
        <v>5.248543952322904</v>
      </c>
      <c r="Y152" s="165">
        <f t="shared" si="91"/>
        <v>-0.05937152918867669</v>
      </c>
      <c r="Z152" s="166">
        <f t="shared" si="92"/>
        <v>4.774702063917927</v>
      </c>
    </row>
    <row r="153" spans="7:26" ht="12.75">
      <c r="G153" s="153">
        <f t="shared" si="96"/>
        <v>322</v>
      </c>
      <c r="H153" s="153">
        <f t="shared" si="77"/>
        <v>0.1058239629046937</v>
      </c>
      <c r="I153" s="153">
        <f t="shared" si="78"/>
        <v>3.121599181662009</v>
      </c>
      <c r="J153" s="153">
        <f t="shared" si="79"/>
        <v>1.4999619962543824</v>
      </c>
      <c r="K153" s="153">
        <f t="shared" si="80"/>
        <v>1.4959051892631352</v>
      </c>
      <c r="L153" s="153">
        <f t="shared" si="81"/>
        <v>0.00045657096939147324</v>
      </c>
      <c r="M153" s="153">
        <f t="shared" si="82"/>
        <v>0.5213675213675213</v>
      </c>
      <c r="N153" s="153">
        <f t="shared" si="93"/>
        <v>1.9633533588449845</v>
      </c>
      <c r="O153" s="153">
        <f t="shared" si="83"/>
        <v>0.07325223505585884</v>
      </c>
      <c r="P153" s="153">
        <f t="shared" si="84"/>
        <v>0.5837176182550798</v>
      </c>
      <c r="Q153" s="153">
        <f t="shared" si="85"/>
        <v>0.6909658471839548</v>
      </c>
      <c r="R153" s="153">
        <f t="shared" si="86"/>
        <v>0.06779950800763512</v>
      </c>
      <c r="S153" s="153">
        <f t="shared" si="87"/>
        <v>0.7603833865814695</v>
      </c>
      <c r="T153" s="153">
        <f t="shared" si="94"/>
        <v>1.9710961114442735</v>
      </c>
      <c r="U153" s="153">
        <f t="shared" si="88"/>
        <v>1.1812492173965816</v>
      </c>
      <c r="V153" s="153">
        <f t="shared" si="89"/>
        <v>3.833263214726713</v>
      </c>
      <c r="W153" s="153">
        <f t="shared" si="95"/>
        <v>1.9633533588449845</v>
      </c>
      <c r="X153" s="163">
        <f t="shared" si="90"/>
        <v>5.232244126384012</v>
      </c>
      <c r="Y153" s="163">
        <f t="shared" si="91"/>
        <v>-0.059187145557655946</v>
      </c>
      <c r="Z153" s="164">
        <f t="shared" si="92"/>
        <v>4.769103916781918</v>
      </c>
    </row>
    <row r="154" spans="7:26" ht="12.75">
      <c r="G154" s="154">
        <f>G153+1</f>
        <v>323</v>
      </c>
      <c r="H154" s="154">
        <f t="shared" si="77"/>
        <v>0.10516972049775479</v>
      </c>
      <c r="I154" s="154">
        <f t="shared" si="78"/>
        <v>3.113482775526832</v>
      </c>
      <c r="J154" s="154">
        <f t="shared" si="79"/>
        <v>1.49070116324833</v>
      </c>
      <c r="K154" s="154">
        <f t="shared" si="80"/>
        <v>1.48664453694704</v>
      </c>
      <c r="L154" s="154">
        <f t="shared" si="81"/>
        <v>0.00045657096939147324</v>
      </c>
      <c r="M154" s="154">
        <f t="shared" si="82"/>
        <v>0.5213675213675213</v>
      </c>
      <c r="N154" s="154">
        <f t="shared" si="93"/>
        <v>1.9603772436580627</v>
      </c>
      <c r="O154" s="154">
        <f t="shared" si="83"/>
        <v>0.07325223505585884</v>
      </c>
      <c r="P154" s="154">
        <f t="shared" si="84"/>
        <v>0.576684374172947</v>
      </c>
      <c r="Q154" s="154">
        <f t="shared" si="85"/>
        <v>0.6863503144002141</v>
      </c>
      <c r="R154" s="154">
        <f t="shared" si="86"/>
        <v>0.06779950800763512</v>
      </c>
      <c r="S154" s="154">
        <f t="shared" si="87"/>
        <v>0.7603833865814695</v>
      </c>
      <c r="T154" s="154">
        <f t="shared" si="94"/>
        <v>1.9688909262476522</v>
      </c>
      <c r="U154" s="154">
        <f t="shared" si="88"/>
        <v>1.1791400866925672</v>
      </c>
      <c r="V154" s="154">
        <f t="shared" si="89"/>
        <v>3.833263214726713</v>
      </c>
      <c r="W154" s="154">
        <f t="shared" si="95"/>
        <v>1.9603772436580627</v>
      </c>
      <c r="X154" s="163">
        <f t="shared" si="90"/>
        <v>5.2160452281599134</v>
      </c>
      <c r="Y154" s="165">
        <f t="shared" si="91"/>
        <v>-0.05900390362094494</v>
      </c>
      <c r="Z154" s="166">
        <f t="shared" si="92"/>
        <v>4.763526075646122</v>
      </c>
    </row>
    <row r="155" spans="7:26" ht="12.75">
      <c r="G155" s="153">
        <f aca="true" t="shared" si="97" ref="G155:G169">G154+1</f>
        <v>324</v>
      </c>
      <c r="H155" s="153">
        <f t="shared" si="77"/>
        <v>0.10452152653759204</v>
      </c>
      <c r="I155" s="153">
        <f t="shared" si="78"/>
        <v>3.105416470664095</v>
      </c>
      <c r="J155" s="153">
        <f t="shared" si="79"/>
        <v>1.4815259462997907</v>
      </c>
      <c r="K155" s="153">
        <f t="shared" si="80"/>
        <v>1.4774694990179862</v>
      </c>
      <c r="L155" s="153">
        <f t="shared" si="81"/>
        <v>0.00045657096939147324</v>
      </c>
      <c r="M155" s="153">
        <f t="shared" si="82"/>
        <v>0.5213675213675213</v>
      </c>
      <c r="N155" s="153">
        <f t="shared" si="93"/>
        <v>1.957416449018465</v>
      </c>
      <c r="O155" s="153">
        <f t="shared" si="83"/>
        <v>0.07325223505585884</v>
      </c>
      <c r="P155" s="153">
        <f t="shared" si="84"/>
        <v>0.5697581694376064</v>
      </c>
      <c r="Q155" s="153">
        <f t="shared" si="85"/>
        <v>0.6817774520457975</v>
      </c>
      <c r="R155" s="153">
        <f t="shared" si="86"/>
        <v>0.06779950800763512</v>
      </c>
      <c r="S155" s="153">
        <f t="shared" si="87"/>
        <v>0.7603833865814695</v>
      </c>
      <c r="T155" s="153">
        <f t="shared" si="94"/>
        <v>1.966697773361216</v>
      </c>
      <c r="U155" s="153">
        <f t="shared" si="88"/>
        <v>1.1770439753138866</v>
      </c>
      <c r="V155" s="153">
        <f t="shared" si="89"/>
        <v>3.833263214726713</v>
      </c>
      <c r="W155" s="153">
        <f t="shared" si="95"/>
        <v>1.957416449018465</v>
      </c>
      <c r="X155" s="163">
        <f t="shared" si="90"/>
        <v>5.1999463231347285</v>
      </c>
      <c r="Y155" s="163">
        <f t="shared" si="91"/>
        <v>-0.058821792807300044</v>
      </c>
      <c r="Z155" s="164">
        <f t="shared" si="92"/>
        <v>4.7579683961760795</v>
      </c>
    </row>
    <row r="156" spans="3:26" ht="12.75">
      <c r="C156" s="156"/>
      <c r="G156" s="154">
        <f t="shared" si="97"/>
        <v>325</v>
      </c>
      <c r="H156" s="154">
        <f t="shared" si="77"/>
        <v>0.1038793066964285</v>
      </c>
      <c r="I156" s="154">
        <f t="shared" si="78"/>
        <v>3.0973998046005136</v>
      </c>
      <c r="J156" s="154">
        <f t="shared" si="79"/>
        <v>1.472435293295476</v>
      </c>
      <c r="K156" s="154">
        <f t="shared" si="80"/>
        <v>1.4683790233832132</v>
      </c>
      <c r="L156" s="154">
        <f t="shared" si="81"/>
        <v>0.00045657096939147324</v>
      </c>
      <c r="M156" s="154">
        <f t="shared" si="82"/>
        <v>0.5213675213675213</v>
      </c>
      <c r="N156" s="154">
        <f t="shared" si="93"/>
        <v>1.9544708491509888</v>
      </c>
      <c r="O156" s="154">
        <f t="shared" si="83"/>
        <v>0.07325223505585884</v>
      </c>
      <c r="P156" s="154">
        <f t="shared" si="84"/>
        <v>0.5629370462209158</v>
      </c>
      <c r="Q156" s="154">
        <f t="shared" si="85"/>
        <v>0.6772467357549842</v>
      </c>
      <c r="R156" s="154">
        <f t="shared" si="86"/>
        <v>0.06779950800763512</v>
      </c>
      <c r="S156" s="154">
        <f t="shared" si="87"/>
        <v>0.7603833865814695</v>
      </c>
      <c r="T156" s="154">
        <f t="shared" si="94"/>
        <v>1.9645165534414242</v>
      </c>
      <c r="U156" s="154">
        <f t="shared" si="88"/>
        <v>1.1749607630821517</v>
      </c>
      <c r="V156" s="154">
        <f t="shared" si="89"/>
        <v>3.833263214726713</v>
      </c>
      <c r="W156" s="154">
        <f t="shared" si="95"/>
        <v>1.9544708491509888</v>
      </c>
      <c r="X156" s="163">
        <f t="shared" si="90"/>
        <v>5.183946488294314</v>
      </c>
      <c r="Y156" s="165">
        <f t="shared" si="91"/>
        <v>-0.058640802675585274</v>
      </c>
      <c r="Z156" s="166">
        <f t="shared" si="92"/>
        <v>4.752430735510668</v>
      </c>
    </row>
    <row r="157" spans="7:26" ht="12.75">
      <c r="G157" s="153">
        <f t="shared" si="97"/>
        <v>326</v>
      </c>
      <c r="H157" s="153">
        <f t="shared" si="77"/>
        <v>0.1032429877847328</v>
      </c>
      <c r="I157" s="153">
        <f t="shared" si="78"/>
        <v>3.089432320537322</v>
      </c>
      <c r="J157" s="153">
        <f t="shared" si="79"/>
        <v>1.4634281682340198</v>
      </c>
      <c r="K157" s="153">
        <f t="shared" si="80"/>
        <v>1.459372074061568</v>
      </c>
      <c r="L157" s="153">
        <f t="shared" si="81"/>
        <v>0.00045657096939147324</v>
      </c>
      <c r="M157" s="153">
        <f t="shared" si="82"/>
        <v>0.5213675213675213</v>
      </c>
      <c r="N157" s="153">
        <f t="shared" si="93"/>
        <v>1.9515403196958225</v>
      </c>
      <c r="O157" s="153">
        <f t="shared" si="83"/>
        <v>0.07325223505585884</v>
      </c>
      <c r="P157" s="153">
        <f t="shared" si="84"/>
        <v>0.5562190884284631</v>
      </c>
      <c r="Q157" s="153">
        <f t="shared" si="85"/>
        <v>0.6727576491921194</v>
      </c>
      <c r="R157" s="153">
        <f t="shared" si="86"/>
        <v>0.06779950800763512</v>
      </c>
      <c r="S157" s="153">
        <f t="shared" si="87"/>
        <v>0.7603833865814695</v>
      </c>
      <c r="T157" s="153">
        <f t="shared" si="94"/>
        <v>1.9623471682637215</v>
      </c>
      <c r="U157" s="153">
        <f t="shared" si="88"/>
        <v>1.1728903312935561</v>
      </c>
      <c r="V157" s="153">
        <f t="shared" si="89"/>
        <v>3.833263214726713</v>
      </c>
      <c r="W157" s="153">
        <f t="shared" si="95"/>
        <v>1.9515403196958225</v>
      </c>
      <c r="X157" s="163">
        <f t="shared" si="90"/>
        <v>5.168044811949853</v>
      </c>
      <c r="Y157" s="163">
        <f t="shared" si="91"/>
        <v>-0.058460922912776735</v>
      </c>
      <c r="Z157" s="164">
        <f t="shared" si="92"/>
        <v>4.74691295224254</v>
      </c>
    </row>
    <row r="158" spans="7:26" ht="12.75">
      <c r="G158" s="154">
        <f t="shared" si="97"/>
        <v>327</v>
      </c>
      <c r="H158" s="154">
        <f t="shared" si="77"/>
        <v>0.10261249773036557</v>
      </c>
      <c r="I158" s="154">
        <f t="shared" si="78"/>
        <v>3.0815135672635074</v>
      </c>
      <c r="J158" s="154">
        <f t="shared" si="79"/>
        <v>1.4545035509307924</v>
      </c>
      <c r="K158" s="154">
        <f t="shared" si="80"/>
        <v>1.450447630888327</v>
      </c>
      <c r="L158" s="154">
        <f t="shared" si="81"/>
        <v>0.00045657096939147324</v>
      </c>
      <c r="M158" s="154">
        <f t="shared" si="82"/>
        <v>0.5213675213675213</v>
      </c>
      <c r="N158" s="154">
        <f t="shared" si="93"/>
        <v>1.9486247376883326</v>
      </c>
      <c r="O158" s="154">
        <f t="shared" si="83"/>
        <v>0.07325223505585884</v>
      </c>
      <c r="P158" s="154">
        <f t="shared" si="84"/>
        <v>0.5496024206849475</v>
      </c>
      <c r="Q158" s="154">
        <f t="shared" si="85"/>
        <v>0.6683096839044977</v>
      </c>
      <c r="R158" s="154">
        <f t="shared" si="86"/>
        <v>0.06779950800763512</v>
      </c>
      <c r="S158" s="154">
        <f t="shared" si="87"/>
        <v>0.7603833865814695</v>
      </c>
      <c r="T158" s="154">
        <f t="shared" si="94"/>
        <v>1.9601895207065505</v>
      </c>
      <c r="U158" s="154">
        <f t="shared" si="88"/>
        <v>1.170832562696328</v>
      </c>
      <c r="V158" s="154">
        <f t="shared" si="89"/>
        <v>3.833263214726713</v>
      </c>
      <c r="W158" s="154">
        <f t="shared" si="95"/>
        <v>1.9486247376883326</v>
      </c>
      <c r="X158" s="163">
        <f t="shared" si="90"/>
        <v>5.152240393564685</v>
      </c>
      <c r="Y158" s="165">
        <f t="shared" si="91"/>
        <v>-0.05828214333200371</v>
      </c>
      <c r="Z158" s="166">
        <f t="shared" si="92"/>
        <v>4.741414906398905</v>
      </c>
    </row>
    <row r="159" spans="7:26" ht="12.75">
      <c r="G159" s="153">
        <f t="shared" si="97"/>
        <v>328</v>
      </c>
      <c r="H159" s="153">
        <f t="shared" si="77"/>
        <v>0.10198776555817093</v>
      </c>
      <c r="I159" s="153">
        <f t="shared" si="78"/>
        <v>3.0736430990706314</v>
      </c>
      <c r="J159" s="153">
        <f t="shared" si="79"/>
        <v>1.4456604367290204</v>
      </c>
      <c r="K159" s="153">
        <f t="shared" si="80"/>
        <v>1.4416046892263177</v>
      </c>
      <c r="L159" s="153">
        <f t="shared" si="81"/>
        <v>0.00045657096939147324</v>
      </c>
      <c r="M159" s="153">
        <f t="shared" si="82"/>
        <v>0.5213675213675213</v>
      </c>
      <c r="N159" s="153">
        <f t="shared" si="93"/>
        <v>1.9457239815392047</v>
      </c>
      <c r="O159" s="153">
        <f t="shared" si="83"/>
        <v>0.07325223505585884</v>
      </c>
      <c r="P159" s="153">
        <f t="shared" si="84"/>
        <v>0.5430852073472495</v>
      </c>
      <c r="Q159" s="153">
        <f t="shared" si="85"/>
        <v>0.6639023391783845</v>
      </c>
      <c r="R159" s="153">
        <f t="shared" si="86"/>
        <v>0.06779950800763512</v>
      </c>
      <c r="S159" s="153">
        <f t="shared" si="87"/>
        <v>0.7603833865814695</v>
      </c>
      <c r="T159" s="153">
        <f t="shared" si="94"/>
        <v>1.9580435147356383</v>
      </c>
      <c r="U159" s="153">
        <f t="shared" si="88"/>
        <v>1.1687873414685954</v>
      </c>
      <c r="V159" s="153">
        <f t="shared" si="89"/>
        <v>3.833263214726713</v>
      </c>
      <c r="W159" s="153">
        <f t="shared" si="95"/>
        <v>1.9457239815392047</v>
      </c>
      <c r="X159" s="163">
        <f t="shared" si="90"/>
        <v>5.136532343584305</v>
      </c>
      <c r="Y159" s="163">
        <f t="shared" si="91"/>
        <v>-0.058104453870625655</v>
      </c>
      <c r="Z159" s="164">
        <f t="shared" si="92"/>
        <v>4.735936459422613</v>
      </c>
    </row>
    <row r="160" spans="7:26" ht="12.75">
      <c r="G160" s="154">
        <f t="shared" si="97"/>
        <v>329</v>
      </c>
      <c r="H160" s="154">
        <f t="shared" si="77"/>
        <v>0.10136872137000084</v>
      </c>
      <c r="I160" s="154">
        <f t="shared" si="78"/>
        <v>3.0658204756692</v>
      </c>
      <c r="J160" s="154">
        <f t="shared" si="79"/>
        <v>1.4368978362170273</v>
      </c>
      <c r="K160" s="154">
        <f t="shared" si="80"/>
        <v>1.4328422596831685</v>
      </c>
      <c r="L160" s="154">
        <f t="shared" si="81"/>
        <v>0.00045657096939147324</v>
      </c>
      <c r="M160" s="154">
        <f t="shared" si="82"/>
        <v>0.5213675213675213</v>
      </c>
      <c r="N160" s="154">
        <f t="shared" si="93"/>
        <v>1.9428379310149253</v>
      </c>
      <c r="O160" s="154">
        <f t="shared" si="83"/>
        <v>0.07325223505585884</v>
      </c>
      <c r="P160" s="154">
        <f t="shared" si="84"/>
        <v>0.5366656515443393</v>
      </c>
      <c r="Q160" s="154">
        <f t="shared" si="85"/>
        <v>0.6595351218980928</v>
      </c>
      <c r="R160" s="154">
        <f t="shared" si="86"/>
        <v>0.06779950800763512</v>
      </c>
      <c r="S160" s="154">
        <f t="shared" si="87"/>
        <v>0.7603833865814695</v>
      </c>
      <c r="T160" s="154">
        <f t="shared" si="94"/>
        <v>1.9559090553885559</v>
      </c>
      <c r="U160" s="154">
        <f t="shared" si="88"/>
        <v>1.1667545531966543</v>
      </c>
      <c r="V160" s="154">
        <f t="shared" si="89"/>
        <v>3.833263214726713</v>
      </c>
      <c r="W160" s="154">
        <f t="shared" si="95"/>
        <v>1.9428379310149253</v>
      </c>
      <c r="X160" s="163">
        <f t="shared" si="90"/>
        <v>5.120919783269459</v>
      </c>
      <c r="Y160" s="165">
        <f t="shared" si="91"/>
        <v>-0.057927844588344116</v>
      </c>
      <c r="Z160" s="166">
        <f t="shared" si="92"/>
        <v>4.730477474153546</v>
      </c>
    </row>
    <row r="161" spans="7:26" ht="12.75">
      <c r="G161" s="153">
        <f t="shared" si="97"/>
        <v>330</v>
      </c>
      <c r="H161" s="153">
        <f t="shared" si="77"/>
        <v>0.10075529632516311</v>
      </c>
      <c r="I161" s="153">
        <f t="shared" si="78"/>
        <v>3.058045262106566</v>
      </c>
      <c r="J161" s="153">
        <f t="shared" si="79"/>
        <v>1.4282147749514755</v>
      </c>
      <c r="K161" s="153">
        <f t="shared" si="80"/>
        <v>1.4241593678345545</v>
      </c>
      <c r="L161" s="153">
        <f t="shared" si="81"/>
        <v>0.00045657096939147324</v>
      </c>
      <c r="M161" s="153">
        <f t="shared" si="82"/>
        <v>0.5213675213675213</v>
      </c>
      <c r="N161" s="153">
        <f t="shared" si="93"/>
        <v>1.939966467218599</v>
      </c>
      <c r="O161" s="153">
        <f t="shared" si="83"/>
        <v>0.07325223505585884</v>
      </c>
      <c r="P161" s="153">
        <f t="shared" si="84"/>
        <v>0.5303419942432254</v>
      </c>
      <c r="Q161" s="153">
        <f t="shared" si="85"/>
        <v>0.6552075464080489</v>
      </c>
      <c r="R161" s="153">
        <f t="shared" si="86"/>
        <v>0.06779950800763512</v>
      </c>
      <c r="S161" s="153">
        <f t="shared" si="87"/>
        <v>0.7603833865814695</v>
      </c>
      <c r="T161" s="153">
        <f t="shared" si="94"/>
        <v>1.9537860487595426</v>
      </c>
      <c r="U161" s="153">
        <f t="shared" si="88"/>
        <v>1.1647340848536343</v>
      </c>
      <c r="V161" s="153">
        <f t="shared" si="89"/>
        <v>3.833263214726713</v>
      </c>
      <c r="W161" s="153">
        <f t="shared" si="95"/>
        <v>1.939966467218599</v>
      </c>
      <c r="X161" s="163">
        <f t="shared" si="90"/>
        <v>5.105401844532278</v>
      </c>
      <c r="Y161" s="163">
        <f t="shared" si="91"/>
        <v>-0.05775230566534913</v>
      </c>
      <c r="Z161" s="164">
        <f t="shared" si="92"/>
        <v>4.725037814810313</v>
      </c>
    </row>
    <row r="162" spans="7:26" ht="12.75">
      <c r="G162" s="154">
        <f t="shared" si="97"/>
        <v>331</v>
      </c>
      <c r="H162" s="154">
        <f t="shared" si="77"/>
        <v>0.10014742262128186</v>
      </c>
      <c r="I162" s="154">
        <f t="shared" si="78"/>
        <v>3.050317028686305</v>
      </c>
      <c r="J162" s="154">
        <f t="shared" si="79"/>
        <v>1.419610293186446</v>
      </c>
      <c r="K162" s="154">
        <f t="shared" si="80"/>
        <v>1.4155550539532826</v>
      </c>
      <c r="L162" s="154">
        <f t="shared" si="81"/>
        <v>0.00045657096939147324</v>
      </c>
      <c r="M162" s="154">
        <f t="shared" si="82"/>
        <v>0.5213675213675213</v>
      </c>
      <c r="N162" s="154">
        <f t="shared" si="93"/>
        <v>1.937109472571094</v>
      </c>
      <c r="O162" s="154">
        <f t="shared" si="83"/>
        <v>0.07325223505585884</v>
      </c>
      <c r="P162" s="154">
        <f t="shared" si="84"/>
        <v>0.5241125133401533</v>
      </c>
      <c r="Q162" s="154">
        <f t="shared" si="85"/>
        <v>0.6509191343777664</v>
      </c>
      <c r="R162" s="154">
        <f t="shared" si="86"/>
        <v>0.06779950800763512</v>
      </c>
      <c r="S162" s="154">
        <f t="shared" si="87"/>
        <v>0.7603833865814695</v>
      </c>
      <c r="T162" s="154">
        <f t="shared" si="94"/>
        <v>1.9516744019845904</v>
      </c>
      <c r="U162" s="154">
        <f t="shared" si="88"/>
        <v>1.1627258247785477</v>
      </c>
      <c r="V162" s="154">
        <f t="shared" si="89"/>
        <v>3.833263214726713</v>
      </c>
      <c r="W162" s="154">
        <f t="shared" si="95"/>
        <v>1.937109472571094</v>
      </c>
      <c r="X162" s="163">
        <f t="shared" si="90"/>
        <v>5.089977669775384</v>
      </c>
      <c r="Y162" s="165">
        <f t="shared" si="91"/>
        <v>-0.057577827400499146</v>
      </c>
      <c r="Z162" s="166">
        <f t="shared" si="92"/>
        <v>4.71961734697224</v>
      </c>
    </row>
    <row r="163" spans="7:26" ht="12.75">
      <c r="G163" s="153">
        <f t="shared" si="97"/>
        <v>332</v>
      </c>
      <c r="H163" s="153">
        <f t="shared" si="77"/>
        <v>0.09954503347556123</v>
      </c>
      <c r="I163" s="153">
        <f t="shared" si="78"/>
        <v>3.0426353508890567</v>
      </c>
      <c r="J163" s="153">
        <f t="shared" si="79"/>
        <v>1.4110834456082237</v>
      </c>
      <c r="K163" s="153">
        <f t="shared" si="80"/>
        <v>1.4070283727440818</v>
      </c>
      <c r="L163" s="153">
        <f t="shared" si="81"/>
        <v>0.00045657096939147324</v>
      </c>
      <c r="M163" s="153">
        <f t="shared" si="82"/>
        <v>0.5213675213675213</v>
      </c>
      <c r="N163" s="153">
        <f t="shared" si="93"/>
        <v>1.9342668307925104</v>
      </c>
      <c r="O163" s="153">
        <f t="shared" si="83"/>
        <v>0.07325223505585884</v>
      </c>
      <c r="P163" s="153">
        <f t="shared" si="84"/>
        <v>0.517975522776303</v>
      </c>
      <c r="Q163" s="153">
        <f t="shared" si="85"/>
        <v>0.6466694146696663</v>
      </c>
      <c r="R163" s="153">
        <f t="shared" si="86"/>
        <v>0.06779950800763512</v>
      </c>
      <c r="S163" s="153">
        <f t="shared" si="87"/>
        <v>0.7603833865814695</v>
      </c>
      <c r="T163" s="153">
        <f t="shared" si="94"/>
        <v>1.9495740232267824</v>
      </c>
      <c r="U163" s="153">
        <f t="shared" si="88"/>
        <v>1.1607296626557206</v>
      </c>
      <c r="V163" s="153">
        <f t="shared" si="89"/>
        <v>3.833263214726713</v>
      </c>
      <c r="W163" s="153">
        <f t="shared" si="95"/>
        <v>1.9342668307925104</v>
      </c>
      <c r="X163" s="163">
        <f t="shared" si="90"/>
        <v>5.074646411733892</v>
      </c>
      <c r="Y163" s="163">
        <f t="shared" si="91"/>
        <v>-0.05740440020953379</v>
      </c>
      <c r="Z163" s="164">
        <f t="shared" si="92"/>
        <v>4.714215937561636</v>
      </c>
    </row>
    <row r="164" spans="7:26" ht="12.75">
      <c r="G164" s="154">
        <f t="shared" si="97"/>
        <v>333</v>
      </c>
      <c r="H164" s="154">
        <f t="shared" si="77"/>
        <v>0.09894806310644212</v>
      </c>
      <c r="I164" s="154">
        <f t="shared" si="78"/>
        <v>3.034999809294795</v>
      </c>
      <c r="J164" s="154">
        <f t="shared" si="79"/>
        <v>1.4026333010756484</v>
      </c>
      <c r="K164" s="154">
        <f t="shared" si="80"/>
        <v>1.39857839308396</v>
      </c>
      <c r="L164" s="154">
        <f t="shared" si="81"/>
        <v>0.00045657096939147324</v>
      </c>
      <c r="M164" s="154">
        <f t="shared" si="82"/>
        <v>0.5213675213675213</v>
      </c>
      <c r="N164" s="154">
        <f t="shared" si="93"/>
        <v>1.9314384268839633</v>
      </c>
      <c r="O164" s="154">
        <f t="shared" si="83"/>
        <v>0.07325223505585884</v>
      </c>
      <c r="P164" s="154">
        <f t="shared" si="84"/>
        <v>0.5119293716772488</v>
      </c>
      <c r="Q164" s="154">
        <f t="shared" si="85"/>
        <v>0.6424579232096694</v>
      </c>
      <c r="R164" s="154">
        <f t="shared" si="86"/>
        <v>0.06779950800763512</v>
      </c>
      <c r="S164" s="154">
        <f t="shared" si="87"/>
        <v>0.7603833865814695</v>
      </c>
      <c r="T164" s="154">
        <f t="shared" si="94"/>
        <v>1.9474848216618827</v>
      </c>
      <c r="U164" s="154">
        <f t="shared" si="88"/>
        <v>1.1587454894945923</v>
      </c>
      <c r="V164" s="154">
        <f t="shared" si="89"/>
        <v>3.833263214726713</v>
      </c>
      <c r="W164" s="154">
        <f t="shared" si="95"/>
        <v>1.9314384268839633</v>
      </c>
      <c r="X164" s="163">
        <f t="shared" si="90"/>
        <v>5.059407233320276</v>
      </c>
      <c r="Y164" s="165">
        <f t="shared" si="91"/>
        <v>-0.057232014623318964</v>
      </c>
      <c r="Z164" s="166">
        <f t="shared" si="92"/>
        <v>4.708833454826366</v>
      </c>
    </row>
    <row r="165" spans="7:26" ht="12.75">
      <c r="G165" s="153">
        <f t="shared" si="97"/>
        <v>334</v>
      </c>
      <c r="H165" s="153">
        <f t="shared" si="77"/>
        <v>0.0983564467156429</v>
      </c>
      <c r="I165" s="153">
        <f t="shared" si="78"/>
        <v>3.0274099895064874</v>
      </c>
      <c r="J165" s="153">
        <f t="shared" si="79"/>
        <v>1.3942589423659006</v>
      </c>
      <c r="K165" s="153">
        <f t="shared" si="80"/>
        <v>1.3902041977679933</v>
      </c>
      <c r="L165" s="153">
        <f t="shared" si="81"/>
        <v>0.00045657096939147324</v>
      </c>
      <c r="M165" s="153">
        <f t="shared" si="82"/>
        <v>0.5213675213675213</v>
      </c>
      <c r="N165" s="153">
        <f t="shared" si="93"/>
        <v>1.9286241471096752</v>
      </c>
      <c r="O165" s="153">
        <f t="shared" si="83"/>
        <v>0.07325223505585884</v>
      </c>
      <c r="P165" s="153">
        <f t="shared" si="84"/>
        <v>0.5059724435154781</v>
      </c>
      <c r="Q165" s="153">
        <f t="shared" si="85"/>
        <v>0.6382842028604976</v>
      </c>
      <c r="R165" s="153">
        <f t="shared" si="86"/>
        <v>0.06779950800763512</v>
      </c>
      <c r="S165" s="153">
        <f t="shared" si="87"/>
        <v>0.7603833865814695</v>
      </c>
      <c r="T165" s="153">
        <f t="shared" si="94"/>
        <v>1.9454067074641694</v>
      </c>
      <c r="U165" s="153">
        <f t="shared" si="88"/>
        <v>1.156773197609878</v>
      </c>
      <c r="V165" s="153">
        <f t="shared" si="89"/>
        <v>3.833263214726713</v>
      </c>
      <c r="W165" s="153">
        <f t="shared" si="95"/>
        <v>1.9286241471096752</v>
      </c>
      <c r="X165" s="163">
        <f t="shared" si="90"/>
        <v>5.044259307472012</v>
      </c>
      <c r="Y165" s="163">
        <f t="shared" si="91"/>
        <v>-0.057060661286123394</v>
      </c>
      <c r="Z165" s="164">
        <f t="shared" si="92"/>
        <v>4.703469768322686</v>
      </c>
    </row>
    <row r="166" spans="7:26" ht="12.75">
      <c r="G166" s="154">
        <f t="shared" si="97"/>
        <v>335</v>
      </c>
      <c r="H166" s="154">
        <f t="shared" si="77"/>
        <v>0.09777012047057483</v>
      </c>
      <c r="I166" s="154">
        <f t="shared" si="78"/>
        <v>3.0198654820751254</v>
      </c>
      <c r="J166" s="154">
        <f t="shared" si="79"/>
        <v>1.3859594659255907</v>
      </c>
      <c r="K166" s="154">
        <f t="shared" si="80"/>
        <v>1.381904883260421</v>
      </c>
      <c r="L166" s="154">
        <f t="shared" si="81"/>
        <v>0.00045657096939147324</v>
      </c>
      <c r="M166" s="154">
        <f t="shared" si="82"/>
        <v>0.5213675213675213</v>
      </c>
      <c r="N166" s="154">
        <f t="shared" si="93"/>
        <v>1.9258238789793718</v>
      </c>
      <c r="O166" s="154">
        <f t="shared" si="83"/>
        <v>0.07325223505585884</v>
      </c>
      <c r="P166" s="154">
        <f t="shared" si="84"/>
        <v>0.5001031552952819</v>
      </c>
      <c r="Q166" s="154">
        <f t="shared" si="85"/>
        <v>0.6341478032976182</v>
      </c>
      <c r="R166" s="154">
        <f t="shared" si="86"/>
        <v>0.06779950800763512</v>
      </c>
      <c r="S166" s="154">
        <f t="shared" si="87"/>
        <v>0.7603833865814695</v>
      </c>
      <c r="T166" s="154">
        <f t="shared" si="94"/>
        <v>1.943339591792509</v>
      </c>
      <c r="U166" s="154">
        <f t="shared" si="88"/>
        <v>1.1548126806020873</v>
      </c>
      <c r="V166" s="154">
        <f t="shared" si="89"/>
        <v>3.833263214726713</v>
      </c>
      <c r="W166" s="154">
        <f t="shared" si="95"/>
        <v>1.9258238789793718</v>
      </c>
      <c r="X166" s="163">
        <f t="shared" si="90"/>
        <v>5.029201817001947</v>
      </c>
      <c r="Y166" s="165">
        <f t="shared" si="91"/>
        <v>-0.05689033095392602</v>
      </c>
      <c r="Z166" s="166">
        <f t="shared" si="92"/>
        <v>4.698124748898349</v>
      </c>
    </row>
    <row r="167" spans="7:26" ht="12.75">
      <c r="G167" s="153">
        <f t="shared" si="97"/>
        <v>336</v>
      </c>
      <c r="H167" s="153">
        <f aca="true" t="shared" si="98" ref="H167:H187">(Iout*(Vout_nom^2)*2.5*Rsense*K_1)/(eff*(G167^2)*K_FQ)*us</f>
        <v>0.0971890214871232</v>
      </c>
      <c r="I167" s="153">
        <f aca="true" t="shared" si="99" ref="I167:I187">(1*10^-9*(5*10^8*SQRT(fsw*kHz)+(1.09655978*10^10)*SQRT(ftyp)*SQRT(H167)))/SQRT(fsw*kHz)</f>
        <v>3.012365882426092</v>
      </c>
      <c r="J167" s="153">
        <f aca="true" t="shared" si="100" ref="J167:J187">(b_1^3/(27*a_1^3))-(d_1^3/27)+SQRT((ftyp)^2*H167^2/(4*a_1^2*c_1^2*(fsw*kHz)^2))+(b_1^3*(ftyp)*H167/(27*a_1^4*c_1*(fsw*kHz))-(d_1^3*(ftyp)*H167/(27*a_1*c_1*(fsw*kHz)))+(b_1*d_1^2*(ftyp)*H167/(9*a_1^2*c_1*(fsw*kHz)))-(b_1^2*d_1*(ftyp)*H167/(9*a_1^3*c_1*(fsw*kHz))))</f>
        <v>1.3777339816270242</v>
      </c>
      <c r="K167" s="153">
        <f aca="true" t="shared" si="101" ref="K167:K187">(b_1*d_1^2/(9*a_1))-(b_1^2*d_1/(9*a_1^2))+(ftyp*H167/(2*a_1*c_1*fsw*kHz))</f>
        <v>1.3736795594509172</v>
      </c>
      <c r="L167" s="153">
        <f aca="true" t="shared" si="102" ref="L167:L187">(d_1^2/9)+(b_1^2/(9*a_1^2))-(2*b_1*d_1/(9*a_1))</f>
        <v>0.00045657096939147324</v>
      </c>
      <c r="M167" s="153">
        <f aca="true" t="shared" si="103" ref="M167:M187">((b_1*c_1*fsw*kHz)+(2*a_1*c_1*d_1*fsw*kHz))/(3*a_1*c_1*fsw*kHz)</f>
        <v>0.5213675213675213</v>
      </c>
      <c r="N167" s="153">
        <f t="shared" si="93"/>
        <v>1.9230375112309743</v>
      </c>
      <c r="O167" s="153">
        <f aca="true" t="shared" si="104" ref="O167:O187">(b_2^3/(27*a_2^3))-(d_2^3/27)</f>
        <v>0.07325223505585884</v>
      </c>
      <c r="P167" s="153">
        <f aca="true" t="shared" si="105" ref="P167:P187">(ftyp^2*H167^2/(4*a_2^2*c_2^2*(fsw*kHz)^2))+(b_2^3*ftyp*H167/(27*a_2^4*c_2*(fsw*kHz)))-(d_2^3*ftyp*H167/(27*a_2*c_2*(fsw*kHz)))+(b_2*d_2^2*ftyp*H167/(9*a_2^2*c_2*(fsw*kHz)))-(b_2^2*d_2*ftyp*H167/(9*a_2^3*c_2*(fsw*kHz)))</f>
        <v>0.4943199567593552</v>
      </c>
      <c r="Q167" s="153">
        <f aca="true" t="shared" si="106" ref="Q167:Q187">(b_2*d_2^2/(9*a_2))-(b_2^2*d_2/(9*a_2^2))+(ftyp*H167/(2*a_2*c_2*(fsw*kHz)))</f>
        <v>0.6300482808877695</v>
      </c>
      <c r="R167" s="153">
        <f aca="true" t="shared" si="107" ref="R167:R187">(d_2^2/9)+(b_2^2/(9*a_2^2))-(2*b_2*d_2/(9*a_2))</f>
        <v>0.06779950800763512</v>
      </c>
      <c r="S167" s="153">
        <f aca="true" t="shared" si="108" ref="S167:S187">(b_2*c_2*(fsw*kHz)+2*a_2*c_2*d_2*(fsw*kHz))/(3*a_2*c_2*(fsw*kHz))</f>
        <v>0.7603833865814695</v>
      </c>
      <c r="T167" s="153">
        <f t="shared" si="94"/>
        <v>1.9412833867766635</v>
      </c>
      <c r="U167" s="153">
        <f aca="true" t="shared" si="109" ref="U167:U187">c_3+(SQRT(ftyp)*SQRT(H167)/(SQRT(a_3)*SQRT(b_3)*SQRT(fsw*kHz)))</f>
        <v>1.1528638333383907</v>
      </c>
      <c r="V167" s="153">
        <f aca="true" t="shared" si="110" ref="V167:V187">(a_4*(fsw*kHz)*b_4/ftyp)</f>
        <v>3.833263214726713</v>
      </c>
      <c r="W167" s="153">
        <f t="shared" si="95"/>
        <v>1.9230375112309743</v>
      </c>
      <c r="X167" s="163">
        <f aca="true" t="shared" si="111" ref="X167:X187">Pin_max/G167</f>
        <v>5.0142339544513455</v>
      </c>
      <c r="Y167" s="163">
        <f aca="true" t="shared" si="112" ref="Y167:Y187">-X167*Rsense*1.414</f>
        <v>-0.05672101449275362</v>
      </c>
      <c r="Z167" s="164">
        <f aca="true" t="shared" si="113" ref="Z167:Z187">MIN(6,MAX(0.5,Beta*G*($Y167-Voff_trim)/(MAX(0,MIN(4.5,W167)-Alpha1_A)+MAX(0,MIN(4.5,W167)-Alpha1_B)-Alpha1_C)+Alpha2))</f>
        <v>4.692798268675992</v>
      </c>
    </row>
    <row r="168" spans="7:26" ht="12.75">
      <c r="G168" s="154">
        <f t="shared" si="97"/>
        <v>337</v>
      </c>
      <c r="H168" s="154">
        <f t="shared" si="98"/>
        <v>0.09661308781278571</v>
      </c>
      <c r="I168" s="154">
        <f t="shared" si="99"/>
        <v>3.0049107907868455</v>
      </c>
      <c r="J168" s="154">
        <f t="shared" si="100"/>
        <v>1.3695816125295255</v>
      </c>
      <c r="K168" s="154">
        <f t="shared" si="101"/>
        <v>1.3655273494159161</v>
      </c>
      <c r="L168" s="154">
        <f t="shared" si="102"/>
        <v>0.00045657096939147324</v>
      </c>
      <c r="M168" s="154">
        <f t="shared" si="103"/>
        <v>0.5213675213675213</v>
      </c>
      <c r="N168" s="154">
        <f t="shared" si="93"/>
        <v>1.920264933813584</v>
      </c>
      <c r="O168" s="154">
        <f t="shared" si="104"/>
        <v>0.07325223505585884</v>
      </c>
      <c r="P168" s="154">
        <f t="shared" si="105"/>
        <v>0.4886213296164662</v>
      </c>
      <c r="Q168" s="154">
        <f t="shared" si="106"/>
        <v>0.6259851985700053</v>
      </c>
      <c r="R168" s="154">
        <f t="shared" si="107"/>
        <v>0.06779950800763512</v>
      </c>
      <c r="S168" s="154">
        <f t="shared" si="108"/>
        <v>0.7603833865814695</v>
      </c>
      <c r="T168" s="154">
        <f t="shared" si="94"/>
        <v>1.9392380055038303</v>
      </c>
      <c r="U168" s="154">
        <f t="shared" si="109"/>
        <v>1.1509265519338259</v>
      </c>
      <c r="V168" s="154">
        <f t="shared" si="110"/>
        <v>3.833263214726713</v>
      </c>
      <c r="W168" s="154">
        <f t="shared" si="95"/>
        <v>1.920264933813584</v>
      </c>
      <c r="X168" s="163">
        <f t="shared" si="111"/>
        <v>4.999354921945555</v>
      </c>
      <c r="Y168" s="165">
        <f t="shared" si="112"/>
        <v>-0.05655270287704811</v>
      </c>
      <c r="Z168" s="166">
        <f t="shared" si="113"/>
        <v>4.68749020103677</v>
      </c>
    </row>
    <row r="169" spans="7:26" ht="12.75">
      <c r="G169" s="153">
        <f t="shared" si="97"/>
        <v>338</v>
      </c>
      <c r="H169" s="153">
        <f t="shared" si="98"/>
        <v>0.09604225841015948</v>
      </c>
      <c r="I169" s="153">
        <f t="shared" si="99"/>
        <v>2.9974998121158785</v>
      </c>
      <c r="J169" s="153">
        <f t="shared" si="100"/>
        <v>1.361501494645697</v>
      </c>
      <c r="K169" s="153">
        <f t="shared" si="101"/>
        <v>1.3574473891848768</v>
      </c>
      <c r="L169" s="153">
        <f t="shared" si="102"/>
        <v>0.00045657096939147324</v>
      </c>
      <c r="M169" s="153">
        <f t="shared" si="103"/>
        <v>0.5213675213675213</v>
      </c>
      <c r="N169" s="153">
        <f t="shared" si="93"/>
        <v>1.9175060378707502</v>
      </c>
      <c r="O169" s="153">
        <f t="shared" si="104"/>
        <v>0.07325223505585884</v>
      </c>
      <c r="P169" s="153">
        <f t="shared" si="105"/>
        <v>0.4830057867895769</v>
      </c>
      <c r="Q169" s="153">
        <f t="shared" si="106"/>
        <v>0.6219581257391998</v>
      </c>
      <c r="R169" s="153">
        <f t="shared" si="107"/>
        <v>0.06779950800763512</v>
      </c>
      <c r="S169" s="153">
        <f t="shared" si="108"/>
        <v>0.7603833865814695</v>
      </c>
      <c r="T169" s="153">
        <f t="shared" si="94"/>
        <v>1.9372033620054085</v>
      </c>
      <c r="U169" s="153">
        <f t="shared" si="109"/>
        <v>1.149000733732838</v>
      </c>
      <c r="V169" s="153">
        <f t="shared" si="110"/>
        <v>3.833263214726713</v>
      </c>
      <c r="W169" s="153">
        <f t="shared" si="95"/>
        <v>1.9175060378707502</v>
      </c>
      <c r="X169" s="163">
        <f t="shared" si="111"/>
        <v>4.984563931052225</v>
      </c>
      <c r="Y169" s="163">
        <f t="shared" si="112"/>
        <v>-0.05638538718806276</v>
      </c>
      <c r="Z169" s="164">
        <f t="shared" si="113"/>
        <v>4.682200420604267</v>
      </c>
    </row>
    <row r="170" spans="7:26" ht="12.75">
      <c r="G170" s="154">
        <f>G169+1</f>
        <v>339</v>
      </c>
      <c r="H170" s="154">
        <f t="shared" si="98"/>
        <v>0.09547647314076853</v>
      </c>
      <c r="I170" s="154">
        <f t="shared" si="99"/>
        <v>2.9901325560329406</v>
      </c>
      <c r="J170" s="154">
        <f t="shared" si="100"/>
        <v>1.353492776712493</v>
      </c>
      <c r="K170" s="154">
        <f t="shared" si="101"/>
        <v>1.349438827511364</v>
      </c>
      <c r="L170" s="154">
        <f t="shared" si="102"/>
        <v>0.00045657096939147324</v>
      </c>
      <c r="M170" s="154">
        <f t="shared" si="103"/>
        <v>0.5213675213675213</v>
      </c>
      <c r="N170" s="154">
        <f t="shared" si="93"/>
        <v>1.914760715724021</v>
      </c>
      <c r="O170" s="154">
        <f t="shared" si="104"/>
        <v>0.07325223505585884</v>
      </c>
      <c r="P170" s="154">
        <f t="shared" si="105"/>
        <v>0.4774718716838106</v>
      </c>
      <c r="Q170" s="154">
        <f t="shared" si="106"/>
        <v>0.6179666381319538</v>
      </c>
      <c r="R170" s="154">
        <f t="shared" si="107"/>
        <v>0.06779950800763512</v>
      </c>
      <c r="S170" s="154">
        <f t="shared" si="108"/>
        <v>0.7603833865814695</v>
      </c>
      <c r="T170" s="154">
        <f t="shared" si="94"/>
        <v>1.935179371243983</v>
      </c>
      <c r="U170" s="154">
        <f t="shared" si="109"/>
        <v>1.147086277291148</v>
      </c>
      <c r="V170" s="154">
        <f t="shared" si="110"/>
        <v>3.833263214726713</v>
      </c>
      <c r="W170" s="154">
        <f t="shared" si="95"/>
        <v>1.914760715724021</v>
      </c>
      <c r="X170" s="163">
        <f t="shared" si="111"/>
        <v>4.9698602026420415</v>
      </c>
      <c r="Y170" s="165">
        <f t="shared" si="112"/>
        <v>-0.05621905861228677</v>
      </c>
      <c r="Z170" s="166">
        <f t="shared" si="113"/>
        <v>4.6769288032286385</v>
      </c>
    </row>
    <row r="171" spans="7:26" ht="12.75">
      <c r="G171" s="153">
        <f aca="true" t="shared" si="114" ref="G171:G180">G170+1</f>
        <v>340</v>
      </c>
      <c r="H171" s="153">
        <f t="shared" si="98"/>
        <v>0.09491567274922372</v>
      </c>
      <c r="I171" s="153">
        <f t="shared" si="99"/>
        <v>2.9828086367504913</v>
      </c>
      <c r="J171" s="153">
        <f t="shared" si="100"/>
        <v>1.3455546199670065</v>
      </c>
      <c r="K171" s="153">
        <f t="shared" si="101"/>
        <v>1.3415008256488348</v>
      </c>
      <c r="L171" s="153">
        <f t="shared" si="102"/>
        <v>0.00045657096939147324</v>
      </c>
      <c r="M171" s="153">
        <f t="shared" si="103"/>
        <v>0.5213675213675213</v>
      </c>
      <c r="N171" s="153">
        <f t="shared" si="93"/>
        <v>1.9120288608567648</v>
      </c>
      <c r="O171" s="153">
        <f t="shared" si="104"/>
        <v>0.07325223505585884</v>
      </c>
      <c r="P171" s="153">
        <f t="shared" si="105"/>
        <v>0.472018157473688</v>
      </c>
      <c r="Q171" s="153">
        <f t="shared" si="106"/>
        <v>0.6140103177148467</v>
      </c>
      <c r="R171" s="153">
        <f t="shared" si="107"/>
        <v>0.06779950800763512</v>
      </c>
      <c r="S171" s="153">
        <f t="shared" si="108"/>
        <v>0.7603833865814695</v>
      </c>
      <c r="T171" s="153">
        <f t="shared" si="94"/>
        <v>1.9331659491005297</v>
      </c>
      <c r="U171" s="153">
        <f t="shared" si="109"/>
        <v>1.145183082357939</v>
      </c>
      <c r="V171" s="153">
        <f t="shared" si="110"/>
        <v>3.833263214726713</v>
      </c>
      <c r="W171" s="153">
        <f t="shared" si="95"/>
        <v>1.9120288608567648</v>
      </c>
      <c r="X171" s="163">
        <f t="shared" si="111"/>
        <v>4.955242966751918</v>
      </c>
      <c r="Y171" s="163">
        <f t="shared" si="112"/>
        <v>-0.05605370843989769</v>
      </c>
      <c r="Z171" s="164">
        <f t="shared" si="113"/>
        <v>4.6716752259710175</v>
      </c>
    </row>
    <row r="172" spans="7:26" ht="12.75">
      <c r="G172" s="154">
        <f t="shared" si="114"/>
        <v>341</v>
      </c>
      <c r="H172" s="154">
        <f t="shared" si="98"/>
        <v>0.09435979884770737</v>
      </c>
      <c r="I172" s="154">
        <f t="shared" si="99"/>
        <v>2.9755276730063542</v>
      </c>
      <c r="J172" s="154">
        <f t="shared" si="100"/>
        <v>1.337686197926846</v>
      </c>
      <c r="K172" s="154">
        <f t="shared" si="101"/>
        <v>1.3336325571310241</v>
      </c>
      <c r="L172" s="154">
        <f t="shared" si="102"/>
        <v>0.00045657096939147324</v>
      </c>
      <c r="M172" s="154">
        <f t="shared" si="103"/>
        <v>0.5213675213675213</v>
      </c>
      <c r="N172" s="154">
        <f t="shared" si="93"/>
        <v>1.9093103678982646</v>
      </c>
      <c r="O172" s="154">
        <f t="shared" si="104"/>
        <v>0.07325223505585884</v>
      </c>
      <c r="P172" s="154">
        <f t="shared" si="105"/>
        <v>0.46664324640907073</v>
      </c>
      <c r="Q172" s="154">
        <f t="shared" si="106"/>
        <v>0.6100887525749794</v>
      </c>
      <c r="R172" s="154">
        <f t="shared" si="107"/>
        <v>0.06779950800763512</v>
      </c>
      <c r="S172" s="154">
        <f t="shared" si="108"/>
        <v>0.7603833865814695</v>
      </c>
      <c r="T172" s="154">
        <f t="shared" si="94"/>
        <v>1.9311630123618304</v>
      </c>
      <c r="U172" s="154">
        <f t="shared" si="109"/>
        <v>1.1432910498583557</v>
      </c>
      <c r="V172" s="154">
        <f t="shared" si="110"/>
        <v>3.833263214726713</v>
      </c>
      <c r="W172" s="154">
        <f t="shared" si="95"/>
        <v>1.9093103678982646</v>
      </c>
      <c r="X172" s="163">
        <f t="shared" si="111"/>
        <v>4.940711462450593</v>
      </c>
      <c r="Y172" s="165">
        <f t="shared" si="112"/>
        <v>-0.0558893280632411</v>
      </c>
      <c r="Z172" s="166">
        <f t="shared" si="113"/>
        <v>4.666439567088159</v>
      </c>
    </row>
    <row r="173" spans="7:26" ht="12.75">
      <c r="G173" s="153">
        <f t="shared" si="114"/>
        <v>342</v>
      </c>
      <c r="H173" s="153">
        <f t="shared" si="98"/>
        <v>0.09380879390077512</v>
      </c>
      <c r="I173" s="153">
        <f t="shared" si="99"/>
        <v>2.968289287997564</v>
      </c>
      <c r="J173" s="153">
        <f t="shared" si="100"/>
        <v>1.3298866961750053</v>
      </c>
      <c r="K173" s="153">
        <f t="shared" si="101"/>
        <v>1.3258332075568158</v>
      </c>
      <c r="L173" s="153">
        <f t="shared" si="102"/>
        <v>0.00045657096939147324</v>
      </c>
      <c r="M173" s="153">
        <f t="shared" si="103"/>
        <v>0.5213675213675213</v>
      </c>
      <c r="N173" s="153">
        <f t="shared" si="93"/>
        <v>1.9066051326080717</v>
      </c>
      <c r="O173" s="153">
        <f t="shared" si="104"/>
        <v>0.07325223505585884</v>
      </c>
      <c r="P173" s="153">
        <f t="shared" si="105"/>
        <v>0.4613457691392666</v>
      </c>
      <c r="Q173" s="153">
        <f t="shared" si="106"/>
        <v>0.6062015368127541</v>
      </c>
      <c r="R173" s="153">
        <f t="shared" si="107"/>
        <v>0.06779950800763512</v>
      </c>
      <c r="S173" s="153">
        <f t="shared" si="108"/>
        <v>0.7603833865814695</v>
      </c>
      <c r="T173" s="153">
        <f t="shared" si="94"/>
        <v>1.9291704787080999</v>
      </c>
      <c r="U173" s="153">
        <f t="shared" si="109"/>
        <v>1.1414100818763135</v>
      </c>
      <c r="V173" s="153">
        <f t="shared" si="110"/>
        <v>3.833263214726713</v>
      </c>
      <c r="W173" s="153">
        <f t="shared" si="95"/>
        <v>1.9066051326080717</v>
      </c>
      <c r="X173" s="163">
        <f t="shared" si="111"/>
        <v>4.926264937706585</v>
      </c>
      <c r="Y173" s="163">
        <f t="shared" si="112"/>
        <v>-0.055725908975336885</v>
      </c>
      <c r="Z173" s="164">
        <f t="shared" si="113"/>
        <v>4.6612217060173275</v>
      </c>
    </row>
    <row r="174" spans="7:26" ht="12.75">
      <c r="G174" s="154">
        <f t="shared" si="114"/>
        <v>343</v>
      </c>
      <c r="H174" s="154">
        <f t="shared" si="98"/>
        <v>0.09326260121046726</v>
      </c>
      <c r="I174" s="154">
        <f t="shared" si="99"/>
        <v>2.961093109315355</v>
      </c>
      <c r="J174" s="154">
        <f t="shared" si="100"/>
        <v>1.3221553121491147</v>
      </c>
      <c r="K174" s="154">
        <f t="shared" si="101"/>
        <v>1.318101974379499</v>
      </c>
      <c r="L174" s="154">
        <f t="shared" si="102"/>
        <v>0.00045657096939147324</v>
      </c>
      <c r="M174" s="154">
        <f t="shared" si="103"/>
        <v>0.5213675213675213</v>
      </c>
      <c r="N174" s="154">
        <f t="shared" si="93"/>
        <v>1.9039130518606227</v>
      </c>
      <c r="O174" s="154">
        <f t="shared" si="104"/>
        <v>0.07325223505585884</v>
      </c>
      <c r="P174" s="154">
        <f t="shared" si="105"/>
        <v>0.45612438405477</v>
      </c>
      <c r="Q174" s="154">
        <f t="shared" si="106"/>
        <v>0.602348270436839</v>
      </c>
      <c r="R174" s="154">
        <f t="shared" si="107"/>
        <v>0.06779950800763512</v>
      </c>
      <c r="S174" s="154">
        <f t="shared" si="108"/>
        <v>0.7603833865814695</v>
      </c>
      <c r="T174" s="154">
        <f t="shared" si="94"/>
        <v>1.9271882667008144</v>
      </c>
      <c r="U174" s="154">
        <f t="shared" si="109"/>
        <v>1.1395400816376071</v>
      </c>
      <c r="V174" s="154">
        <f t="shared" si="110"/>
        <v>3.833263214726713</v>
      </c>
      <c r="W174" s="154">
        <f t="shared" si="95"/>
        <v>1.9039130518606227</v>
      </c>
      <c r="X174" s="163">
        <f t="shared" si="111"/>
        <v>4.911902649258461</v>
      </c>
      <c r="Y174" s="165">
        <f t="shared" si="112"/>
        <v>-0.0555634427684117</v>
      </c>
      <c r="Z174" s="166">
        <f t="shared" si="113"/>
        <v>4.656021523361412</v>
      </c>
    </row>
    <row r="175" spans="7:26" ht="12.75">
      <c r="G175" s="153">
        <f t="shared" si="114"/>
        <v>344</v>
      </c>
      <c r="H175" s="153">
        <f t="shared" si="98"/>
        <v>0.09272116490172273</v>
      </c>
      <c r="I175" s="153">
        <f t="shared" si="99"/>
        <v>2.953938768881299</v>
      </c>
      <c r="J175" s="153">
        <f t="shared" si="100"/>
        <v>1.3144912549349745</v>
      </c>
      <c r="K175" s="153">
        <f t="shared" si="101"/>
        <v>1.3104380667003057</v>
      </c>
      <c r="L175" s="153">
        <f t="shared" si="102"/>
        <v>0.00045657096939147324</v>
      </c>
      <c r="M175" s="153">
        <f t="shared" si="103"/>
        <v>0.5213675213675213</v>
      </c>
      <c r="N175" s="153">
        <f t="shared" si="93"/>
        <v>1.9012340236301057</v>
      </c>
      <c r="O175" s="153">
        <f t="shared" si="104"/>
        <v>0.07325223505585884</v>
      </c>
      <c r="P175" s="153">
        <f t="shared" si="105"/>
        <v>0.4509777766461295</v>
      </c>
      <c r="Q175" s="153">
        <f t="shared" si="106"/>
        <v>0.5985285592612667</v>
      </c>
      <c r="R175" s="153">
        <f t="shared" si="107"/>
        <v>0.06779950800763512</v>
      </c>
      <c r="S175" s="153">
        <f t="shared" si="108"/>
        <v>0.7603833865814695</v>
      </c>
      <c r="T175" s="153">
        <f t="shared" si="94"/>
        <v>1.925216295770742</v>
      </c>
      <c r="U175" s="153">
        <f t="shared" si="109"/>
        <v>1.1376809534933119</v>
      </c>
      <c r="V175" s="153">
        <f t="shared" si="110"/>
        <v>3.833263214726713</v>
      </c>
      <c r="W175" s="153">
        <f t="shared" si="95"/>
        <v>1.9012340236301057</v>
      </c>
      <c r="X175" s="163">
        <f t="shared" si="111"/>
        <v>4.897623862487361</v>
      </c>
      <c r="Y175" s="163">
        <f t="shared" si="112"/>
        <v>-0.05540192113245703</v>
      </c>
      <c r="Z175" s="164">
        <f t="shared" si="113"/>
        <v>4.650838900874278</v>
      </c>
    </row>
    <row r="176" spans="7:26" ht="12.75">
      <c r="G176" s="154">
        <f t="shared" si="114"/>
        <v>345</v>
      </c>
      <c r="H176" s="154">
        <f t="shared" si="98"/>
        <v>0.09218442990808873</v>
      </c>
      <c r="I176" s="154">
        <f t="shared" si="99"/>
        <v>2.9468259028845414</v>
      </c>
      <c r="J176" s="154">
        <f t="shared" si="100"/>
        <v>1.3068937450642741</v>
      </c>
      <c r="K176" s="154">
        <f t="shared" si="101"/>
        <v>1.3028407050661337</v>
      </c>
      <c r="L176" s="154">
        <f t="shared" si="102"/>
        <v>0.00045657096939147324</v>
      </c>
      <c r="M176" s="154">
        <f t="shared" si="103"/>
        <v>0.5213675213675213</v>
      </c>
      <c r="N176" s="154">
        <f t="shared" si="93"/>
        <v>1.8985679469755787</v>
      </c>
      <c r="O176" s="154">
        <f t="shared" si="104"/>
        <v>0.07325223505585884</v>
      </c>
      <c r="P176" s="154">
        <f t="shared" si="105"/>
        <v>0.44590465887944336</v>
      </c>
      <c r="Q176" s="154">
        <f t="shared" si="106"/>
        <v>0.5947420148046187</v>
      </c>
      <c r="R176" s="154">
        <f t="shared" si="107"/>
        <v>0.06779950800763512</v>
      </c>
      <c r="S176" s="154">
        <f t="shared" si="108"/>
        <v>0.7603833865814695</v>
      </c>
      <c r="T176" s="154">
        <f t="shared" si="94"/>
        <v>1.923254486206171</v>
      </c>
      <c r="U176" s="154">
        <f t="shared" si="109"/>
        <v>1.1358326029034762</v>
      </c>
      <c r="V176" s="154">
        <f t="shared" si="110"/>
        <v>3.833263214726713</v>
      </c>
      <c r="W176" s="154">
        <f t="shared" si="95"/>
        <v>1.8985679469755787</v>
      </c>
      <c r="X176" s="163">
        <f t="shared" si="111"/>
        <v>4.883427851291745</v>
      </c>
      <c r="Y176" s="165">
        <f t="shared" si="112"/>
        <v>-0.05524133585381221</v>
      </c>
      <c r="Z176" s="166">
        <f t="shared" si="113"/>
        <v>4.645673721446337</v>
      </c>
    </row>
    <row r="177" spans="7:26" ht="12.75">
      <c r="G177" s="153">
        <f t="shared" si="114"/>
        <v>346</v>
      </c>
      <c r="H177" s="153">
        <f t="shared" si="98"/>
        <v>0.09165234195771879</v>
      </c>
      <c r="I177" s="153">
        <f t="shared" si="99"/>
        <v>2.9397541517201353</v>
      </c>
      <c r="J177" s="153">
        <f t="shared" si="100"/>
        <v>1.2993620143163942</v>
      </c>
      <c r="K177" s="153">
        <f t="shared" si="101"/>
        <v>1.2953091212713528</v>
      </c>
      <c r="L177" s="153">
        <f t="shared" si="102"/>
        <v>0.00045657096939147324</v>
      </c>
      <c r="M177" s="153">
        <f t="shared" si="103"/>
        <v>0.5213675213675213</v>
      </c>
      <c r="N177" s="153">
        <f t="shared" si="93"/>
        <v>1.8959147220263286</v>
      </c>
      <c r="O177" s="153">
        <f t="shared" si="104"/>
        <v>0.07325223505585884</v>
      </c>
      <c r="P177" s="153">
        <f t="shared" si="105"/>
        <v>0.44090376858801367</v>
      </c>
      <c r="Q177" s="153">
        <f t="shared" si="106"/>
        <v>0.5909882541912453</v>
      </c>
      <c r="R177" s="153">
        <f t="shared" si="107"/>
        <v>0.06779950800763512</v>
      </c>
      <c r="S177" s="153">
        <f t="shared" si="108"/>
        <v>0.7603833865814695</v>
      </c>
      <c r="T177" s="153">
        <f t="shared" si="94"/>
        <v>1.9213027591413288</v>
      </c>
      <c r="U177" s="153">
        <f t="shared" si="109"/>
        <v>1.1339949364210962</v>
      </c>
      <c r="V177" s="153">
        <f t="shared" si="110"/>
        <v>3.833263214726713</v>
      </c>
      <c r="W177" s="153">
        <f t="shared" si="95"/>
        <v>1.8959147220263286</v>
      </c>
      <c r="X177" s="163">
        <f t="shared" si="111"/>
        <v>4.869313897964312</v>
      </c>
      <c r="Y177" s="163">
        <f t="shared" si="112"/>
        <v>-0.05508167881377229</v>
      </c>
      <c r="Z177" s="164">
        <f t="shared" si="113"/>
        <v>4.640525869090363</v>
      </c>
    </row>
    <row r="178" spans="7:26" ht="12.75">
      <c r="G178" s="154">
        <f t="shared" si="114"/>
        <v>347</v>
      </c>
      <c r="H178" s="154">
        <f t="shared" si="98"/>
        <v>0.09112484755965303</v>
      </c>
      <c r="I178" s="154">
        <f t="shared" si="99"/>
        <v>2.932723159928435</v>
      </c>
      <c r="J178" s="154">
        <f t="shared" si="100"/>
        <v>1.2918953055242026</v>
      </c>
      <c r="K178" s="154">
        <f t="shared" si="101"/>
        <v>1.2878425581636037</v>
      </c>
      <c r="L178" s="154">
        <f t="shared" si="102"/>
        <v>0.00045657096939147324</v>
      </c>
      <c r="M178" s="154">
        <f t="shared" si="103"/>
        <v>0.5213675213675213</v>
      </c>
      <c r="N178" s="154">
        <f t="shared" si="93"/>
        <v>1.8932742499674733</v>
      </c>
      <c r="O178" s="154">
        <f t="shared" si="104"/>
        <v>0.07325223505585884</v>
      </c>
      <c r="P178" s="154">
        <f t="shared" si="105"/>
        <v>0.4359738688796861</v>
      </c>
      <c r="Q178" s="154">
        <f t="shared" si="106"/>
        <v>0.5872669000544759</v>
      </c>
      <c r="R178" s="154">
        <f t="shared" si="107"/>
        <v>0.06779950800763512</v>
      </c>
      <c r="S178" s="154">
        <f t="shared" si="108"/>
        <v>0.7603833865814695</v>
      </c>
      <c r="T178" s="154">
        <f t="shared" si="94"/>
        <v>1.919361036544992</v>
      </c>
      <c r="U178" s="154">
        <f t="shared" si="109"/>
        <v>1.1321678616763666</v>
      </c>
      <c r="V178" s="154">
        <f t="shared" si="110"/>
        <v>3.833263214726713</v>
      </c>
      <c r="W178" s="154">
        <f t="shared" si="95"/>
        <v>1.8932742499674733</v>
      </c>
      <c r="X178" s="163">
        <f t="shared" si="111"/>
        <v>4.855281293071044</v>
      </c>
      <c r="Y178" s="165">
        <f t="shared" si="112"/>
        <v>-0.05492294198721964</v>
      </c>
      <c r="Z178" s="166">
        <f t="shared" si="113"/>
        <v>4.635395228927483</v>
      </c>
    </row>
    <row r="179" spans="7:26" ht="12.75">
      <c r="G179" s="153">
        <f t="shared" si="114"/>
        <v>348</v>
      </c>
      <c r="H179" s="153">
        <f t="shared" si="98"/>
        <v>0.09060189399037406</v>
      </c>
      <c r="I179" s="153">
        <f t="shared" si="99"/>
        <v>2.925732576135537</v>
      </c>
      <c r="J179" s="153">
        <f t="shared" si="100"/>
        <v>1.2844928723837539</v>
      </c>
      <c r="K179" s="153">
        <f t="shared" si="101"/>
        <v>1.2804402694535026</v>
      </c>
      <c r="L179" s="153">
        <f t="shared" si="102"/>
        <v>0.00045657096939147324</v>
      </c>
      <c r="M179" s="153">
        <f t="shared" si="103"/>
        <v>0.5213675213675213</v>
      </c>
      <c r="N179" s="153">
        <f t="shared" si="93"/>
        <v>1.890646433025794</v>
      </c>
      <c r="O179" s="153">
        <f t="shared" si="104"/>
        <v>0.07325223505585884</v>
      </c>
      <c r="P179" s="153">
        <f t="shared" si="105"/>
        <v>0.43111374755943527</v>
      </c>
      <c r="Q179" s="153">
        <f t="shared" si="106"/>
        <v>0.5835775804417738</v>
      </c>
      <c r="R179" s="153">
        <f t="shared" si="107"/>
        <v>0.06779950800763512</v>
      </c>
      <c r="S179" s="153">
        <f t="shared" si="108"/>
        <v>0.7603833865814695</v>
      </c>
      <c r="T179" s="153">
        <f t="shared" si="94"/>
        <v>1.917429241209282</v>
      </c>
      <c r="U179" s="153">
        <f t="shared" si="109"/>
        <v>1.1303512873612047</v>
      </c>
      <c r="V179" s="153">
        <f t="shared" si="110"/>
        <v>3.833263214726713</v>
      </c>
      <c r="W179" s="153">
        <f t="shared" si="95"/>
        <v>1.890646433025794</v>
      </c>
      <c r="X179" s="163">
        <f t="shared" si="111"/>
        <v>4.8413293353323335</v>
      </c>
      <c r="Y179" s="163">
        <f t="shared" si="112"/>
        <v>-0.05476511744127935</v>
      </c>
      <c r="Z179" s="164">
        <f t="shared" si="113"/>
        <v>4.630281687173426</v>
      </c>
    </row>
    <row r="180" spans="7:26" ht="12.75">
      <c r="G180" s="154">
        <f t="shared" si="114"/>
        <v>349</v>
      </c>
      <c r="H180" s="154">
        <f t="shared" si="98"/>
        <v>0.09008342928063202</v>
      </c>
      <c r="I180" s="154">
        <f t="shared" si="99"/>
        <v>2.918782052994748</v>
      </c>
      <c r="J180" s="154">
        <f t="shared" si="100"/>
        <v>1.2771539792677946</v>
      </c>
      <c r="K180" s="154">
        <f t="shared" si="101"/>
        <v>1.2731015195281485</v>
      </c>
      <c r="L180" s="154">
        <f t="shared" si="102"/>
        <v>0.00045657096939147324</v>
      </c>
      <c r="M180" s="154">
        <f t="shared" si="103"/>
        <v>0.5213675213675213</v>
      </c>
      <c r="N180" s="154">
        <f t="shared" si="93"/>
        <v>1.8880311744558005</v>
      </c>
      <c r="O180" s="154">
        <f t="shared" si="104"/>
        <v>0.07325223505585884</v>
      </c>
      <c r="P180" s="154">
        <f t="shared" si="105"/>
        <v>0.42632221656675573</v>
      </c>
      <c r="Q180" s="154">
        <f t="shared" si="106"/>
        <v>0.5799199287217891</v>
      </c>
      <c r="R180" s="154">
        <f t="shared" si="107"/>
        <v>0.06779950800763512</v>
      </c>
      <c r="S180" s="154">
        <f t="shared" si="108"/>
        <v>0.7603833865814695</v>
      </c>
      <c r="T180" s="154">
        <f t="shared" si="94"/>
        <v>1.9155072967386417</v>
      </c>
      <c r="U180" s="154">
        <f t="shared" si="109"/>
        <v>1.128545123214038</v>
      </c>
      <c r="V180" s="154">
        <f t="shared" si="110"/>
        <v>3.833263214726713</v>
      </c>
      <c r="W180" s="154">
        <f t="shared" si="95"/>
        <v>1.8880311744558005</v>
      </c>
      <c r="X180" s="163">
        <f t="shared" si="111"/>
        <v>4.827457331506166</v>
      </c>
      <c r="Y180" s="165">
        <f t="shared" si="112"/>
        <v>-0.05460819733399775</v>
      </c>
      <c r="Z180" s="166">
        <f t="shared" si="113"/>
        <v>4.625185131124961</v>
      </c>
    </row>
    <row r="181" spans="7:26" ht="12.75">
      <c r="G181" s="153">
        <f aca="true" t="shared" si="115" ref="G181:G187">G180+1</f>
        <v>350</v>
      </c>
      <c r="H181" s="153">
        <f t="shared" si="98"/>
        <v>0.08956940220253275</v>
      </c>
      <c r="I181" s="153">
        <f t="shared" si="99"/>
        <v>2.9118712471290484</v>
      </c>
      <c r="J181" s="153">
        <f t="shared" si="100"/>
        <v>1.2698779010429981</v>
      </c>
      <c r="K181" s="153">
        <f t="shared" si="101"/>
        <v>1.2658255832683638</v>
      </c>
      <c r="L181" s="153">
        <f t="shared" si="102"/>
        <v>0.00045657096939147324</v>
      </c>
      <c r="M181" s="153">
        <f t="shared" si="103"/>
        <v>0.5213675213675213</v>
      </c>
      <c r="N181" s="153">
        <f t="shared" si="93"/>
        <v>1.885428378526023</v>
      </c>
      <c r="O181" s="153">
        <f t="shared" si="104"/>
        <v>0.07325223505585884</v>
      </c>
      <c r="P181" s="153">
        <f t="shared" si="105"/>
        <v>0.4215981114274392</v>
      </c>
      <c r="Q181" s="153">
        <f t="shared" si="106"/>
        <v>0.5762935834932701</v>
      </c>
      <c r="R181" s="153">
        <f t="shared" si="107"/>
        <v>0.06779950800763512</v>
      </c>
      <c r="S181" s="153">
        <f t="shared" si="108"/>
        <v>0.7603833865814695</v>
      </c>
      <c r="T181" s="153">
        <f t="shared" si="94"/>
        <v>1.9135951275389922</v>
      </c>
      <c r="U181" s="153">
        <f t="shared" si="109"/>
        <v>1.126749280004855</v>
      </c>
      <c r="V181" s="153">
        <f t="shared" si="110"/>
        <v>3.833263214726713</v>
      </c>
      <c r="W181" s="153">
        <f t="shared" si="95"/>
        <v>1.885428378526023</v>
      </c>
      <c r="X181" s="163">
        <f t="shared" si="111"/>
        <v>4.813664596273291</v>
      </c>
      <c r="Y181" s="163">
        <f t="shared" si="112"/>
        <v>-0.054452173913043474</v>
      </c>
      <c r="Z181" s="164">
        <f t="shared" si="113"/>
        <v>4.620105449146531</v>
      </c>
    </row>
    <row r="182" spans="7:26" ht="12.75">
      <c r="G182" s="154">
        <f t="shared" si="115"/>
        <v>351</v>
      </c>
      <c r="H182" s="154">
        <f t="shared" si="98"/>
        <v>0.08905976225688315</v>
      </c>
      <c r="I182" s="154">
        <f t="shared" si="99"/>
        <v>2.9049998190745496</v>
      </c>
      <c r="J182" s="154">
        <f t="shared" si="100"/>
        <v>1.2626639228908372</v>
      </c>
      <c r="K182" s="154">
        <f t="shared" si="101"/>
        <v>1.2586117458695676</v>
      </c>
      <c r="L182" s="154">
        <f t="shared" si="102"/>
        <v>0.00045657096939147324</v>
      </c>
      <c r="M182" s="154">
        <f t="shared" si="103"/>
        <v>0.5213675213675213</v>
      </c>
      <c r="N182" s="154">
        <f t="shared" si="93"/>
        <v>1.8828379505055217</v>
      </c>
      <c r="O182" s="154">
        <f t="shared" si="104"/>
        <v>0.07325223505585884</v>
      </c>
      <c r="P182" s="154">
        <f t="shared" si="105"/>
        <v>0.416940290719332</v>
      </c>
      <c r="Q182" s="154">
        <f t="shared" si="106"/>
        <v>0.572698188495787</v>
      </c>
      <c r="R182" s="154">
        <f t="shared" si="107"/>
        <v>0.06779950800763512</v>
      </c>
      <c r="S182" s="154">
        <f t="shared" si="108"/>
        <v>0.7603833865814695</v>
      </c>
      <c r="T182" s="154">
        <f t="shared" si="94"/>
        <v>1.911692658807063</v>
      </c>
      <c r="U182" s="154">
        <f t="shared" si="109"/>
        <v>1.1249636695205107</v>
      </c>
      <c r="V182" s="154">
        <f t="shared" si="110"/>
        <v>3.833263214726713</v>
      </c>
      <c r="W182" s="154">
        <f t="shared" si="95"/>
        <v>1.8828379505055217</v>
      </c>
      <c r="X182" s="163">
        <f t="shared" si="111"/>
        <v>4.7999504521243646</v>
      </c>
      <c r="Y182" s="165">
        <f t="shared" si="112"/>
        <v>-0.05429703951443081</v>
      </c>
      <c r="Z182" s="166">
        <f t="shared" si="113"/>
        <v>4.61504253065712</v>
      </c>
    </row>
    <row r="183" spans="7:26" ht="12.75">
      <c r="G183" s="153">
        <f t="shared" si="115"/>
        <v>352</v>
      </c>
      <c r="H183" s="153">
        <f t="shared" si="98"/>
        <v>0.08855445966078787</v>
      </c>
      <c r="I183" s="153">
        <f t="shared" si="99"/>
        <v>2.898167433224906</v>
      </c>
      <c r="J183" s="153">
        <f t="shared" si="100"/>
        <v>1.2555113401320124</v>
      </c>
      <c r="K183" s="153">
        <f t="shared" si="101"/>
        <v>1.2514593026662097</v>
      </c>
      <c r="L183" s="153">
        <f t="shared" si="102"/>
        <v>0.00045657096939147324</v>
      </c>
      <c r="M183" s="153">
        <f t="shared" si="103"/>
        <v>0.5213675213675213</v>
      </c>
      <c r="N183" s="153">
        <f t="shared" si="93"/>
        <v>1.8802597966506172</v>
      </c>
      <c r="O183" s="153">
        <f t="shared" si="104"/>
        <v>0.07325223505585884</v>
      </c>
      <c r="P183" s="153">
        <f t="shared" si="105"/>
        <v>0.4123476355516743</v>
      </c>
      <c r="Q183" s="153">
        <f t="shared" si="106"/>
        <v>0.5691333925222285</v>
      </c>
      <c r="R183" s="153">
        <f t="shared" si="107"/>
        <v>0.06779950800763512</v>
      </c>
      <c r="S183" s="153">
        <f t="shared" si="108"/>
        <v>0.7603833865814695</v>
      </c>
      <c r="T183" s="153">
        <f t="shared" si="94"/>
        <v>1.9097998165198962</v>
      </c>
      <c r="U183" s="153">
        <f t="shared" si="109"/>
        <v>1.123188204550282</v>
      </c>
      <c r="V183" s="153">
        <f t="shared" si="110"/>
        <v>3.833263214726713</v>
      </c>
      <c r="W183" s="153">
        <f t="shared" si="95"/>
        <v>1.8802597966506172</v>
      </c>
      <c r="X183" s="163">
        <f t="shared" si="111"/>
        <v>4.786314229249012</v>
      </c>
      <c r="Y183" s="163">
        <f t="shared" si="112"/>
        <v>-0.05414278656126482</v>
      </c>
      <c r="Z183" s="164">
        <f t="shared" si="113"/>
        <v>4.6099962661172915</v>
      </c>
    </row>
    <row r="184" spans="7:26" ht="12.75">
      <c r="G184" s="154">
        <f t="shared" si="115"/>
        <v>353</v>
      </c>
      <c r="H184" s="154">
        <f t="shared" si="98"/>
        <v>0.08805344533549152</v>
      </c>
      <c r="I184" s="154">
        <f t="shared" si="99"/>
        <v>2.8913737577766767</v>
      </c>
      <c r="J184" s="154">
        <f t="shared" si="100"/>
        <v>1.248419458054361</v>
      </c>
      <c r="K184" s="154">
        <f t="shared" si="101"/>
        <v>1.244367558959682</v>
      </c>
      <c r="L184" s="154">
        <f t="shared" si="102"/>
        <v>0.00045657096939147324</v>
      </c>
      <c r="M184" s="154">
        <f t="shared" si="103"/>
        <v>0.5213675213675213</v>
      </c>
      <c r="N184" s="154">
        <f t="shared" si="93"/>
        <v>1.8776938241918315</v>
      </c>
      <c r="O184" s="154">
        <f t="shared" si="104"/>
        <v>0.07325223505585884</v>
      </c>
      <c r="P184" s="154">
        <f t="shared" si="105"/>
        <v>0.40781904905764366</v>
      </c>
      <c r="Q184" s="154">
        <f t="shared" si="106"/>
        <v>0.5655988493330326</v>
      </c>
      <c r="R184" s="154">
        <f t="shared" si="107"/>
        <v>0.06779950800763512</v>
      </c>
      <c r="S184" s="154">
        <f t="shared" si="108"/>
        <v>0.7603833865814695</v>
      </c>
      <c r="T184" s="154">
        <f t="shared" si="94"/>
        <v>1.9079165274245171</v>
      </c>
      <c r="U184" s="154">
        <f t="shared" si="109"/>
        <v>1.1214227988716694</v>
      </c>
      <c r="V184" s="154">
        <f t="shared" si="110"/>
        <v>3.833263214726713</v>
      </c>
      <c r="W184" s="154">
        <f t="shared" si="95"/>
        <v>1.8776938241918315</v>
      </c>
      <c r="X184" s="163">
        <f t="shared" si="111"/>
        <v>4.772755265426777</v>
      </c>
      <c r="Y184" s="165">
        <f t="shared" si="112"/>
        <v>-0.053989407562507696</v>
      </c>
      <c r="Z184" s="166">
        <f t="shared" si="113"/>
        <v>4.604966547016434</v>
      </c>
    </row>
    <row r="185" spans="7:26" ht="12.75">
      <c r="G185" s="153">
        <f t="shared" si="115"/>
        <v>354</v>
      </c>
      <c r="H185" s="153">
        <f t="shared" si="98"/>
        <v>0.0875566708944609</v>
      </c>
      <c r="I185" s="153">
        <f t="shared" si="99"/>
        <v>2.884618464675613</v>
      </c>
      <c r="J185" s="153">
        <f t="shared" si="100"/>
        <v>1.2413875917441581</v>
      </c>
      <c r="K185" s="153">
        <f t="shared" si="101"/>
        <v>1.2373358298496238</v>
      </c>
      <c r="L185" s="153">
        <f t="shared" si="102"/>
        <v>0.00045657096939147324</v>
      </c>
      <c r="M185" s="153">
        <f t="shared" si="103"/>
        <v>0.5213675213675213</v>
      </c>
      <c r="N185" s="153">
        <f t="shared" si="93"/>
        <v>1.8751399413210406</v>
      </c>
      <c r="O185" s="153">
        <f t="shared" si="104"/>
        <v>0.07325223505585884</v>
      </c>
      <c r="P185" s="153">
        <f t="shared" si="105"/>
        <v>0.40335345589972366</v>
      </c>
      <c r="Q185" s="153">
        <f t="shared" si="106"/>
        <v>0.562094217572109</v>
      </c>
      <c r="R185" s="153">
        <f t="shared" si="107"/>
        <v>0.06779950800763512</v>
      </c>
      <c r="S185" s="153">
        <f t="shared" si="108"/>
        <v>0.7603833865814695</v>
      </c>
      <c r="T185" s="153">
        <f t="shared" si="94"/>
        <v>1.9060427190277736</v>
      </c>
      <c r="U185" s="153">
        <f t="shared" si="109"/>
        <v>1.1196673672364388</v>
      </c>
      <c r="V185" s="153">
        <f t="shared" si="110"/>
        <v>3.833263214726713</v>
      </c>
      <c r="W185" s="153">
        <f t="shared" si="95"/>
        <v>1.8751399413210406</v>
      </c>
      <c r="X185" s="163">
        <f t="shared" si="111"/>
        <v>4.759272905919921</v>
      </c>
      <c r="Y185" s="163">
        <f t="shared" si="112"/>
        <v>-0.05383689511176614</v>
      </c>
      <c r="Z185" s="164">
        <f t="shared" si="113"/>
        <v>4.599953265860195</v>
      </c>
    </row>
    <row r="186" spans="7:26" ht="12.75">
      <c r="G186" s="154">
        <f t="shared" si="115"/>
        <v>355</v>
      </c>
      <c r="H186" s="154">
        <f t="shared" si="98"/>
        <v>0.08706408863170213</v>
      </c>
      <c r="I186" s="154">
        <f t="shared" si="99"/>
        <v>2.8779012295638506</v>
      </c>
      <c r="J186" s="154">
        <f t="shared" si="100"/>
        <v>1.2344150659207467</v>
      </c>
      <c r="K186" s="154">
        <f t="shared" si="101"/>
        <v>1.2303634400685526</v>
      </c>
      <c r="L186" s="154">
        <f t="shared" si="102"/>
        <v>0.00045657096939147324</v>
      </c>
      <c r="M186" s="154">
        <f t="shared" si="103"/>
        <v>0.5213675213675213</v>
      </c>
      <c r="N186" s="154">
        <f t="shared" si="93"/>
        <v>1.8725980571788303</v>
      </c>
      <c r="O186" s="154">
        <f t="shared" si="104"/>
        <v>0.07325223505585884</v>
      </c>
      <c r="P186" s="154">
        <f t="shared" si="105"/>
        <v>0.39894980178754735</v>
      </c>
      <c r="Q186" s="154">
        <f t="shared" si="106"/>
        <v>0.5586191606844184</v>
      </c>
      <c r="R186" s="154">
        <f t="shared" si="107"/>
        <v>0.06779950800763512</v>
      </c>
      <c r="S186" s="154">
        <f t="shared" si="108"/>
        <v>0.7603833865814695</v>
      </c>
      <c r="T186" s="154">
        <f t="shared" si="94"/>
        <v>1.9041783195863333</v>
      </c>
      <c r="U186" s="154">
        <f t="shared" si="109"/>
        <v>1.1179218253568992</v>
      </c>
      <c r="V186" s="154">
        <f t="shared" si="110"/>
        <v>3.833263214726713</v>
      </c>
      <c r="W186" s="154">
        <f t="shared" si="95"/>
        <v>1.8725980571788303</v>
      </c>
      <c r="X186" s="163">
        <f t="shared" si="111"/>
        <v>4.745866503368034</v>
      </c>
      <c r="Y186" s="165">
        <f t="shared" si="112"/>
        <v>-0.053685241886099196</v>
      </c>
      <c r="Z186" s="166">
        <f t="shared" si="113"/>
        <v>4.594956316158114</v>
      </c>
    </row>
    <row r="187" spans="7:26" ht="12.75">
      <c r="G187" s="153">
        <f t="shared" si="115"/>
        <v>356</v>
      </c>
      <c r="H187" s="153">
        <f t="shared" si="98"/>
        <v>0.08657565151030694</v>
      </c>
      <c r="I187" s="153">
        <f t="shared" si="99"/>
        <v>2.8712217317279967</v>
      </c>
      <c r="J187" s="153">
        <f t="shared" si="100"/>
        <v>1.227501214774408</v>
      </c>
      <c r="K187" s="153">
        <f t="shared" si="101"/>
        <v>1.2234497238197406</v>
      </c>
      <c r="L187" s="153">
        <f t="shared" si="102"/>
        <v>0.00045657096939147324</v>
      </c>
      <c r="M187" s="153">
        <f t="shared" si="103"/>
        <v>0.5213675213675213</v>
      </c>
      <c r="N187" s="153">
        <f t="shared" si="93"/>
        <v>1.8700680818420536</v>
      </c>
      <c r="O187" s="153">
        <f t="shared" si="104"/>
        <v>0.07325223505585884</v>
      </c>
      <c r="P187" s="153">
        <f t="shared" si="105"/>
        <v>0.3946070530078599</v>
      </c>
      <c r="Q187" s="153">
        <f t="shared" si="106"/>
        <v>0.5551733468351704</v>
      </c>
      <c r="R187" s="153">
        <f t="shared" si="107"/>
        <v>0.06779950800763512</v>
      </c>
      <c r="S187" s="153">
        <f t="shared" si="108"/>
        <v>0.7603833865814695</v>
      </c>
      <c r="T187" s="153">
        <f t="shared" si="94"/>
        <v>1.9023232580968437</v>
      </c>
      <c r="U187" s="153">
        <f t="shared" si="109"/>
        <v>1.1161860898924136</v>
      </c>
      <c r="V187" s="153">
        <f t="shared" si="110"/>
        <v>3.833263214726713</v>
      </c>
      <c r="W187" s="153">
        <f t="shared" si="95"/>
        <v>1.8700680818420536</v>
      </c>
      <c r="X187" s="163">
        <f t="shared" si="111"/>
        <v>4.732535417684415</v>
      </c>
      <c r="Y187" s="163">
        <f t="shared" si="112"/>
        <v>-0.0535344406448461</v>
      </c>
      <c r="Z187" s="164">
        <f t="shared" si="113"/>
        <v>4.589975592411421</v>
      </c>
    </row>
    <row r="189" ht="12.75">
      <c r="G189" s="148" t="s">
        <v>476</v>
      </c>
    </row>
    <row r="190" spans="7:26" ht="15.75">
      <c r="G190" s="149" t="s">
        <v>477</v>
      </c>
      <c r="H190" s="149" t="s">
        <v>131</v>
      </c>
      <c r="I190" s="149" t="s">
        <v>321</v>
      </c>
      <c r="J190" s="150" t="s">
        <v>454</v>
      </c>
      <c r="K190" s="150" t="s">
        <v>455</v>
      </c>
      <c r="L190" s="150" t="s">
        <v>456</v>
      </c>
      <c r="M190" s="150" t="s">
        <v>457</v>
      </c>
      <c r="N190" s="151" t="s">
        <v>322</v>
      </c>
      <c r="O190" s="150" t="s">
        <v>458</v>
      </c>
      <c r="P190" s="150" t="s">
        <v>459</v>
      </c>
      <c r="Q190" s="150" t="s">
        <v>460</v>
      </c>
      <c r="R190" s="150" t="s">
        <v>461</v>
      </c>
      <c r="S190" s="150" t="s">
        <v>462</v>
      </c>
      <c r="T190" s="150" t="s">
        <v>340</v>
      </c>
      <c r="U190" s="150" t="s">
        <v>345</v>
      </c>
      <c r="V190" s="150" t="s">
        <v>348</v>
      </c>
      <c r="W190" s="152" t="s">
        <v>132</v>
      </c>
      <c r="X190" s="167" t="s">
        <v>479</v>
      </c>
      <c r="Y190" s="167" t="s">
        <v>480</v>
      </c>
      <c r="Z190" s="168" t="s">
        <v>481</v>
      </c>
    </row>
    <row r="191" spans="7:26" ht="12.75">
      <c r="G191" s="153">
        <v>1</v>
      </c>
      <c r="H191" s="153">
        <f aca="true" t="shared" si="116" ref="H191:H222">(((G191/100)*Iout)*(Vout_nom^2)*2.5*Rsense*K_1)/(eff*(Vline^2)*K_FQ)*us</f>
        <v>0.0022669941673161705</v>
      </c>
      <c r="I191" s="153">
        <f aca="true" t="shared" si="117" ref="I191:I222">(1*10^-9*(5*10^8*SQRT(fsw*kHz)+(1.09655978*10^10)*SQRT(ftyp)*SQRT(H191)))/SQRT(fsw*kHz)</f>
        <v>0.883706789315985</v>
      </c>
      <c r="J191" s="153">
        <f aca="true" t="shared" si="118" ref="J191:J222">(b_1^3/(27*a_1^3))-(d_1^3/27)+SQRT((ftyp)^2*H191^2/(4*a_1^2*c_1^2*(fsw*kHz)^2))+(b_1^3*(ftyp)*H191/(27*a_1^4*c_1*(fsw*kHz))-(d_1^3*(ftyp)*H191/(27*a_1*c_1*(fsw*kHz)))+(b_1*d_1^2*(ftyp)*H191/(9*a_1^2*c_1*(fsw*kHz)))-(b_1^2*d_1*(ftyp)*H191/(9*a_1^3*c_1*(fsw*kHz))))</f>
        <v>0.03410808046043149</v>
      </c>
      <c r="K191" s="153">
        <f aca="true" t="shared" si="119" ref="K191:K222">(b_1*d_1^2/(9*a_1))-(b_1^2*d_1/(9*a_1^2))+(ftyp*H191/(2*a_1*c_1*fsw*kHz))</f>
        <v>0.03007987403692473</v>
      </c>
      <c r="L191" s="153">
        <f aca="true" t="shared" si="120" ref="L191:L222">(d_1^2/9)+(b_1^2/(9*a_1^2))-(2*b_1*d_1/(9*a_1))</f>
        <v>0.00045657096939147324</v>
      </c>
      <c r="M191" s="153">
        <f aca="true" t="shared" si="121" ref="M191:M222">((b_1*c_1*fsw*kHz)+(2*a_1*c_1*d_1*fsw*kHz))/(3*a_1*c_1*fsw*kHz)</f>
        <v>0.5213675213675213</v>
      </c>
      <c r="N191" s="153">
        <f>(J191+K191)^(1/3)+(L191/(J191^(1/3)))+M191</f>
        <v>0.923166558862007</v>
      </c>
      <c r="O191" s="153">
        <f aca="true" t="shared" si="122" ref="O191:O222">(b_2^3/(27*a_2^3))-(d_2^3/27)</f>
        <v>0.07325223505585884</v>
      </c>
      <c r="P191" s="153">
        <f aca="true" t="shared" si="123" ref="P191:P222">(ftyp^2*H191^2/(4*a_2^2*c_2^2*(fsw*kHz)^2))+(b_2^3*ftyp*H191/(27*a_2^4*c_2*(fsw*kHz)))-(d_2^3*ftyp*H191/(27*a_2*c_2*(fsw*kHz)))+(b_2*d_2^2*ftyp*H191/(9*a_2^2*c_2*(fsw*kHz)))-(b_2^2*d_2*ftyp*H191/(9*a_2^3*c_2*(fsw*kHz)))</f>
        <v>0.0008204615484238621</v>
      </c>
      <c r="Q191" s="153">
        <f aca="true" t="shared" si="124" ref="Q191:Q222">(b_2*d_2^2/(9*a_2))-(b_2^2*d_2/(9*a_2^2))+(ftyp*H191/(2*a_2*c_2*(fsw*kHz)))</f>
        <v>-0.0396052364431661</v>
      </c>
      <c r="R191" s="153">
        <f aca="true" t="shared" si="125" ref="R191:R222">(d_2^2/9)+(b_2^2/(9*a_2^2))-(2*b_2*d_2/(9*a_2))</f>
        <v>0.06779950800763512</v>
      </c>
      <c r="S191" s="153">
        <f aca="true" t="shared" si="126" ref="S191:S222">(b_2*c_2*(fsw*kHz)+2*a_2*c_2*d_2*(fsw*kHz))/(3*a_2*c_2*(fsw*kHz))</f>
        <v>0.7603833865814695</v>
      </c>
      <c r="T191" s="153">
        <f>((O191+SQRT(P191)+Q191)^(1/3))+(R191/((O191+SQRT(P191)+Q191)^(1/3)))+S191</f>
        <v>1.3278253507546895</v>
      </c>
      <c r="U191" s="153">
        <f aca="true" t="shared" si="127" ref="U191:U222">c_3+(SQRT(ftyp)*SQRT(H191)/(SQRT(a_3)*SQRT(b_3)*SQRT(fsw*kHz)))</f>
        <v>0.5997101127280452</v>
      </c>
      <c r="V191" s="153">
        <f aca="true" t="shared" si="128" ref="V191:V222">(a_4*(fsw*kHz)*b_4/ftyp)</f>
        <v>3.833263214726713</v>
      </c>
      <c r="W191" s="153">
        <f aca="true" t="shared" si="129" ref="W191:W222">IF(I191&gt;=0.5,IF(I191&lt;1,I191,IF(N191&gt;=1,IF(N191&lt;2,N191,IF(VCOMP3&gt;=2,IF(T191&lt;4.5,T191,IF(U191&gt;=4.5,IF(U191&lt;4.6,U191,V191))))))))</f>
        <v>0.883706789315985</v>
      </c>
      <c r="X191" s="169">
        <f aca="true" t="shared" si="130" ref="X191:X222">Pin_max*G191/(Vline*100)</f>
        <v>0.07658102766798418</v>
      </c>
      <c r="Y191" s="169">
        <f aca="true" t="shared" si="131" ref="Y191:Y222">-Rsense*X191*1.414</f>
        <v>-0.0008662845849802369</v>
      </c>
      <c r="Z191" s="170">
        <f aca="true" t="shared" si="132" ref="Z191:Z222">MIN(6,MAX(0.5,Beta*G*($Y191-Voff_trim)/(MAX(0,MIN(4.5,W191)-Alpha1_A)+MAX(0,MIN(4.5,W191)-Alpha1_B)-Alpha1_C)+Alpha2))</f>
        <v>0.5</v>
      </c>
    </row>
    <row r="192" spans="7:26" ht="12.75">
      <c r="G192" s="154">
        <v>2</v>
      </c>
      <c r="H192" s="154">
        <f t="shared" si="116"/>
        <v>0.004533988334632341</v>
      </c>
      <c r="I192" s="154">
        <f t="shared" si="117"/>
        <v>1.042643345425302</v>
      </c>
      <c r="J192" s="154">
        <f t="shared" si="118"/>
        <v>0.06619749286559619</v>
      </c>
      <c r="K192" s="154">
        <f t="shared" si="119"/>
        <v>0.06216866033917198</v>
      </c>
      <c r="L192" s="154">
        <f t="shared" si="120"/>
        <v>0.00045657096939147324</v>
      </c>
      <c r="M192" s="154">
        <f t="shared" si="121"/>
        <v>0.5213675213675213</v>
      </c>
      <c r="N192" s="154">
        <f aca="true" t="shared" si="133" ref="N192:N255">(J192+K192)^(1/3)+(L192/(J192^(1/3)))+M192</f>
        <v>1.0269446845583052</v>
      </c>
      <c r="O192" s="154">
        <f t="shared" si="122"/>
        <v>0.07325223505585884</v>
      </c>
      <c r="P192" s="154">
        <f t="shared" si="123"/>
        <v>0.0021524837101389678</v>
      </c>
      <c r="Q192" s="154">
        <f t="shared" si="124"/>
        <v>-0.023612103334058852</v>
      </c>
      <c r="R192" s="154">
        <f t="shared" si="125"/>
        <v>0.06779950800763512</v>
      </c>
      <c r="S192" s="154">
        <f t="shared" si="126"/>
        <v>0.7603833865814695</v>
      </c>
      <c r="T192" s="154">
        <f aca="true" t="shared" si="134" ref="T192:T255">((O192+SQRT(P192)+Q192)^(1/3))+(R192/((O192+SQRT(P192)+Q192)^(1/3)))+S192</f>
        <v>1.3663775455426233</v>
      </c>
      <c r="U192" s="154">
        <f t="shared" si="127"/>
        <v>0.6410113937257516</v>
      </c>
      <c r="V192" s="154">
        <f t="shared" si="128"/>
        <v>3.833263214726713</v>
      </c>
      <c r="W192" s="154">
        <f t="shared" si="129"/>
        <v>1.0269446845583052</v>
      </c>
      <c r="X192" s="171">
        <f t="shared" si="130"/>
        <v>0.15316205533596836</v>
      </c>
      <c r="Y192" s="171">
        <f t="shared" si="131"/>
        <v>-0.0017325691699604739</v>
      </c>
      <c r="Z192" s="172">
        <f t="shared" si="132"/>
        <v>0.5</v>
      </c>
    </row>
    <row r="193" spans="7:26" ht="12.75">
      <c r="G193" s="153">
        <v>3</v>
      </c>
      <c r="H193" s="153">
        <f t="shared" si="116"/>
        <v>0.0068009825019485085</v>
      </c>
      <c r="I193" s="153">
        <f t="shared" si="117"/>
        <v>1.1645996543044128</v>
      </c>
      <c r="J193" s="153">
        <f t="shared" si="118"/>
        <v>0.09828690527076084</v>
      </c>
      <c r="K193" s="153">
        <f t="shared" si="119"/>
        <v>0.09425744664141918</v>
      </c>
      <c r="L193" s="153">
        <f t="shared" si="120"/>
        <v>0.00045657096939147324</v>
      </c>
      <c r="M193" s="153">
        <f t="shared" si="121"/>
        <v>0.5213675213675213</v>
      </c>
      <c r="N193" s="153">
        <f t="shared" si="133"/>
        <v>1.0998013716705062</v>
      </c>
      <c r="O193" s="153">
        <f t="shared" si="122"/>
        <v>0.07325223505585884</v>
      </c>
      <c r="P193" s="153">
        <f t="shared" si="123"/>
        <v>0.003996066485145319</v>
      </c>
      <c r="Q193" s="153">
        <f t="shared" si="124"/>
        <v>-0.007618970224951616</v>
      </c>
      <c r="R193" s="153">
        <f t="shared" si="125"/>
        <v>0.06779950800763512</v>
      </c>
      <c r="S193" s="153">
        <f t="shared" si="126"/>
        <v>0.7603833865814695</v>
      </c>
      <c r="T193" s="153">
        <f t="shared" si="134"/>
        <v>1.3996974914218772</v>
      </c>
      <c r="U193" s="153">
        <f t="shared" si="127"/>
        <v>0.6727029812733943</v>
      </c>
      <c r="V193" s="153">
        <f t="shared" si="128"/>
        <v>3.833263214726713</v>
      </c>
      <c r="W193" s="153">
        <f t="shared" si="129"/>
        <v>1.0998013716705062</v>
      </c>
      <c r="X193" s="169">
        <f t="shared" si="130"/>
        <v>0.22974308300395255</v>
      </c>
      <c r="Y193" s="169">
        <f t="shared" si="131"/>
        <v>-0.0025988537549407114</v>
      </c>
      <c r="Z193" s="170">
        <f t="shared" si="132"/>
        <v>0.5</v>
      </c>
    </row>
    <row r="194" spans="7:26" ht="12.75">
      <c r="G194" s="154">
        <v>4</v>
      </c>
      <c r="H194" s="154">
        <f t="shared" si="116"/>
        <v>0.009067976669264682</v>
      </c>
      <c r="I194" s="154">
        <f t="shared" si="117"/>
        <v>1.26741357863197</v>
      </c>
      <c r="J194" s="154">
        <f t="shared" si="118"/>
        <v>0.1303763176759256</v>
      </c>
      <c r="K194" s="154">
        <f t="shared" si="119"/>
        <v>0.12634623294366648</v>
      </c>
      <c r="L194" s="154">
        <f t="shared" si="120"/>
        <v>0.00045657096939147324</v>
      </c>
      <c r="M194" s="154">
        <f t="shared" si="121"/>
        <v>0.5213675213675213</v>
      </c>
      <c r="N194" s="154">
        <f t="shared" si="133"/>
        <v>1.157825178799156</v>
      </c>
      <c r="O194" s="154">
        <f t="shared" si="122"/>
        <v>0.07325223505585884</v>
      </c>
      <c r="P194" s="154">
        <f t="shared" si="123"/>
        <v>0.006351209873442917</v>
      </c>
      <c r="Q194" s="154">
        <f t="shared" si="124"/>
        <v>0.008374162884155656</v>
      </c>
      <c r="R194" s="154">
        <f t="shared" si="125"/>
        <v>0.06779950800763512</v>
      </c>
      <c r="S194" s="154">
        <f t="shared" si="126"/>
        <v>0.7603833865814695</v>
      </c>
      <c r="T194" s="154">
        <f t="shared" si="134"/>
        <v>1.4293027099699185</v>
      </c>
      <c r="U194" s="154">
        <f t="shared" si="127"/>
        <v>0.6994202254560903</v>
      </c>
      <c r="V194" s="154">
        <f t="shared" si="128"/>
        <v>3.833263214726713</v>
      </c>
      <c r="W194" s="154">
        <f t="shared" si="129"/>
        <v>1.157825178799156</v>
      </c>
      <c r="X194" s="171">
        <f t="shared" si="130"/>
        <v>0.3063241106719367</v>
      </c>
      <c r="Y194" s="171">
        <f t="shared" si="131"/>
        <v>-0.0034651383399209477</v>
      </c>
      <c r="Z194" s="172">
        <f t="shared" si="132"/>
        <v>0.5</v>
      </c>
    </row>
    <row r="195" spans="7:26" ht="12.75">
      <c r="G195" s="153">
        <v>5</v>
      </c>
      <c r="H195" s="153">
        <f t="shared" si="116"/>
        <v>0.011334970836580853</v>
      </c>
      <c r="I195" s="153">
        <f t="shared" si="117"/>
        <v>1.3579944643387327</v>
      </c>
      <c r="J195" s="153">
        <f t="shared" si="118"/>
        <v>0.1624657300810903</v>
      </c>
      <c r="K195" s="153">
        <f t="shared" si="119"/>
        <v>0.15843501924591372</v>
      </c>
      <c r="L195" s="153">
        <f t="shared" si="120"/>
        <v>0.00045657096939147324</v>
      </c>
      <c r="M195" s="153">
        <f t="shared" si="121"/>
        <v>0.5213675213675213</v>
      </c>
      <c r="N195" s="153">
        <f t="shared" si="133"/>
        <v>1.2068358082369959</v>
      </c>
      <c r="O195" s="153">
        <f t="shared" si="122"/>
        <v>0.07325223505585884</v>
      </c>
      <c r="P195" s="153">
        <f t="shared" si="123"/>
        <v>0.00921791387503176</v>
      </c>
      <c r="Q195" s="153">
        <f t="shared" si="124"/>
        <v>0.024367295993262914</v>
      </c>
      <c r="R195" s="153">
        <f t="shared" si="125"/>
        <v>0.06779950800763512</v>
      </c>
      <c r="S195" s="153">
        <f t="shared" si="126"/>
        <v>0.7603833865814695</v>
      </c>
      <c r="T195" s="153">
        <f t="shared" si="134"/>
        <v>1.4561039415621924</v>
      </c>
      <c r="U195" s="153">
        <f t="shared" si="127"/>
        <v>0.7229585901040759</v>
      </c>
      <c r="V195" s="153">
        <f t="shared" si="128"/>
        <v>3.833263214726713</v>
      </c>
      <c r="W195" s="153">
        <f t="shared" si="129"/>
        <v>1.2068358082369959</v>
      </c>
      <c r="X195" s="169">
        <f t="shared" si="130"/>
        <v>0.3829051383399209</v>
      </c>
      <c r="Y195" s="169">
        <f t="shared" si="131"/>
        <v>-0.004331422924901185</v>
      </c>
      <c r="Z195" s="170">
        <f t="shared" si="132"/>
        <v>0.5</v>
      </c>
    </row>
    <row r="196" spans="6:26" ht="12.75">
      <c r="F196" s="156"/>
      <c r="G196" s="154">
        <v>6</v>
      </c>
      <c r="H196" s="154">
        <f t="shared" si="116"/>
        <v>0.013601965003897017</v>
      </c>
      <c r="I196" s="154">
        <f t="shared" si="117"/>
        <v>1.4398858446657712</v>
      </c>
      <c r="J196" s="154">
        <f t="shared" si="118"/>
        <v>0.1945551424862549</v>
      </c>
      <c r="K196" s="154">
        <f t="shared" si="119"/>
        <v>0.19052380554816087</v>
      </c>
      <c r="L196" s="154">
        <f t="shared" si="120"/>
        <v>0.00045657096939147324</v>
      </c>
      <c r="M196" s="154">
        <f t="shared" si="121"/>
        <v>0.5213675213675213</v>
      </c>
      <c r="N196" s="154">
        <f t="shared" si="133"/>
        <v>1.249683820043011</v>
      </c>
      <c r="O196" s="154">
        <f t="shared" si="122"/>
        <v>0.07325223505585884</v>
      </c>
      <c r="P196" s="154">
        <f t="shared" si="123"/>
        <v>0.01259617848991184</v>
      </c>
      <c r="Q196" s="154">
        <f t="shared" si="124"/>
        <v>0.04036042910237013</v>
      </c>
      <c r="R196" s="154">
        <f t="shared" si="125"/>
        <v>0.06779950800763512</v>
      </c>
      <c r="S196" s="154">
        <f t="shared" si="126"/>
        <v>0.7603833865814695</v>
      </c>
      <c r="T196" s="154">
        <f t="shared" si="134"/>
        <v>1.4806970813333384</v>
      </c>
      <c r="U196" s="154">
        <f t="shared" si="127"/>
        <v>0.744238898379101</v>
      </c>
      <c r="V196" s="154">
        <f t="shared" si="128"/>
        <v>3.833263214726713</v>
      </c>
      <c r="W196" s="154">
        <f t="shared" si="129"/>
        <v>1.249683820043011</v>
      </c>
      <c r="X196" s="171">
        <f t="shared" si="130"/>
        <v>0.4594861660079051</v>
      </c>
      <c r="Y196" s="171">
        <f t="shared" si="131"/>
        <v>-0.005197707509881423</v>
      </c>
      <c r="Z196" s="172">
        <f t="shared" si="132"/>
        <v>0.5</v>
      </c>
    </row>
    <row r="197" spans="7:26" ht="12.75">
      <c r="G197" s="153">
        <v>7</v>
      </c>
      <c r="H197" s="153">
        <f t="shared" si="116"/>
        <v>0.01586895917121319</v>
      </c>
      <c r="I197" s="153">
        <f t="shared" si="117"/>
        <v>1.5151927408971522</v>
      </c>
      <c r="J197" s="153">
        <f t="shared" si="118"/>
        <v>0.22664455489141971</v>
      </c>
      <c r="K197" s="153">
        <f t="shared" si="119"/>
        <v>0.22261259185040816</v>
      </c>
      <c r="L197" s="153">
        <f t="shared" si="120"/>
        <v>0.00045657096939147324</v>
      </c>
      <c r="M197" s="153">
        <f t="shared" si="121"/>
        <v>0.5213675213675213</v>
      </c>
      <c r="N197" s="153">
        <f t="shared" si="133"/>
        <v>1.2880038979863706</v>
      </c>
      <c r="O197" s="153">
        <f t="shared" si="122"/>
        <v>0.07325223505585884</v>
      </c>
      <c r="P197" s="153">
        <f t="shared" si="123"/>
        <v>0.01648600371808318</v>
      </c>
      <c r="Q197" s="153">
        <f t="shared" si="124"/>
        <v>0.0563535622114774</v>
      </c>
      <c r="R197" s="153">
        <f t="shared" si="125"/>
        <v>0.06779950800763512</v>
      </c>
      <c r="S197" s="153">
        <f t="shared" si="126"/>
        <v>0.7603833865814695</v>
      </c>
      <c r="T197" s="153">
        <f t="shared" si="134"/>
        <v>1.5034964566603906</v>
      </c>
      <c r="U197" s="153">
        <f t="shared" si="127"/>
        <v>0.7638081614766234</v>
      </c>
      <c r="V197" s="153">
        <f t="shared" si="128"/>
        <v>3.833263214726713</v>
      </c>
      <c r="W197" s="153">
        <f t="shared" si="129"/>
        <v>1.2880038979863706</v>
      </c>
      <c r="X197" s="169">
        <f t="shared" si="130"/>
        <v>0.5360671936758893</v>
      </c>
      <c r="Y197" s="169">
        <f t="shared" si="131"/>
        <v>-0.00606399209486166</v>
      </c>
      <c r="Z197" s="170">
        <f t="shared" si="132"/>
        <v>0.5504087271141327</v>
      </c>
    </row>
    <row r="198" spans="7:26" ht="12.75">
      <c r="G198" s="154">
        <v>8</v>
      </c>
      <c r="H198" s="154">
        <f t="shared" si="116"/>
        <v>0.018135953338529364</v>
      </c>
      <c r="I198" s="154">
        <f t="shared" si="117"/>
        <v>1.5852866908506036</v>
      </c>
      <c r="J198" s="154">
        <f t="shared" si="118"/>
        <v>0.25873396729658443</v>
      </c>
      <c r="K198" s="154">
        <f t="shared" si="119"/>
        <v>0.2547013781526555</v>
      </c>
      <c r="L198" s="154">
        <f t="shared" si="120"/>
        <v>0.00045657096939147324</v>
      </c>
      <c r="M198" s="154">
        <f t="shared" si="121"/>
        <v>0.5213675213675213</v>
      </c>
      <c r="N198" s="154">
        <f t="shared" si="133"/>
        <v>1.3228309121872819</v>
      </c>
      <c r="O198" s="154">
        <f t="shared" si="122"/>
        <v>0.07325223505585884</v>
      </c>
      <c r="P198" s="154">
        <f t="shared" si="123"/>
        <v>0.02088738955954576</v>
      </c>
      <c r="Q198" s="154">
        <f t="shared" si="124"/>
        <v>0.07234669532058467</v>
      </c>
      <c r="R198" s="154">
        <f t="shared" si="125"/>
        <v>0.06779950800763512</v>
      </c>
      <c r="S198" s="154">
        <f t="shared" si="126"/>
        <v>0.7603833865814695</v>
      </c>
      <c r="T198" s="154">
        <f t="shared" si="134"/>
        <v>1.524803486698942</v>
      </c>
      <c r="U198" s="154">
        <f t="shared" si="127"/>
        <v>0.7820227874515031</v>
      </c>
      <c r="V198" s="154">
        <f t="shared" si="128"/>
        <v>3.833263214726713</v>
      </c>
      <c r="W198" s="154">
        <f t="shared" si="129"/>
        <v>1.3228309121872819</v>
      </c>
      <c r="X198" s="171">
        <f t="shared" si="130"/>
        <v>0.6126482213438734</v>
      </c>
      <c r="Y198" s="171">
        <f t="shared" si="131"/>
        <v>-0.006930276679841895</v>
      </c>
      <c r="Z198" s="172">
        <f t="shared" si="132"/>
        <v>0.6755790043203292</v>
      </c>
    </row>
    <row r="199" spans="7:26" ht="12.75">
      <c r="G199" s="153">
        <v>9</v>
      </c>
      <c r="H199" s="153">
        <f t="shared" si="116"/>
        <v>0.020402947505845526</v>
      </c>
      <c r="I199" s="153">
        <f t="shared" si="117"/>
        <v>1.6511203679479547</v>
      </c>
      <c r="J199" s="153">
        <f t="shared" si="118"/>
        <v>0.29082337970174904</v>
      </c>
      <c r="K199" s="153">
        <f t="shared" si="119"/>
        <v>0.2867901644549025</v>
      </c>
      <c r="L199" s="153">
        <f t="shared" si="120"/>
        <v>0.00045657096939147324</v>
      </c>
      <c r="M199" s="153">
        <f t="shared" si="121"/>
        <v>0.5213675213675213</v>
      </c>
      <c r="N199" s="153">
        <f t="shared" si="133"/>
        <v>1.3548663750106507</v>
      </c>
      <c r="O199" s="153">
        <f t="shared" si="122"/>
        <v>0.07325223505585884</v>
      </c>
      <c r="P199" s="153">
        <f t="shared" si="123"/>
        <v>0.025800336014299572</v>
      </c>
      <c r="Q199" s="153">
        <f t="shared" si="124"/>
        <v>0.08833982842969186</v>
      </c>
      <c r="R199" s="153">
        <f t="shared" si="125"/>
        <v>0.06779950800763512</v>
      </c>
      <c r="S199" s="153">
        <f t="shared" si="126"/>
        <v>0.7603833865814695</v>
      </c>
      <c r="T199" s="153">
        <f t="shared" si="134"/>
        <v>1.5448452773667416</v>
      </c>
      <c r="U199" s="153">
        <f t="shared" si="127"/>
        <v>0.7991303381841354</v>
      </c>
      <c r="V199" s="153">
        <f t="shared" si="128"/>
        <v>3.833263214726713</v>
      </c>
      <c r="W199" s="153">
        <f t="shared" si="129"/>
        <v>1.3548663750106507</v>
      </c>
      <c r="X199" s="169">
        <f t="shared" si="130"/>
        <v>0.6892292490118577</v>
      </c>
      <c r="Y199" s="169">
        <f t="shared" si="131"/>
        <v>-0.0077965612648221334</v>
      </c>
      <c r="Z199" s="170">
        <f t="shared" si="132"/>
        <v>0.7908055771734253</v>
      </c>
    </row>
    <row r="200" spans="7:26" ht="12.75">
      <c r="G200" s="154">
        <v>10</v>
      </c>
      <c r="H200" s="154">
        <f t="shared" si="116"/>
        <v>0.022669941673161706</v>
      </c>
      <c r="I200" s="154">
        <f t="shared" si="117"/>
        <v>1.7133874079088744</v>
      </c>
      <c r="J200" s="154">
        <f t="shared" si="118"/>
        <v>0.3229127921069138</v>
      </c>
      <c r="K200" s="154">
        <f t="shared" si="119"/>
        <v>0.31887895075714995</v>
      </c>
      <c r="L200" s="154">
        <f t="shared" si="120"/>
        <v>0.00045657096939147324</v>
      </c>
      <c r="M200" s="154">
        <f t="shared" si="121"/>
        <v>0.5213675213675213</v>
      </c>
      <c r="N200" s="154">
        <f t="shared" si="133"/>
        <v>1.3846103526083038</v>
      </c>
      <c r="O200" s="154">
        <f t="shared" si="122"/>
        <v>0.07325223505585884</v>
      </c>
      <c r="P200" s="154">
        <f t="shared" si="123"/>
        <v>0.031224843082344647</v>
      </c>
      <c r="Q200" s="154">
        <f t="shared" si="124"/>
        <v>0.10433296153879919</v>
      </c>
      <c r="R200" s="154">
        <f t="shared" si="125"/>
        <v>0.06779950800763512</v>
      </c>
      <c r="S200" s="154">
        <f t="shared" si="126"/>
        <v>0.7603833865814695</v>
      </c>
      <c r="T200" s="154">
        <f t="shared" si="134"/>
        <v>1.5637978033249555</v>
      </c>
      <c r="U200" s="154">
        <f t="shared" si="127"/>
        <v>0.8153110619727679</v>
      </c>
      <c r="V200" s="154">
        <f t="shared" si="128"/>
        <v>3.833263214726713</v>
      </c>
      <c r="W200" s="154">
        <f t="shared" si="129"/>
        <v>1.3846103526083038</v>
      </c>
      <c r="X200" s="171">
        <f t="shared" si="130"/>
        <v>0.7658102766798418</v>
      </c>
      <c r="Y200" s="171">
        <f t="shared" si="131"/>
        <v>-0.00866284584980237</v>
      </c>
      <c r="Z200" s="172">
        <f t="shared" si="132"/>
        <v>0.8981837431935737</v>
      </c>
    </row>
    <row r="201" spans="7:26" ht="12.75">
      <c r="G201" s="153">
        <v>11</v>
      </c>
      <c r="H201" s="153">
        <f t="shared" si="116"/>
        <v>0.024936935840477868</v>
      </c>
      <c r="I201" s="153">
        <f t="shared" si="117"/>
        <v>1.7726114496730723</v>
      </c>
      <c r="J201" s="153">
        <f t="shared" si="118"/>
        <v>0.3550022045120784</v>
      </c>
      <c r="K201" s="153">
        <f t="shared" si="119"/>
        <v>0.35096773705939704</v>
      </c>
      <c r="L201" s="153">
        <f t="shared" si="120"/>
        <v>0.00045657096939147324</v>
      </c>
      <c r="M201" s="153">
        <f t="shared" si="121"/>
        <v>0.5213675213675213</v>
      </c>
      <c r="N201" s="153">
        <f t="shared" si="133"/>
        <v>1.412433349968759</v>
      </c>
      <c r="O201" s="153">
        <f t="shared" si="122"/>
        <v>0.07325223505585884</v>
      </c>
      <c r="P201" s="153">
        <f t="shared" si="123"/>
        <v>0.03716091076368094</v>
      </c>
      <c r="Q201" s="153">
        <f t="shared" si="124"/>
        <v>0.12032609464790638</v>
      </c>
      <c r="R201" s="153">
        <f t="shared" si="125"/>
        <v>0.06779950800763512</v>
      </c>
      <c r="S201" s="153">
        <f t="shared" si="126"/>
        <v>0.7603833865814695</v>
      </c>
      <c r="T201" s="153">
        <f t="shared" si="134"/>
        <v>1.5818005788961966</v>
      </c>
      <c r="U201" s="153">
        <f t="shared" si="127"/>
        <v>0.8307010317229659</v>
      </c>
      <c r="V201" s="153">
        <f t="shared" si="128"/>
        <v>3.833263214726713</v>
      </c>
      <c r="W201" s="153">
        <f t="shared" si="129"/>
        <v>1.412433349968759</v>
      </c>
      <c r="X201" s="169">
        <f t="shared" si="130"/>
        <v>0.842391304347826</v>
      </c>
      <c r="Y201" s="169">
        <f t="shared" si="131"/>
        <v>-0.009529130434782608</v>
      </c>
      <c r="Z201" s="170">
        <f t="shared" si="132"/>
        <v>0.999189017629835</v>
      </c>
    </row>
    <row r="202" spans="7:26" ht="12.75">
      <c r="G202" s="154">
        <v>12</v>
      </c>
      <c r="H202" s="154">
        <f t="shared" si="116"/>
        <v>0.027203930007794034</v>
      </c>
      <c r="I202" s="154">
        <f t="shared" si="117"/>
        <v>1.829199308608826</v>
      </c>
      <c r="J202" s="154">
        <f t="shared" si="118"/>
        <v>0.38709161691724303</v>
      </c>
      <c r="K202" s="154">
        <f t="shared" si="119"/>
        <v>0.38305652336164425</v>
      </c>
      <c r="L202" s="154">
        <f t="shared" si="120"/>
        <v>0.00045657096939147324</v>
      </c>
      <c r="M202" s="154">
        <f t="shared" si="121"/>
        <v>0.5213675213675213</v>
      </c>
      <c r="N202" s="154">
        <f t="shared" si="133"/>
        <v>1.4386184173207095</v>
      </c>
      <c r="O202" s="154">
        <f t="shared" si="122"/>
        <v>0.07325223505585884</v>
      </c>
      <c r="P202" s="154">
        <f t="shared" si="123"/>
        <v>0.0436085390583085</v>
      </c>
      <c r="Q202" s="154">
        <f t="shared" si="124"/>
        <v>0.1363192277570136</v>
      </c>
      <c r="R202" s="154">
        <f t="shared" si="125"/>
        <v>0.06779950800763512</v>
      </c>
      <c r="S202" s="154">
        <f t="shared" si="126"/>
        <v>0.7603833865814695</v>
      </c>
      <c r="T202" s="154">
        <f t="shared" si="134"/>
        <v>1.5989663439123623</v>
      </c>
      <c r="U202" s="154">
        <f t="shared" si="127"/>
        <v>0.8454059625467887</v>
      </c>
      <c r="V202" s="154">
        <f t="shared" si="128"/>
        <v>3.833263214726713</v>
      </c>
      <c r="W202" s="154">
        <f t="shared" si="129"/>
        <v>1.4386184173207095</v>
      </c>
      <c r="X202" s="171">
        <f t="shared" si="130"/>
        <v>0.9189723320158102</v>
      </c>
      <c r="Y202" s="171">
        <f t="shared" si="131"/>
        <v>-0.010395415019762846</v>
      </c>
      <c r="Z202" s="172">
        <f t="shared" si="132"/>
        <v>1.0949011003759388</v>
      </c>
    </row>
    <row r="203" spans="7:26" ht="12.75">
      <c r="G203" s="153">
        <v>13</v>
      </c>
      <c r="H203" s="153">
        <f t="shared" si="116"/>
        <v>0.029470924175110207</v>
      </c>
      <c r="I203" s="153">
        <f t="shared" si="117"/>
        <v>1.8834745036224418</v>
      </c>
      <c r="J203" s="153">
        <f t="shared" si="118"/>
        <v>0.4191810293224078</v>
      </c>
      <c r="K203" s="153">
        <f t="shared" si="119"/>
        <v>0.4151453096638915</v>
      </c>
      <c r="L203" s="153">
        <f t="shared" si="120"/>
        <v>0.00045657096939147324</v>
      </c>
      <c r="M203" s="153">
        <f t="shared" si="121"/>
        <v>0.5213675213675213</v>
      </c>
      <c r="N203" s="153">
        <f t="shared" si="133"/>
        <v>1.463387246145476</v>
      </c>
      <c r="O203" s="153">
        <f t="shared" si="122"/>
        <v>0.07325223505585884</v>
      </c>
      <c r="P203" s="153">
        <f t="shared" si="123"/>
        <v>0.0505677279662273</v>
      </c>
      <c r="Q203" s="153">
        <f t="shared" si="124"/>
        <v>0.15231236086612088</v>
      </c>
      <c r="R203" s="153">
        <f t="shared" si="125"/>
        <v>0.06779950800763512</v>
      </c>
      <c r="S203" s="153">
        <f t="shared" si="126"/>
        <v>0.7603833865814695</v>
      </c>
      <c r="T203" s="153">
        <f t="shared" si="134"/>
        <v>1.6153876861931042</v>
      </c>
      <c r="U203" s="153">
        <f t="shared" si="127"/>
        <v>0.8595099241232613</v>
      </c>
      <c r="V203" s="153">
        <f t="shared" si="128"/>
        <v>3.833263214726713</v>
      </c>
      <c r="W203" s="153">
        <f t="shared" si="129"/>
        <v>1.463387246145476</v>
      </c>
      <c r="X203" s="169">
        <f t="shared" si="130"/>
        <v>0.9955533596837943</v>
      </c>
      <c r="Y203" s="169">
        <f t="shared" si="131"/>
        <v>-0.011261699604743082</v>
      </c>
      <c r="Z203" s="170">
        <f t="shared" si="132"/>
        <v>1.1861349515940156</v>
      </c>
    </row>
    <row r="204" spans="7:26" ht="12.75">
      <c r="G204" s="154">
        <v>14</v>
      </c>
      <c r="H204" s="154">
        <f t="shared" si="116"/>
        <v>0.03173791834242638</v>
      </c>
      <c r="I204" s="154">
        <f t="shared" si="117"/>
        <v>1.9356993425994677</v>
      </c>
      <c r="J204" s="154">
        <f t="shared" si="118"/>
        <v>0.45127044172757264</v>
      </c>
      <c r="K204" s="154">
        <f t="shared" si="119"/>
        <v>0.44723409596613883</v>
      </c>
      <c r="L204" s="154">
        <f t="shared" si="120"/>
        <v>0.00045657096939147324</v>
      </c>
      <c r="M204" s="154">
        <f t="shared" si="121"/>
        <v>0.5213675213675213</v>
      </c>
      <c r="N204" s="154">
        <f t="shared" si="133"/>
        <v>1.48691709447679</v>
      </c>
      <c r="O204" s="154">
        <f t="shared" si="122"/>
        <v>0.07325223505585884</v>
      </c>
      <c r="P204" s="154">
        <f t="shared" si="123"/>
        <v>0.058038477487437366</v>
      </c>
      <c r="Q204" s="154">
        <f t="shared" si="124"/>
        <v>0.16830549397522815</v>
      </c>
      <c r="R204" s="154">
        <f t="shared" si="125"/>
        <v>0.06779950800763512</v>
      </c>
      <c r="S204" s="154">
        <f t="shared" si="126"/>
        <v>0.7603833865814695</v>
      </c>
      <c r="T204" s="154">
        <f t="shared" si="134"/>
        <v>1.631141704936239</v>
      </c>
      <c r="U204" s="154">
        <f t="shared" si="127"/>
        <v>0.8730810798249524</v>
      </c>
      <c r="V204" s="154">
        <f t="shared" si="128"/>
        <v>3.833263214726713</v>
      </c>
      <c r="W204" s="154">
        <f t="shared" si="129"/>
        <v>1.48691709447679</v>
      </c>
      <c r="X204" s="171">
        <f t="shared" si="130"/>
        <v>1.0721343873517786</v>
      </c>
      <c r="Y204" s="171">
        <f t="shared" si="131"/>
        <v>-0.01212798418972332</v>
      </c>
      <c r="Z204" s="172">
        <f t="shared" si="132"/>
        <v>1.2735216579182613</v>
      </c>
    </row>
    <row r="205" spans="7:26" ht="12.75">
      <c r="G205" s="153">
        <v>15</v>
      </c>
      <c r="H205" s="153">
        <f t="shared" si="116"/>
        <v>0.03400491250974255</v>
      </c>
      <c r="I205" s="153">
        <f t="shared" si="117"/>
        <v>1.9860900048475278</v>
      </c>
      <c r="J205" s="153">
        <f t="shared" si="118"/>
        <v>0.4833598541327373</v>
      </c>
      <c r="K205" s="153">
        <f t="shared" si="119"/>
        <v>0.4793228822683861</v>
      </c>
      <c r="L205" s="153">
        <f t="shared" si="120"/>
        <v>0.00045657096939147324</v>
      </c>
      <c r="M205" s="153">
        <f t="shared" si="121"/>
        <v>0.5213675213675213</v>
      </c>
      <c r="N205" s="153">
        <f t="shared" si="133"/>
        <v>1.5093521828380019</v>
      </c>
      <c r="O205" s="153">
        <f t="shared" si="122"/>
        <v>0.07325223505585884</v>
      </c>
      <c r="P205" s="153">
        <f t="shared" si="123"/>
        <v>0.06602078762193864</v>
      </c>
      <c r="Q205" s="153">
        <f t="shared" si="124"/>
        <v>0.18429862708433542</v>
      </c>
      <c r="R205" s="153">
        <f t="shared" si="125"/>
        <v>0.06779950800763512</v>
      </c>
      <c r="S205" s="153">
        <f t="shared" si="126"/>
        <v>0.7603833865814695</v>
      </c>
      <c r="T205" s="153">
        <f t="shared" si="134"/>
        <v>1.6462933782548188</v>
      </c>
      <c r="U205" s="153">
        <f t="shared" si="127"/>
        <v>0.886175606044183</v>
      </c>
      <c r="V205" s="153">
        <f t="shared" si="128"/>
        <v>3.833263214726713</v>
      </c>
      <c r="W205" s="153">
        <f t="shared" si="129"/>
        <v>1.5093521828380019</v>
      </c>
      <c r="X205" s="169">
        <f t="shared" si="130"/>
        <v>1.1487154150197627</v>
      </c>
      <c r="Y205" s="169">
        <f t="shared" si="131"/>
        <v>-0.012994268774703555</v>
      </c>
      <c r="Z205" s="170">
        <f t="shared" si="132"/>
        <v>1.35756053029934</v>
      </c>
    </row>
    <row r="206" spans="7:26" ht="12.75">
      <c r="G206" s="154">
        <v>16</v>
      </c>
      <c r="H206" s="154">
        <f t="shared" si="116"/>
        <v>0.03627190667705873</v>
      </c>
      <c r="I206" s="154">
        <f t="shared" si="117"/>
        <v>2.03482715726394</v>
      </c>
      <c r="J206" s="154">
        <f t="shared" si="118"/>
        <v>0.515449266537902</v>
      </c>
      <c r="K206" s="154">
        <f t="shared" si="119"/>
        <v>0.5114116685706335</v>
      </c>
      <c r="L206" s="154">
        <f t="shared" si="120"/>
        <v>0.00045657096939147324</v>
      </c>
      <c r="M206" s="154">
        <f t="shared" si="121"/>
        <v>0.5213675213675213</v>
      </c>
      <c r="N206" s="154">
        <f t="shared" si="133"/>
        <v>1.5308116117912483</v>
      </c>
      <c r="O206" s="154">
        <f t="shared" si="122"/>
        <v>0.07325223505585884</v>
      </c>
      <c r="P206" s="154">
        <f t="shared" si="123"/>
        <v>0.0745146583697312</v>
      </c>
      <c r="Q206" s="154">
        <f t="shared" si="124"/>
        <v>0.2002917601934427</v>
      </c>
      <c r="R206" s="154">
        <f t="shared" si="125"/>
        <v>0.06779950800763512</v>
      </c>
      <c r="S206" s="154">
        <f t="shared" si="126"/>
        <v>0.7603833865814695</v>
      </c>
      <c r="T206" s="154">
        <f t="shared" si="134"/>
        <v>1.6608980484227869</v>
      </c>
      <c r="U206" s="154">
        <f t="shared" si="127"/>
        <v>0.8988404509121806</v>
      </c>
      <c r="V206" s="154">
        <f t="shared" si="128"/>
        <v>3.833263214726713</v>
      </c>
      <c r="W206" s="154">
        <f t="shared" si="129"/>
        <v>1.5308116117912483</v>
      </c>
      <c r="X206" s="171">
        <f t="shared" si="130"/>
        <v>1.2252964426877468</v>
      </c>
      <c r="Y206" s="171">
        <f t="shared" si="131"/>
        <v>-0.01386055335968379</v>
      </c>
      <c r="Z206" s="172">
        <f t="shared" si="132"/>
        <v>1.438653905895292</v>
      </c>
    </row>
    <row r="207" spans="7:26" ht="12.75">
      <c r="G207" s="153">
        <v>17</v>
      </c>
      <c r="H207" s="153">
        <f t="shared" si="116"/>
        <v>0.03853890084437488</v>
      </c>
      <c r="I207" s="153">
        <f t="shared" si="117"/>
        <v>2.082063621616428</v>
      </c>
      <c r="J207" s="153">
        <f t="shared" si="118"/>
        <v>0.5475386789430664</v>
      </c>
      <c r="K207" s="153">
        <f t="shared" si="119"/>
        <v>0.5435004548728805</v>
      </c>
      <c r="L207" s="153">
        <f t="shared" si="120"/>
        <v>0.00045657096939147324</v>
      </c>
      <c r="M207" s="153">
        <f t="shared" si="121"/>
        <v>0.5213675213675213</v>
      </c>
      <c r="N207" s="153">
        <f t="shared" si="133"/>
        <v>1.5513950116934552</v>
      </c>
      <c r="O207" s="153">
        <f t="shared" si="122"/>
        <v>0.07325223505585884</v>
      </c>
      <c r="P207" s="153">
        <f t="shared" si="123"/>
        <v>0.08352008973081491</v>
      </c>
      <c r="Q207" s="153">
        <f t="shared" si="124"/>
        <v>0.21628489330254985</v>
      </c>
      <c r="R207" s="153">
        <f t="shared" si="125"/>
        <v>0.06779950800763512</v>
      </c>
      <c r="S207" s="153">
        <f t="shared" si="126"/>
        <v>0.7603833865814695</v>
      </c>
      <c r="T207" s="153">
        <f t="shared" si="134"/>
        <v>1.6750032911580923</v>
      </c>
      <c r="U207" s="153">
        <f t="shared" si="127"/>
        <v>0.9111153267199739</v>
      </c>
      <c r="V207" s="153">
        <f t="shared" si="128"/>
        <v>3.833263214726713</v>
      </c>
      <c r="W207" s="153">
        <f t="shared" si="129"/>
        <v>1.5513950116934552</v>
      </c>
      <c r="X207" s="169">
        <f t="shared" si="130"/>
        <v>1.3018774703557312</v>
      </c>
      <c r="Y207" s="169">
        <f t="shared" si="131"/>
        <v>-0.01472683794466403</v>
      </c>
      <c r="Z207" s="170">
        <f t="shared" si="132"/>
        <v>1.5171311222524335</v>
      </c>
    </row>
    <row r="208" spans="7:26" ht="12.75">
      <c r="G208" s="154">
        <v>18</v>
      </c>
      <c r="H208" s="154">
        <f t="shared" si="116"/>
        <v>0.04080589501169105</v>
      </c>
      <c r="I208" s="154">
        <f t="shared" si="117"/>
        <v>2.1279300362759055</v>
      </c>
      <c r="J208" s="154">
        <f t="shared" si="118"/>
        <v>0.5796280913482312</v>
      </c>
      <c r="K208" s="154">
        <f t="shared" si="119"/>
        <v>0.5755892411751276</v>
      </c>
      <c r="L208" s="154">
        <f t="shared" si="120"/>
        <v>0.00045657096939147324</v>
      </c>
      <c r="M208" s="154">
        <f t="shared" si="121"/>
        <v>0.5213675213675213</v>
      </c>
      <c r="N208" s="154">
        <f t="shared" si="133"/>
        <v>1.5711866680793232</v>
      </c>
      <c r="O208" s="154">
        <f t="shared" si="122"/>
        <v>0.07325223505585884</v>
      </c>
      <c r="P208" s="154">
        <f t="shared" si="123"/>
        <v>0.09303708170518998</v>
      </c>
      <c r="Q208" s="154">
        <f t="shared" si="124"/>
        <v>0.23227802641165707</v>
      </c>
      <c r="R208" s="154">
        <f t="shared" si="125"/>
        <v>0.06779950800763512</v>
      </c>
      <c r="S208" s="154">
        <f t="shared" si="126"/>
        <v>0.7603833865814695</v>
      </c>
      <c r="T208" s="154">
        <f t="shared" si="134"/>
        <v>1.6886503453336745</v>
      </c>
      <c r="U208" s="154">
        <f t="shared" si="127"/>
        <v>0.9230341811772548</v>
      </c>
      <c r="V208" s="154">
        <f t="shared" si="128"/>
        <v>3.833263214726713</v>
      </c>
      <c r="W208" s="154">
        <f t="shared" si="129"/>
        <v>1.5711866680793232</v>
      </c>
      <c r="X208" s="171">
        <f t="shared" si="130"/>
        <v>1.3784584980237153</v>
      </c>
      <c r="Y208" s="171">
        <f t="shared" si="131"/>
        <v>-0.015593122529644267</v>
      </c>
      <c r="Z208" s="172">
        <f t="shared" si="132"/>
        <v>1.59326547522967</v>
      </c>
    </row>
    <row r="209" spans="7:26" ht="12.75">
      <c r="G209" s="153">
        <v>19</v>
      </c>
      <c r="H209" s="153">
        <f t="shared" si="116"/>
        <v>0.043072889179007236</v>
      </c>
      <c r="I209" s="153">
        <f t="shared" si="117"/>
        <v>2.172539118578831</v>
      </c>
      <c r="J209" s="153">
        <f t="shared" si="118"/>
        <v>0.6117175037533961</v>
      </c>
      <c r="K209" s="153">
        <f t="shared" si="119"/>
        <v>0.607678027477375</v>
      </c>
      <c r="L209" s="153">
        <f t="shared" si="120"/>
        <v>0.00045657096939147324</v>
      </c>
      <c r="M209" s="153">
        <f t="shared" si="121"/>
        <v>0.5213675213675213</v>
      </c>
      <c r="N209" s="153">
        <f t="shared" si="133"/>
        <v>1.5902585949660193</v>
      </c>
      <c r="O209" s="153">
        <f t="shared" si="122"/>
        <v>0.07325223505585884</v>
      </c>
      <c r="P209" s="153">
        <f t="shared" si="123"/>
        <v>0.10306563429285628</v>
      </c>
      <c r="Q209" s="153">
        <f t="shared" si="124"/>
        <v>0.2482711595207644</v>
      </c>
      <c r="R209" s="153">
        <f t="shared" si="125"/>
        <v>0.06779950800763512</v>
      </c>
      <c r="S209" s="153">
        <f t="shared" si="126"/>
        <v>0.7603833865814695</v>
      </c>
      <c r="T209" s="153">
        <f t="shared" si="134"/>
        <v>1.7018752228525615</v>
      </c>
      <c r="U209" s="153">
        <f t="shared" si="127"/>
        <v>0.9346263050305974</v>
      </c>
      <c r="V209" s="153">
        <f t="shared" si="128"/>
        <v>3.833263214726713</v>
      </c>
      <c r="W209" s="153">
        <f t="shared" si="129"/>
        <v>1.5902585949660193</v>
      </c>
      <c r="X209" s="169">
        <f t="shared" si="130"/>
        <v>1.4550395256916995</v>
      </c>
      <c r="Y209" s="169">
        <f t="shared" si="131"/>
        <v>-0.016459407114624503</v>
      </c>
      <c r="Z209" s="170">
        <f t="shared" si="132"/>
        <v>1.6672864930671925</v>
      </c>
    </row>
    <row r="210" spans="7:26" ht="12.75">
      <c r="G210" s="154">
        <v>20</v>
      </c>
      <c r="H210" s="154">
        <f t="shared" si="116"/>
        <v>0.04533988334632341</v>
      </c>
      <c r="I210" s="154">
        <f t="shared" si="117"/>
        <v>2.2159889286774654</v>
      </c>
      <c r="J210" s="154">
        <f t="shared" si="118"/>
        <v>0.6438069161585608</v>
      </c>
      <c r="K210" s="154">
        <f t="shared" si="119"/>
        <v>0.6397668137796224</v>
      </c>
      <c r="L210" s="154">
        <f t="shared" si="120"/>
        <v>0.00045657096939147324</v>
      </c>
      <c r="M210" s="154">
        <f t="shared" si="121"/>
        <v>0.5213675213675213</v>
      </c>
      <c r="N210" s="154">
        <f t="shared" si="133"/>
        <v>1.6086728650951827</v>
      </c>
      <c r="O210" s="154">
        <f t="shared" si="122"/>
        <v>0.07325223505585884</v>
      </c>
      <c r="P210" s="154">
        <f t="shared" si="123"/>
        <v>0.11360574749381383</v>
      </c>
      <c r="Q210" s="154">
        <f t="shared" si="124"/>
        <v>0.2642642926298717</v>
      </c>
      <c r="R210" s="154">
        <f t="shared" si="125"/>
        <v>0.06779950800763512</v>
      </c>
      <c r="S210" s="154">
        <f t="shared" si="126"/>
        <v>0.7603833865814695</v>
      </c>
      <c r="T210" s="154">
        <f t="shared" si="134"/>
        <v>1.7147095817572011</v>
      </c>
      <c r="U210" s="154">
        <f t="shared" si="127"/>
        <v>0.9459171802081519</v>
      </c>
      <c r="V210" s="154">
        <f t="shared" si="128"/>
        <v>3.833263214726713</v>
      </c>
      <c r="W210" s="154">
        <f t="shared" si="129"/>
        <v>1.6086728650951827</v>
      </c>
      <c r="X210" s="171">
        <f t="shared" si="130"/>
        <v>1.5316205533596836</v>
      </c>
      <c r="Y210" s="171">
        <f t="shared" si="131"/>
        <v>-0.01732569169960474</v>
      </c>
      <c r="Z210" s="172">
        <f t="shared" si="132"/>
        <v>1.7393890013784268</v>
      </c>
    </row>
    <row r="211" spans="7:26" ht="12.75">
      <c r="G211" s="153">
        <v>21</v>
      </c>
      <c r="H211" s="153">
        <f t="shared" si="116"/>
        <v>0.04760687751363957</v>
      </c>
      <c r="I211" s="153">
        <f t="shared" si="117"/>
        <v>2.258365406708974</v>
      </c>
      <c r="J211" s="153">
        <f t="shared" si="118"/>
        <v>0.6758963285637254</v>
      </c>
      <c r="K211" s="153">
        <f t="shared" si="119"/>
        <v>0.6718556000818694</v>
      </c>
      <c r="L211" s="153">
        <f t="shared" si="120"/>
        <v>0.00045657096939147324</v>
      </c>
      <c r="M211" s="153">
        <f t="shared" si="121"/>
        <v>0.5213675213675213</v>
      </c>
      <c r="N211" s="153">
        <f t="shared" si="133"/>
        <v>1.62648340458055</v>
      </c>
      <c r="O211" s="153">
        <f t="shared" si="122"/>
        <v>0.07325223505585884</v>
      </c>
      <c r="P211" s="153">
        <f t="shared" si="123"/>
        <v>0.12465742130806251</v>
      </c>
      <c r="Q211" s="153">
        <f t="shared" si="124"/>
        <v>0.2802574257389789</v>
      </c>
      <c r="R211" s="153">
        <f t="shared" si="125"/>
        <v>0.06779950800763512</v>
      </c>
      <c r="S211" s="153">
        <f t="shared" si="126"/>
        <v>0.7603833865814695</v>
      </c>
      <c r="T211" s="153">
        <f t="shared" si="134"/>
        <v>1.7271814213366992</v>
      </c>
      <c r="U211" s="153">
        <f t="shared" si="127"/>
        <v>0.9569291391288466</v>
      </c>
      <c r="V211" s="153">
        <f t="shared" si="128"/>
        <v>3.833263214726713</v>
      </c>
      <c r="W211" s="153">
        <f t="shared" si="129"/>
        <v>1.62648340458055</v>
      </c>
      <c r="X211" s="169">
        <f t="shared" si="130"/>
        <v>1.6082015810276677</v>
      </c>
      <c r="Y211" s="169">
        <f t="shared" si="131"/>
        <v>-0.018191976284584976</v>
      </c>
      <c r="Z211" s="170">
        <f t="shared" si="132"/>
        <v>1.8097399386514608</v>
      </c>
    </row>
    <row r="212" spans="7:26" ht="12.75">
      <c r="G212" s="154">
        <v>22</v>
      </c>
      <c r="H212" s="154">
        <f t="shared" si="116"/>
        <v>0.049873871680955736</v>
      </c>
      <c r="I212" s="154">
        <f t="shared" si="117"/>
        <v>2.2997443717589445</v>
      </c>
      <c r="J212" s="154">
        <f t="shared" si="118"/>
        <v>0.70798574096889</v>
      </c>
      <c r="K212" s="154">
        <f t="shared" si="119"/>
        <v>0.7039443863841166</v>
      </c>
      <c r="L212" s="154">
        <f t="shared" si="120"/>
        <v>0.00045657096939147324</v>
      </c>
      <c r="M212" s="154">
        <f t="shared" si="121"/>
        <v>0.5213675213675213</v>
      </c>
      <c r="N212" s="154">
        <f t="shared" si="133"/>
        <v>1.6437373944641813</v>
      </c>
      <c r="O212" s="154">
        <f t="shared" si="122"/>
        <v>0.07325223505585884</v>
      </c>
      <c r="P212" s="154">
        <f t="shared" si="123"/>
        <v>0.13622065573560252</v>
      </c>
      <c r="Q212" s="154">
        <f t="shared" si="124"/>
        <v>0.2962505588480861</v>
      </c>
      <c r="R212" s="154">
        <f t="shared" si="125"/>
        <v>0.06779950800763512</v>
      </c>
      <c r="S212" s="154">
        <f t="shared" si="126"/>
        <v>0.7603833865814695</v>
      </c>
      <c r="T212" s="154">
        <f t="shared" si="134"/>
        <v>1.7393156415332673</v>
      </c>
      <c r="U212" s="154">
        <f t="shared" si="127"/>
        <v>0.9676818841533936</v>
      </c>
      <c r="V212" s="154">
        <f t="shared" si="128"/>
        <v>3.833263214726713</v>
      </c>
      <c r="W212" s="154">
        <f t="shared" si="129"/>
        <v>1.6437373944641813</v>
      </c>
      <c r="X212" s="171">
        <f t="shared" si="130"/>
        <v>1.684782608695652</v>
      </c>
      <c r="Y212" s="171">
        <f t="shared" si="131"/>
        <v>-0.019058260869565215</v>
      </c>
      <c r="Z212" s="172">
        <f t="shared" si="132"/>
        <v>1.8784835626056902</v>
      </c>
    </row>
    <row r="213" spans="7:26" ht="12.75">
      <c r="G213" s="153">
        <v>23</v>
      </c>
      <c r="H213" s="153">
        <f t="shared" si="116"/>
        <v>0.05214086584827191</v>
      </c>
      <c r="I213" s="153">
        <f t="shared" si="117"/>
        <v>2.3401931159107128</v>
      </c>
      <c r="J213" s="153">
        <f t="shared" si="118"/>
        <v>0.7400751533740548</v>
      </c>
      <c r="K213" s="153">
        <f t="shared" si="119"/>
        <v>0.736033172686364</v>
      </c>
      <c r="L213" s="153">
        <f t="shared" si="120"/>
        <v>0.00045657096939147324</v>
      </c>
      <c r="M213" s="153">
        <f t="shared" si="121"/>
        <v>0.5213675213675213</v>
      </c>
      <c r="N213" s="153">
        <f t="shared" si="133"/>
        <v>1.660476379068805</v>
      </c>
      <c r="O213" s="153">
        <f t="shared" si="122"/>
        <v>0.07325223505585884</v>
      </c>
      <c r="P213" s="153">
        <f t="shared" si="123"/>
        <v>0.1482954507764338</v>
      </c>
      <c r="Q213" s="153">
        <f t="shared" si="124"/>
        <v>0.3122436919571934</v>
      </c>
      <c r="R213" s="153">
        <f t="shared" si="125"/>
        <v>0.06779950800763512</v>
      </c>
      <c r="S213" s="153">
        <f t="shared" si="126"/>
        <v>0.7603833865814695</v>
      </c>
      <c r="T213" s="153">
        <f t="shared" si="134"/>
        <v>1.751134497582321</v>
      </c>
      <c r="U213" s="153">
        <f t="shared" si="127"/>
        <v>0.9781929018142237</v>
      </c>
      <c r="V213" s="153">
        <f t="shared" si="128"/>
        <v>3.833263214726713</v>
      </c>
      <c r="W213" s="153">
        <f t="shared" si="129"/>
        <v>1.660476379068805</v>
      </c>
      <c r="X213" s="169">
        <f t="shared" si="130"/>
        <v>1.7613636363636365</v>
      </c>
      <c r="Y213" s="169">
        <f t="shared" si="131"/>
        <v>-0.019924545454545455</v>
      </c>
      <c r="Z213" s="170">
        <f t="shared" si="132"/>
        <v>1.9457454844262918</v>
      </c>
    </row>
    <row r="214" spans="7:26" ht="12.75">
      <c r="G214" s="154">
        <v>24</v>
      </c>
      <c r="H214" s="154">
        <f t="shared" si="116"/>
        <v>0.05440786001558807</v>
      </c>
      <c r="I214" s="154">
        <f t="shared" si="117"/>
        <v>2.379771689331542</v>
      </c>
      <c r="J214" s="154">
        <f t="shared" si="118"/>
        <v>0.7721645657792192</v>
      </c>
      <c r="K214" s="154">
        <f t="shared" si="119"/>
        <v>0.768121958988611</v>
      </c>
      <c r="L214" s="154">
        <f t="shared" si="120"/>
        <v>0.00045657096939147324</v>
      </c>
      <c r="M214" s="154">
        <f t="shared" si="121"/>
        <v>0.5213675213675213</v>
      </c>
      <c r="N214" s="154">
        <f t="shared" si="133"/>
        <v>1.6767371524478984</v>
      </c>
      <c r="O214" s="154">
        <f t="shared" si="122"/>
        <v>0.07325223505585884</v>
      </c>
      <c r="P214" s="154">
        <f t="shared" si="123"/>
        <v>0.16088180643055622</v>
      </c>
      <c r="Q214" s="154">
        <f t="shared" si="124"/>
        <v>0.3282368250663006</v>
      </c>
      <c r="R214" s="154">
        <f t="shared" si="125"/>
        <v>0.06779950800763512</v>
      </c>
      <c r="S214" s="154">
        <f t="shared" si="126"/>
        <v>0.7603833865814695</v>
      </c>
      <c r="T214" s="154">
        <f t="shared" si="134"/>
        <v>1.7626579728340626</v>
      </c>
      <c r="U214" s="154">
        <f t="shared" si="127"/>
        <v>0.9884777967582019</v>
      </c>
      <c r="V214" s="154">
        <f t="shared" si="128"/>
        <v>3.833263214726713</v>
      </c>
      <c r="W214" s="154">
        <f t="shared" si="129"/>
        <v>1.6767371524478984</v>
      </c>
      <c r="X214" s="171">
        <f t="shared" si="130"/>
        <v>1.8379446640316204</v>
      </c>
      <c r="Y214" s="171">
        <f t="shared" si="131"/>
        <v>-0.02079083003952569</v>
      </c>
      <c r="Z214" s="172">
        <f t="shared" si="132"/>
        <v>2.0116358351963948</v>
      </c>
    </row>
    <row r="215" spans="7:26" ht="12.75">
      <c r="G215" s="153">
        <v>25</v>
      </c>
      <c r="H215" s="153">
        <f t="shared" si="116"/>
        <v>0.056674854182904244</v>
      </c>
      <c r="I215" s="153">
        <f t="shared" si="117"/>
        <v>2.4185339465799247</v>
      </c>
      <c r="J215" s="153">
        <f t="shared" si="118"/>
        <v>0.804253978184384</v>
      </c>
      <c r="K215" s="153">
        <f t="shared" si="119"/>
        <v>0.8002107452908582</v>
      </c>
      <c r="L215" s="153">
        <f t="shared" si="120"/>
        <v>0.00045657096939147324</v>
      </c>
      <c r="M215" s="153">
        <f t="shared" si="121"/>
        <v>0.5213675213675213</v>
      </c>
      <c r="N215" s="153">
        <f t="shared" si="133"/>
        <v>1.6925524746715612</v>
      </c>
      <c r="O215" s="153">
        <f t="shared" si="122"/>
        <v>0.07325223505585884</v>
      </c>
      <c r="P215" s="153">
        <f t="shared" si="123"/>
        <v>0.17397972269796996</v>
      </c>
      <c r="Q215" s="153">
        <f t="shared" si="124"/>
        <v>0.34422995817540786</v>
      </c>
      <c r="R215" s="153">
        <f t="shared" si="125"/>
        <v>0.06779950800763512</v>
      </c>
      <c r="S215" s="153">
        <f t="shared" si="126"/>
        <v>0.7603833865814695</v>
      </c>
      <c r="T215" s="153">
        <f t="shared" si="134"/>
        <v>1.7739040870031242</v>
      </c>
      <c r="U215" s="153">
        <f t="shared" si="127"/>
        <v>0.9985505636402257</v>
      </c>
      <c r="V215" s="153">
        <f t="shared" si="128"/>
        <v>3.833263214726713</v>
      </c>
      <c r="W215" s="153">
        <f t="shared" si="129"/>
        <v>1.6925524746715612</v>
      </c>
      <c r="X215" s="169">
        <f t="shared" si="130"/>
        <v>1.9145256916996043</v>
      </c>
      <c r="Y215" s="169">
        <f t="shared" si="131"/>
        <v>-0.021657114624505924</v>
      </c>
      <c r="Z215" s="170">
        <f t="shared" si="132"/>
        <v>2.076251780314104</v>
      </c>
    </row>
    <row r="216" spans="7:26" ht="12.75">
      <c r="G216" s="154">
        <v>26</v>
      </c>
      <c r="H216" s="154">
        <f t="shared" si="116"/>
        <v>0.05894184835022041</v>
      </c>
      <c r="I216" s="154">
        <f t="shared" si="117"/>
        <v>2.456528406220243</v>
      </c>
      <c r="J216" s="154">
        <f t="shared" si="118"/>
        <v>0.8363433905895488</v>
      </c>
      <c r="K216" s="154">
        <f t="shared" si="119"/>
        <v>0.8322995315931055</v>
      </c>
      <c r="L216" s="154">
        <f t="shared" si="120"/>
        <v>0.00045657096939147324</v>
      </c>
      <c r="M216" s="154">
        <f t="shared" si="121"/>
        <v>0.5213675213675213</v>
      </c>
      <c r="N216" s="154">
        <f t="shared" si="133"/>
        <v>1.7079516560527501</v>
      </c>
      <c r="O216" s="154">
        <f t="shared" si="122"/>
        <v>0.07325223505585884</v>
      </c>
      <c r="P216" s="154">
        <f t="shared" si="123"/>
        <v>0.18758919957867498</v>
      </c>
      <c r="Q216" s="154">
        <f t="shared" si="124"/>
        <v>0.3602230912845151</v>
      </c>
      <c r="R216" s="154">
        <f t="shared" si="125"/>
        <v>0.06779950800763512</v>
      </c>
      <c r="S216" s="154">
        <f t="shared" si="126"/>
        <v>0.7603833865814695</v>
      </c>
      <c r="T216" s="154">
        <f t="shared" si="134"/>
        <v>1.7848891529636863</v>
      </c>
      <c r="U216" s="154">
        <f t="shared" si="127"/>
        <v>1.0084238105028382</v>
      </c>
      <c r="V216" s="154">
        <f t="shared" si="128"/>
        <v>3.833263214726713</v>
      </c>
      <c r="W216" s="154">
        <f t="shared" si="129"/>
        <v>1.7079516560527501</v>
      </c>
      <c r="X216" s="171">
        <f t="shared" si="130"/>
        <v>1.9911067193675887</v>
      </c>
      <c r="Y216" s="171">
        <f t="shared" si="131"/>
        <v>-0.022523399209486164</v>
      </c>
      <c r="Z216" s="172">
        <f t="shared" si="132"/>
        <v>2.1396795374355726</v>
      </c>
    </row>
    <row r="217" spans="7:26" ht="12.75">
      <c r="G217" s="153">
        <v>27</v>
      </c>
      <c r="H217" s="153">
        <f t="shared" si="116"/>
        <v>0.061208842517536596</v>
      </c>
      <c r="I217" s="153">
        <f t="shared" si="117"/>
        <v>2.493798962913239</v>
      </c>
      <c r="J217" s="153">
        <f t="shared" si="118"/>
        <v>0.8684328029947137</v>
      </c>
      <c r="K217" s="153">
        <f t="shared" si="119"/>
        <v>0.864388317895353</v>
      </c>
      <c r="L217" s="153">
        <f t="shared" si="120"/>
        <v>0.00045657096939147324</v>
      </c>
      <c r="M217" s="153">
        <f t="shared" si="121"/>
        <v>0.5213675213675213</v>
      </c>
      <c r="N217" s="153">
        <f t="shared" si="133"/>
        <v>1.7229610377599394</v>
      </c>
      <c r="O217" s="153">
        <f t="shared" si="122"/>
        <v>0.07325223505585884</v>
      </c>
      <c r="P217" s="153">
        <f t="shared" si="123"/>
        <v>0.20171023707267127</v>
      </c>
      <c r="Q217" s="153">
        <f t="shared" si="124"/>
        <v>0.37621622439362246</v>
      </c>
      <c r="R217" s="153">
        <f t="shared" si="125"/>
        <v>0.06779950800763512</v>
      </c>
      <c r="S217" s="153">
        <f t="shared" si="126"/>
        <v>0.7603833865814695</v>
      </c>
      <c r="T217" s="153">
        <f t="shared" si="134"/>
        <v>1.7956279921769587</v>
      </c>
      <c r="U217" s="153">
        <f t="shared" si="127"/>
        <v>1.0181089438201831</v>
      </c>
      <c r="V217" s="153">
        <f t="shared" si="128"/>
        <v>3.833263214726713</v>
      </c>
      <c r="W217" s="153">
        <f t="shared" si="129"/>
        <v>1.7229610377599394</v>
      </c>
      <c r="X217" s="169">
        <f t="shared" si="130"/>
        <v>2.0676877470355732</v>
      </c>
      <c r="Y217" s="169">
        <f t="shared" si="131"/>
        <v>-0.0233896837944664</v>
      </c>
      <c r="Z217" s="170">
        <f t="shared" si="132"/>
        <v>2.201996011745413</v>
      </c>
    </row>
    <row r="218" spans="7:26" ht="12.75">
      <c r="G218" s="154">
        <v>28</v>
      </c>
      <c r="H218" s="154">
        <f t="shared" si="116"/>
        <v>0.06347583668485277</v>
      </c>
      <c r="I218" s="154">
        <f t="shared" si="117"/>
        <v>2.530385481794304</v>
      </c>
      <c r="J218" s="154">
        <f t="shared" si="118"/>
        <v>0.9005222153998784</v>
      </c>
      <c r="K218" s="154">
        <f t="shared" si="119"/>
        <v>0.8964771041976002</v>
      </c>
      <c r="L218" s="154">
        <f t="shared" si="120"/>
        <v>0.00045657096939147324</v>
      </c>
      <c r="M218" s="154">
        <f t="shared" si="121"/>
        <v>0.5213675213675213</v>
      </c>
      <c r="N218" s="154">
        <f t="shared" si="133"/>
        <v>1.737604390316488</v>
      </c>
      <c r="O218" s="154">
        <f t="shared" si="122"/>
        <v>0.07325223505585884</v>
      </c>
      <c r="P218" s="154">
        <f t="shared" si="123"/>
        <v>0.21634283517995878</v>
      </c>
      <c r="Q218" s="154">
        <f t="shared" si="124"/>
        <v>0.39220935750272967</v>
      </c>
      <c r="R218" s="154">
        <f t="shared" si="125"/>
        <v>0.06779950800763512</v>
      </c>
      <c r="S218" s="154">
        <f t="shared" si="126"/>
        <v>0.7603833865814695</v>
      </c>
      <c r="T218" s="154">
        <f t="shared" si="134"/>
        <v>1.8061341165864084</v>
      </c>
      <c r="U218" s="154">
        <f t="shared" si="127"/>
        <v>1.027616322953247</v>
      </c>
      <c r="V218" s="154">
        <f t="shared" si="128"/>
        <v>3.833263214726713</v>
      </c>
      <c r="W218" s="154">
        <f t="shared" si="129"/>
        <v>1.737604390316488</v>
      </c>
      <c r="X218" s="171">
        <f t="shared" si="130"/>
        <v>2.144268774703557</v>
      </c>
      <c r="Y218" s="171">
        <f t="shared" si="131"/>
        <v>-0.02425596837944664</v>
      </c>
      <c r="Z218" s="172">
        <f t="shared" si="132"/>
        <v>2.2632701329600877</v>
      </c>
    </row>
    <row r="219" spans="7:26" ht="12.75">
      <c r="G219" s="153">
        <v>29</v>
      </c>
      <c r="H219" s="153">
        <f t="shared" si="116"/>
        <v>0.06574283085216892</v>
      </c>
      <c r="I219" s="153">
        <f t="shared" si="117"/>
        <v>2.566324298083016</v>
      </c>
      <c r="J219" s="153">
        <f t="shared" si="118"/>
        <v>0.9326116278050428</v>
      </c>
      <c r="K219" s="153">
        <f t="shared" si="119"/>
        <v>0.9285658904998472</v>
      </c>
      <c r="L219" s="153">
        <f t="shared" si="120"/>
        <v>0.00045657096939147324</v>
      </c>
      <c r="M219" s="153">
        <f t="shared" si="121"/>
        <v>0.5213675213675213</v>
      </c>
      <c r="N219" s="153">
        <f t="shared" si="133"/>
        <v>1.7519032464229438</v>
      </c>
      <c r="O219" s="153">
        <f t="shared" si="122"/>
        <v>0.07325223505585884</v>
      </c>
      <c r="P219" s="153">
        <f t="shared" si="123"/>
        <v>0.2314869939005374</v>
      </c>
      <c r="Q219" s="153">
        <f t="shared" si="124"/>
        <v>0.4082024906118368</v>
      </c>
      <c r="R219" s="153">
        <f t="shared" si="125"/>
        <v>0.06779950800763512</v>
      </c>
      <c r="S219" s="153">
        <f t="shared" si="126"/>
        <v>0.7603833865814695</v>
      </c>
      <c r="T219" s="153">
        <f t="shared" si="134"/>
        <v>1.816419883124411</v>
      </c>
      <c r="U219" s="153">
        <f t="shared" si="127"/>
        <v>1.0369553899784827</v>
      </c>
      <c r="V219" s="153">
        <f t="shared" si="128"/>
        <v>3.833263214726713</v>
      </c>
      <c r="W219" s="153">
        <f t="shared" si="129"/>
        <v>1.7519032464229438</v>
      </c>
      <c r="X219" s="169">
        <f t="shared" si="130"/>
        <v>2.220849802371541</v>
      </c>
      <c r="Y219" s="169">
        <f t="shared" si="131"/>
        <v>-0.025122252964426873</v>
      </c>
      <c r="Z219" s="170">
        <f t="shared" si="132"/>
        <v>2.3235639574553906</v>
      </c>
    </row>
    <row r="220" spans="7:26" ht="12.75">
      <c r="G220" s="154">
        <v>30</v>
      </c>
      <c r="H220" s="154">
        <f t="shared" si="116"/>
        <v>0.0680098250194851</v>
      </c>
      <c r="I220" s="154">
        <f t="shared" si="117"/>
        <v>2.6016486397624727</v>
      </c>
      <c r="J220" s="154">
        <f t="shared" si="118"/>
        <v>0.9647010402102077</v>
      </c>
      <c r="K220" s="154">
        <f t="shared" si="119"/>
        <v>0.9606546768020947</v>
      </c>
      <c r="L220" s="154">
        <f t="shared" si="120"/>
        <v>0.00045657096939147324</v>
      </c>
      <c r="M220" s="154">
        <f t="shared" si="121"/>
        <v>0.5213675213675213</v>
      </c>
      <c r="N220" s="154">
        <f t="shared" si="133"/>
        <v>1.765877180799507</v>
      </c>
      <c r="O220" s="154">
        <f t="shared" si="122"/>
        <v>0.07325223505585884</v>
      </c>
      <c r="P220" s="154">
        <f t="shared" si="123"/>
        <v>0.24714271323440745</v>
      </c>
      <c r="Q220" s="154">
        <f t="shared" si="124"/>
        <v>0.4241956237209442</v>
      </c>
      <c r="R220" s="154">
        <f t="shared" si="125"/>
        <v>0.06779950800763512</v>
      </c>
      <c r="S220" s="154">
        <f t="shared" si="126"/>
        <v>0.7603833865814695</v>
      </c>
      <c r="T220" s="154">
        <f t="shared" si="134"/>
        <v>1.8264966256895658</v>
      </c>
      <c r="U220" s="154">
        <f t="shared" si="127"/>
        <v>1.046134779525333</v>
      </c>
      <c r="V220" s="154">
        <f t="shared" si="128"/>
        <v>3.833263214726713</v>
      </c>
      <c r="W220" s="154">
        <f t="shared" si="129"/>
        <v>1.765877180799507</v>
      </c>
      <c r="X220" s="171">
        <f t="shared" si="130"/>
        <v>2.2974308300395254</v>
      </c>
      <c r="Y220" s="171">
        <f t="shared" si="131"/>
        <v>-0.02598853754940711</v>
      </c>
      <c r="Z220" s="172">
        <f t="shared" si="132"/>
        <v>2.38293358367812</v>
      </c>
    </row>
    <row r="221" spans="7:26" ht="12.75">
      <c r="G221" s="153">
        <v>31</v>
      </c>
      <c r="H221" s="153">
        <f t="shared" si="116"/>
        <v>0.07027681918680126</v>
      </c>
      <c r="I221" s="153">
        <f t="shared" si="117"/>
        <v>2.636388987329468</v>
      </c>
      <c r="J221" s="153">
        <f t="shared" si="118"/>
        <v>0.9967904526153722</v>
      </c>
      <c r="K221" s="153">
        <f t="shared" si="119"/>
        <v>0.9927434631043416</v>
      </c>
      <c r="L221" s="153">
        <f t="shared" si="120"/>
        <v>0.00045657096939147324</v>
      </c>
      <c r="M221" s="153">
        <f t="shared" si="121"/>
        <v>0.5213675213675213</v>
      </c>
      <c r="N221" s="153">
        <f t="shared" si="133"/>
        <v>1.7795440469528723</v>
      </c>
      <c r="O221" s="153">
        <f t="shared" si="122"/>
        <v>0.07325223505585884</v>
      </c>
      <c r="P221" s="153">
        <f t="shared" si="123"/>
        <v>0.26330999318156856</v>
      </c>
      <c r="Q221" s="153">
        <f t="shared" si="124"/>
        <v>0.4401887568300513</v>
      </c>
      <c r="R221" s="153">
        <f t="shared" si="125"/>
        <v>0.06779950800763512</v>
      </c>
      <c r="S221" s="153">
        <f t="shared" si="126"/>
        <v>0.7603833865814695</v>
      </c>
      <c r="T221" s="153">
        <f t="shared" si="134"/>
        <v>1.8363747684692169</v>
      </c>
      <c r="U221" s="153">
        <f t="shared" si="127"/>
        <v>1.055162412260974</v>
      </c>
      <c r="V221" s="153">
        <f t="shared" si="128"/>
        <v>3.833263214726713</v>
      </c>
      <c r="W221" s="153">
        <f t="shared" si="129"/>
        <v>1.7795440469528723</v>
      </c>
      <c r="X221" s="169">
        <f t="shared" si="130"/>
        <v>2.3740118577075098</v>
      </c>
      <c r="Y221" s="169">
        <f t="shared" si="131"/>
        <v>-0.02685482213438735</v>
      </c>
      <c r="Z221" s="170">
        <f t="shared" si="132"/>
        <v>2.4414299178218326</v>
      </c>
    </row>
    <row r="222" spans="7:26" ht="12.75">
      <c r="G222" s="154">
        <v>32</v>
      </c>
      <c r="H222" s="154">
        <f t="shared" si="116"/>
        <v>0.07254381335411746</v>
      </c>
      <c r="I222" s="154">
        <f t="shared" si="117"/>
        <v>2.670573381701207</v>
      </c>
      <c r="J222" s="154">
        <f t="shared" si="118"/>
        <v>1.0288798650205373</v>
      </c>
      <c r="K222" s="154">
        <f t="shared" si="119"/>
        <v>1.0248322494065893</v>
      </c>
      <c r="L222" s="154">
        <f t="shared" si="120"/>
        <v>0.00045657096939147324</v>
      </c>
      <c r="M222" s="154">
        <f t="shared" si="121"/>
        <v>0.5213675213675213</v>
      </c>
      <c r="N222" s="154">
        <f t="shared" si="133"/>
        <v>1.7929201786627131</v>
      </c>
      <c r="O222" s="154">
        <f t="shared" si="122"/>
        <v>0.07325223505585884</v>
      </c>
      <c r="P222" s="154">
        <f t="shared" si="123"/>
        <v>0.27998883374202116</v>
      </c>
      <c r="Q222" s="154">
        <f t="shared" si="124"/>
        <v>0.45618188993915876</v>
      </c>
      <c r="R222" s="154">
        <f t="shared" si="125"/>
        <v>0.06779950800763512</v>
      </c>
      <c r="S222" s="154">
        <f t="shared" si="126"/>
        <v>0.7603833865814695</v>
      </c>
      <c r="T222" s="154">
        <f t="shared" si="134"/>
        <v>1.8460639237199297</v>
      </c>
      <c r="U222" s="154">
        <f t="shared" si="127"/>
        <v>1.0640455749030062</v>
      </c>
      <c r="V222" s="154">
        <f t="shared" si="128"/>
        <v>3.833263214726713</v>
      </c>
      <c r="W222" s="154">
        <f t="shared" si="129"/>
        <v>1.7929201786627131</v>
      </c>
      <c r="X222" s="171">
        <f t="shared" si="130"/>
        <v>2.4505928853754937</v>
      </c>
      <c r="Y222" s="171">
        <f t="shared" si="131"/>
        <v>-0.02772110671936758</v>
      </c>
      <c r="Z222" s="172">
        <f t="shared" si="132"/>
        <v>2.4990993184430783</v>
      </c>
    </row>
    <row r="223" spans="7:26" ht="12.75">
      <c r="G223" s="153">
        <v>33</v>
      </c>
      <c r="H223" s="153">
        <f aca="true" t="shared" si="135" ref="H223:H254">(((G223/100)*Iout)*(Vout_nom^2)*2.5*Rsense*K_1)/(eff*(Vline^2)*K_FQ)*us</f>
        <v>0.07481080752143361</v>
      </c>
      <c r="I223" s="153">
        <f aca="true" t="shared" si="136" ref="I223:I254">(1*10^-9*(5*10^8*SQRT(fsw*kHz)+(1.09655978*10^10)*SQRT(ftyp)*SQRT(H223)))/SQRT(fsw*kHz)</f>
        <v>2.704227689127644</v>
      </c>
      <c r="J223" s="153">
        <f aca="true" t="shared" si="137" ref="J223:J254">(b_1^3/(27*a_1^3))-(d_1^3/27)+SQRT((ftyp)^2*H223^2/(4*a_1^2*c_1^2*(fsw*kHz)^2))+(b_1^3*(ftyp)*H223/(27*a_1^4*c_1*(fsw*kHz))-(d_1^3*(ftyp)*H223/(27*a_1*c_1*(fsw*kHz)))+(b_1*d_1^2*(ftyp)*H223/(9*a_1^2*c_1*(fsw*kHz)))-(b_1^2*d_1*(ftyp)*H223/(9*a_1^3*c_1*(fsw*kHz))))</f>
        <v>1.0609692774257018</v>
      </c>
      <c r="K223" s="153">
        <f aca="true" t="shared" si="138" ref="K223:K254">(b_1*d_1^2/(9*a_1))-(b_1^2*d_1/(9*a_1^2))+(ftyp*H223/(2*a_1*c_1*fsw*kHz))</f>
        <v>1.056921035708836</v>
      </c>
      <c r="L223" s="153">
        <f aca="true" t="shared" si="139" ref="L223:L254">(d_1^2/9)+(b_1^2/(9*a_1^2))-(2*b_1*d_1/(9*a_1))</f>
        <v>0.00045657096939147324</v>
      </c>
      <c r="M223" s="153">
        <f aca="true" t="shared" si="140" ref="M223:M254">((b_1*c_1*fsw*kHz)+(2*a_1*c_1*d_1*fsw*kHz))/(3*a_1*c_1*fsw*kHz)</f>
        <v>0.5213675213675213</v>
      </c>
      <c r="N223" s="153">
        <f t="shared" si="133"/>
        <v>1.8060205623746117</v>
      </c>
      <c r="O223" s="153">
        <f aca="true" t="shared" si="141" ref="O223:O254">(b_2^3/(27*a_2^3))-(d_2^3/27)</f>
        <v>0.07325223505585884</v>
      </c>
      <c r="P223" s="153">
        <f aca="true" t="shared" si="142" ref="P223:P254">(ftyp^2*H223^2/(4*a_2^2*c_2^2*(fsw*kHz)^2))+(b_2^3*ftyp*H223/(27*a_2^4*c_2*(fsw*kHz)))-(d_2^3*ftyp*H223/(27*a_2*c_2*(fsw*kHz)))+(b_2*d_2^2*ftyp*H223/(9*a_2^2*c_2*(fsw*kHz)))-(b_2^2*d_2*ftyp*H223/(9*a_2^3*c_2*(fsw*kHz)))</f>
        <v>0.29717923491576487</v>
      </c>
      <c r="Q223" s="153">
        <f aca="true" t="shared" si="143" ref="Q223:Q254">(b_2*d_2^2/(9*a_2))-(b_2^2*d_2/(9*a_2^2))+(ftyp*H223/(2*a_2*c_2*(fsw*kHz)))</f>
        <v>0.47217502304826586</v>
      </c>
      <c r="R223" s="153">
        <f aca="true" t="shared" si="144" ref="R223:R254">(d_2^2/9)+(b_2^2/(9*a_2^2))-(2*b_2*d_2/(9*a_2))</f>
        <v>0.06779950800763512</v>
      </c>
      <c r="S223" s="153">
        <f aca="true" t="shared" si="145" ref="S223:S254">(b_2*c_2*(fsw*kHz)+2*a_2*c_2*d_2*(fsw*kHz))/(3*a_2*c_2*(fsw*kHz))</f>
        <v>0.7603833865814695</v>
      </c>
      <c r="T223" s="153">
        <f t="shared" si="134"/>
        <v>1.8555729765243802</v>
      </c>
      <c r="U223" s="153">
        <f aca="true" t="shared" si="146" ref="U223:U254">c_3+(SQRT(ftyp)*SQRT(H223)/(SQRT(a_3)*SQRT(b_3)*SQRT(fsw*kHz)))</f>
        <v>1.0727909890596241</v>
      </c>
      <c r="V223" s="153">
        <f aca="true" t="shared" si="147" ref="V223:V254">(a_4*(fsw*kHz)*b_4/ftyp)</f>
        <v>3.833263214726713</v>
      </c>
      <c r="W223" s="153">
        <f aca="true" t="shared" si="148" ref="W223:W254">IF(I223&gt;=0.5,IF(I223&lt;1,I223,IF(N223&gt;=1,IF(N223&lt;2,N223,IF(VCOMP3&gt;=2,IF(T223&lt;4.5,T223,IF(U223&gt;=4.5,IF(U223&lt;4.6,U223,V223))))))))</f>
        <v>1.8060205623746117</v>
      </c>
      <c r="X223" s="169">
        <f aca="true" t="shared" si="149" ref="X223:X254">Pin_max*G223/(Vline*100)</f>
        <v>2.527173913043478</v>
      </c>
      <c r="Y223" s="169">
        <f aca="true" t="shared" si="150" ref="Y223:Y254">-Rsense*X223*1.414</f>
        <v>-0.028587391304347825</v>
      </c>
      <c r="Z223" s="170">
        <f aca="true" t="shared" si="151" ref="Z223:Z254">MIN(6,MAX(0.5,Beta*G*($Y223-Voff_trim)/(MAX(0,MIN(4.5,W223)-Alpha1_A)+MAX(0,MIN(4.5,W223)-Alpha1_B)-Alpha1_C)+Alpha2))</f>
        <v>2.5559841424600602</v>
      </c>
    </row>
    <row r="224" spans="7:26" ht="12.75">
      <c r="G224" s="154">
        <v>34</v>
      </c>
      <c r="H224" s="154">
        <f t="shared" si="135"/>
        <v>0.07707780168874977</v>
      </c>
      <c r="I224" s="154">
        <f t="shared" si="136"/>
        <v>2.737375830227049</v>
      </c>
      <c r="J224" s="154">
        <f t="shared" si="137"/>
        <v>1.093058689830866</v>
      </c>
      <c r="K224" s="154">
        <f t="shared" si="138"/>
        <v>1.0890098220110833</v>
      </c>
      <c r="L224" s="154">
        <f t="shared" si="139"/>
        <v>0.00045657096939147324</v>
      </c>
      <c r="M224" s="154">
        <f t="shared" si="140"/>
        <v>0.5213675213675213</v>
      </c>
      <c r="N224" s="154">
        <f t="shared" si="133"/>
        <v>1.8188589854480448</v>
      </c>
      <c r="O224" s="154">
        <f t="shared" si="141"/>
        <v>0.07325223505585884</v>
      </c>
      <c r="P224" s="154">
        <f t="shared" si="142"/>
        <v>0.31488119670279957</v>
      </c>
      <c r="Q224" s="154">
        <f t="shared" si="143"/>
        <v>0.4881681561573731</v>
      </c>
      <c r="R224" s="154">
        <f t="shared" si="144"/>
        <v>0.06779950800763512</v>
      </c>
      <c r="S224" s="154">
        <f t="shared" si="145"/>
        <v>0.7603833865814695</v>
      </c>
      <c r="T224" s="154">
        <f t="shared" si="134"/>
        <v>1.8649101585757737</v>
      </c>
      <c r="U224" s="154">
        <f t="shared" si="146"/>
        <v>1.0814048707468333</v>
      </c>
      <c r="V224" s="154">
        <f t="shared" si="147"/>
        <v>3.833263214726713</v>
      </c>
      <c r="W224" s="154">
        <f t="shared" si="148"/>
        <v>1.8188589854480448</v>
      </c>
      <c r="X224" s="171">
        <f t="shared" si="149"/>
        <v>2.6037549407114624</v>
      </c>
      <c r="Y224" s="171">
        <f t="shared" si="150"/>
        <v>-0.02945367588932806</v>
      </c>
      <c r="Z224" s="172">
        <f t="shared" si="151"/>
        <v>2.6121232102470047</v>
      </c>
    </row>
    <row r="225" spans="7:26" ht="12.75">
      <c r="G225" s="153">
        <v>35</v>
      </c>
      <c r="H225" s="153">
        <f t="shared" si="135"/>
        <v>0.07934479585606594</v>
      </c>
      <c r="I225" s="153">
        <f t="shared" si="136"/>
        <v>2.7700399789103627</v>
      </c>
      <c r="J225" s="153">
        <f t="shared" si="137"/>
        <v>1.1251481022360308</v>
      </c>
      <c r="K225" s="153">
        <f t="shared" si="138"/>
        <v>1.1210986083133305</v>
      </c>
      <c r="L225" s="153">
        <f t="shared" si="139"/>
        <v>0.00045657096939147324</v>
      </c>
      <c r="M225" s="153">
        <f t="shared" si="140"/>
        <v>0.5213675213675213</v>
      </c>
      <c r="N225" s="153">
        <f t="shared" si="133"/>
        <v>1.8314481642465175</v>
      </c>
      <c r="O225" s="153">
        <f t="shared" si="141"/>
        <v>0.07325223505585884</v>
      </c>
      <c r="P225" s="153">
        <f t="shared" si="142"/>
        <v>0.33309471910312577</v>
      </c>
      <c r="Q225" s="153">
        <f t="shared" si="143"/>
        <v>0.5041612892664803</v>
      </c>
      <c r="R225" s="153">
        <f t="shared" si="144"/>
        <v>0.06779950800763512</v>
      </c>
      <c r="S225" s="153">
        <f t="shared" si="145"/>
        <v>0.7603833865814695</v>
      </c>
      <c r="T225" s="153">
        <f t="shared" si="134"/>
        <v>1.8740831126707076</v>
      </c>
      <c r="U225" s="153">
        <f t="shared" si="146"/>
        <v>1.0898929820809715</v>
      </c>
      <c r="V225" s="153">
        <f t="shared" si="147"/>
        <v>3.833263214726713</v>
      </c>
      <c r="W225" s="153">
        <f t="shared" si="148"/>
        <v>1.8314481642465175</v>
      </c>
      <c r="X225" s="169">
        <f t="shared" si="149"/>
        <v>2.6803359683794468</v>
      </c>
      <c r="Y225" s="169">
        <f t="shared" si="150"/>
        <v>-0.0303199604743083</v>
      </c>
      <c r="Z225" s="170">
        <f t="shared" si="151"/>
        <v>2.667552203917158</v>
      </c>
    </row>
    <row r="226" spans="7:26" ht="12.75">
      <c r="G226" s="155">
        <v>36</v>
      </c>
      <c r="H226" s="154">
        <f t="shared" si="135"/>
        <v>0.0816117900233821</v>
      </c>
      <c r="I226" s="154">
        <f t="shared" si="136"/>
        <v>2.8022407358959094</v>
      </c>
      <c r="J226" s="154">
        <f t="shared" si="137"/>
        <v>1.1572375146411957</v>
      </c>
      <c r="K226" s="154">
        <f t="shared" si="138"/>
        <v>1.1531873946155775</v>
      </c>
      <c r="L226" s="154">
        <f t="shared" si="139"/>
        <v>0.00045657096939147324</v>
      </c>
      <c r="M226" s="154">
        <f t="shared" si="140"/>
        <v>0.5213675213675213</v>
      </c>
      <c r="N226" s="154">
        <f t="shared" si="133"/>
        <v>1.8437998553042265</v>
      </c>
      <c r="O226" s="154">
        <f t="shared" si="141"/>
        <v>0.07325223505585884</v>
      </c>
      <c r="P226" s="154">
        <f t="shared" si="142"/>
        <v>0.35181980211674324</v>
      </c>
      <c r="Q226" s="154">
        <f t="shared" si="143"/>
        <v>0.5201544223755875</v>
      </c>
      <c r="R226" s="154">
        <f t="shared" si="144"/>
        <v>0.06779950800763512</v>
      </c>
      <c r="S226" s="154">
        <f t="shared" si="145"/>
        <v>0.7603833865814695</v>
      </c>
      <c r="T226" s="154">
        <f t="shared" si="134"/>
        <v>1.8830989492960706</v>
      </c>
      <c r="U226" s="154">
        <f t="shared" si="146"/>
        <v>1.0982606763682707</v>
      </c>
      <c r="V226" s="154">
        <f t="shared" si="147"/>
        <v>3.833263214726713</v>
      </c>
      <c r="W226" s="154">
        <f t="shared" si="148"/>
        <v>1.8437998553042265</v>
      </c>
      <c r="X226" s="171">
        <f t="shared" si="149"/>
        <v>2.7569169960474307</v>
      </c>
      <c r="Y226" s="171">
        <f t="shared" si="150"/>
        <v>-0.031186245059288534</v>
      </c>
      <c r="Z226" s="172">
        <f t="shared" si="151"/>
        <v>2.7223040100906455</v>
      </c>
    </row>
    <row r="227" spans="7:26" ht="12.75">
      <c r="G227" s="153">
        <v>37</v>
      </c>
      <c r="H227" s="153">
        <f t="shared" si="135"/>
        <v>0.08387878419069827</v>
      </c>
      <c r="I227" s="153">
        <f t="shared" si="136"/>
        <v>2.8339972806723064</v>
      </c>
      <c r="J227" s="153">
        <f t="shared" si="137"/>
        <v>1.1893269270463604</v>
      </c>
      <c r="K227" s="153">
        <f t="shared" si="138"/>
        <v>1.185276180917825</v>
      </c>
      <c r="L227" s="153">
        <f t="shared" si="139"/>
        <v>0.00045657096939147324</v>
      </c>
      <c r="M227" s="153">
        <f t="shared" si="140"/>
        <v>0.5213675213675213</v>
      </c>
      <c r="N227" s="153">
        <f t="shared" si="133"/>
        <v>1.8559249522098413</v>
      </c>
      <c r="O227" s="153">
        <f t="shared" si="141"/>
        <v>0.07325223505585884</v>
      </c>
      <c r="P227" s="153">
        <f t="shared" si="142"/>
        <v>0.37105644574365193</v>
      </c>
      <c r="Q227" s="153">
        <f t="shared" si="143"/>
        <v>0.5361475554846948</v>
      </c>
      <c r="R227" s="153">
        <f t="shared" si="144"/>
        <v>0.06779950800763512</v>
      </c>
      <c r="S227" s="153">
        <f t="shared" si="145"/>
        <v>0.7603833865814695</v>
      </c>
      <c r="T227" s="153">
        <f t="shared" si="134"/>
        <v>1.8919642964584307</v>
      </c>
      <c r="U227" s="153">
        <f t="shared" si="146"/>
        <v>1.1065129375939646</v>
      </c>
      <c r="V227" s="153">
        <f t="shared" si="147"/>
        <v>3.833263214726713</v>
      </c>
      <c r="W227" s="153">
        <f t="shared" si="148"/>
        <v>1.8559249522098413</v>
      </c>
      <c r="X227" s="169">
        <f t="shared" si="149"/>
        <v>2.8334980237154146</v>
      </c>
      <c r="Y227" s="169">
        <f t="shared" si="150"/>
        <v>-0.03205252964426877</v>
      </c>
      <c r="Z227" s="170">
        <f t="shared" si="151"/>
        <v>2.7764090162653967</v>
      </c>
    </row>
    <row r="228" spans="7:26" ht="12.75">
      <c r="G228" s="154">
        <v>38</v>
      </c>
      <c r="H228" s="154">
        <f t="shared" si="135"/>
        <v>0.08614577835801447</v>
      </c>
      <c r="I228" s="154">
        <f t="shared" si="136"/>
        <v>2.865327505093725</v>
      </c>
      <c r="J228" s="154">
        <f t="shared" si="137"/>
        <v>1.2214163394515254</v>
      </c>
      <c r="K228" s="154">
        <f t="shared" si="138"/>
        <v>1.2173649672200724</v>
      </c>
      <c r="L228" s="154">
        <f t="shared" si="139"/>
        <v>0.00045657096939147324</v>
      </c>
      <c r="M228" s="154">
        <f t="shared" si="140"/>
        <v>0.5213675213675213</v>
      </c>
      <c r="N228" s="154">
        <f t="shared" si="133"/>
        <v>1.8678335703762092</v>
      </c>
      <c r="O228" s="154">
        <f t="shared" si="141"/>
        <v>0.07325223505585884</v>
      </c>
      <c r="P228" s="154">
        <f t="shared" si="142"/>
        <v>0.39080464998385206</v>
      </c>
      <c r="Q228" s="154">
        <f t="shared" si="143"/>
        <v>0.5521406885938022</v>
      </c>
      <c r="R228" s="154">
        <f t="shared" si="144"/>
        <v>0.06779950800763512</v>
      </c>
      <c r="S228" s="154">
        <f t="shared" si="145"/>
        <v>0.7603833865814695</v>
      </c>
      <c r="T228" s="154">
        <f t="shared" si="134"/>
        <v>1.9006853437127915</v>
      </c>
      <c r="U228" s="154">
        <f t="shared" si="146"/>
        <v>1.1146544151383766</v>
      </c>
      <c r="V228" s="154">
        <f t="shared" si="147"/>
        <v>3.833263214726713</v>
      </c>
      <c r="W228" s="154">
        <f t="shared" si="148"/>
        <v>1.8678335703762092</v>
      </c>
      <c r="X228" s="171">
        <f t="shared" si="149"/>
        <v>2.910079051383399</v>
      </c>
      <c r="Y228" s="171">
        <f t="shared" si="150"/>
        <v>-0.032918814229249006</v>
      </c>
      <c r="Z228" s="172">
        <f t="shared" si="151"/>
        <v>2.829895368199694</v>
      </c>
    </row>
    <row r="229" spans="7:26" ht="12.75">
      <c r="G229" s="153">
        <v>39</v>
      </c>
      <c r="H229" s="153">
        <f t="shared" si="135"/>
        <v>0.08841277252533064</v>
      </c>
      <c r="I229" s="153">
        <f t="shared" si="136"/>
        <v>2.896248131250202</v>
      </c>
      <c r="J229" s="153">
        <f t="shared" si="137"/>
        <v>1.2535057518566899</v>
      </c>
      <c r="K229" s="153">
        <f t="shared" si="138"/>
        <v>1.2494537535223198</v>
      </c>
      <c r="L229" s="153">
        <f t="shared" si="139"/>
        <v>0.00045657096939147324</v>
      </c>
      <c r="M229" s="153">
        <f t="shared" si="140"/>
        <v>0.5213675213675213</v>
      </c>
      <c r="N229" s="153">
        <f t="shared" si="133"/>
        <v>1.879535121487437</v>
      </c>
      <c r="O229" s="153">
        <f t="shared" si="141"/>
        <v>0.07325223505585884</v>
      </c>
      <c r="P229" s="153">
        <f t="shared" si="142"/>
        <v>0.4110644148373432</v>
      </c>
      <c r="Q229" s="153">
        <f t="shared" si="143"/>
        <v>0.5681338217029095</v>
      </c>
      <c r="R229" s="153">
        <f t="shared" si="144"/>
        <v>0.06779950800763512</v>
      </c>
      <c r="S229" s="153">
        <f t="shared" si="145"/>
        <v>0.7603833865814695</v>
      </c>
      <c r="T229" s="153">
        <f t="shared" si="134"/>
        <v>1.9092678811918875</v>
      </c>
      <c r="U229" s="153">
        <f t="shared" si="146"/>
        <v>1.1226894544067205</v>
      </c>
      <c r="V229" s="153">
        <f t="shared" si="147"/>
        <v>3.833263214726713</v>
      </c>
      <c r="W229" s="153">
        <f t="shared" si="148"/>
        <v>1.879535121487437</v>
      </c>
      <c r="X229" s="169">
        <f t="shared" si="149"/>
        <v>2.9866600790513833</v>
      </c>
      <c r="Y229" s="169">
        <f t="shared" si="150"/>
        <v>-0.033785098814229246</v>
      </c>
      <c r="Z229" s="170">
        <f t="shared" si="151"/>
        <v>2.88278919436319</v>
      </c>
    </row>
    <row r="230" spans="7:26" ht="12.75">
      <c r="G230" s="154">
        <v>40</v>
      </c>
      <c r="H230" s="154">
        <f t="shared" si="135"/>
        <v>0.09067976669264682</v>
      </c>
      <c r="I230" s="154">
        <f t="shared" si="136"/>
        <v>2.926774815817749</v>
      </c>
      <c r="J230" s="154">
        <f t="shared" si="137"/>
        <v>1.2855951642618548</v>
      </c>
      <c r="K230" s="154">
        <f t="shared" si="138"/>
        <v>1.2815425398245672</v>
      </c>
      <c r="L230" s="154">
        <f t="shared" si="139"/>
        <v>0.00045657096939147324</v>
      </c>
      <c r="M230" s="154">
        <f t="shared" si="140"/>
        <v>0.5213675213675213</v>
      </c>
      <c r="N230" s="154">
        <f t="shared" si="133"/>
        <v>1.8910383791110306</v>
      </c>
      <c r="O230" s="154">
        <f t="shared" si="141"/>
        <v>0.07325223505585884</v>
      </c>
      <c r="P230" s="154">
        <f t="shared" si="142"/>
        <v>0.43183574030412564</v>
      </c>
      <c r="Q230" s="154">
        <f t="shared" si="143"/>
        <v>0.5841269548120168</v>
      </c>
      <c r="R230" s="154">
        <f t="shared" si="144"/>
        <v>0.06779950800763512</v>
      </c>
      <c r="S230" s="154">
        <f t="shared" si="145"/>
        <v>0.7603833865814695</v>
      </c>
      <c r="T230" s="154">
        <f t="shared" si="134"/>
        <v>1.917717334309963</v>
      </c>
      <c r="U230" s="154">
        <f t="shared" si="146"/>
        <v>1.1306221239455359</v>
      </c>
      <c r="V230" s="154">
        <f t="shared" si="147"/>
        <v>3.833263214726713</v>
      </c>
      <c r="W230" s="154">
        <f t="shared" si="148"/>
        <v>1.8910383791110306</v>
      </c>
      <c r="X230" s="171">
        <f t="shared" si="149"/>
        <v>3.0632411067193672</v>
      </c>
      <c r="Y230" s="171">
        <f t="shared" si="150"/>
        <v>-0.03465138339920948</v>
      </c>
      <c r="Z230" s="172">
        <f t="shared" si="151"/>
        <v>2.935114802437092</v>
      </c>
    </row>
    <row r="231" spans="7:26" ht="12.75">
      <c r="G231" s="153">
        <v>41</v>
      </c>
      <c r="H231" s="153">
        <f t="shared" si="135"/>
        <v>0.09294676085996294</v>
      </c>
      <c r="I231" s="153">
        <f t="shared" si="136"/>
        <v>2.9569222427367223</v>
      </c>
      <c r="J231" s="153">
        <f t="shared" si="137"/>
        <v>1.3176845766670189</v>
      </c>
      <c r="K231" s="153">
        <f t="shared" si="138"/>
        <v>1.3136313261268138</v>
      </c>
      <c r="L231" s="153">
        <f t="shared" si="139"/>
        <v>0.00045657096939147324</v>
      </c>
      <c r="M231" s="153">
        <f t="shared" si="140"/>
        <v>0.5213675213675213</v>
      </c>
      <c r="N231" s="153">
        <f t="shared" si="133"/>
        <v>1.902351536716759</v>
      </c>
      <c r="O231" s="153">
        <f t="shared" si="141"/>
        <v>0.07325223505585884</v>
      </c>
      <c r="P231" s="153">
        <f t="shared" si="142"/>
        <v>0.4531186263841988</v>
      </c>
      <c r="Q231" s="153">
        <f t="shared" si="143"/>
        <v>0.6001200879211237</v>
      </c>
      <c r="R231" s="153">
        <f t="shared" si="144"/>
        <v>0.06779950800763512</v>
      </c>
      <c r="S231" s="153">
        <f t="shared" si="145"/>
        <v>0.7603833865814695</v>
      </c>
      <c r="T231" s="153">
        <f t="shared" si="134"/>
        <v>1.9260387947104651</v>
      </c>
      <c r="U231" s="153">
        <f t="shared" si="146"/>
        <v>1.138456239526107</v>
      </c>
      <c r="V231" s="153">
        <f t="shared" si="147"/>
        <v>3.833263214726713</v>
      </c>
      <c r="W231" s="153">
        <f t="shared" si="148"/>
        <v>1.902351536716759</v>
      </c>
      <c r="X231" s="169">
        <f t="shared" si="149"/>
        <v>3.139822134387351</v>
      </c>
      <c r="Y231" s="169">
        <f t="shared" si="150"/>
        <v>-0.03551766798418971</v>
      </c>
      <c r="Z231" s="170">
        <f t="shared" si="151"/>
        <v>2.986894851981961</v>
      </c>
    </row>
    <row r="232" spans="7:26" ht="12.75">
      <c r="G232" s="154">
        <v>42</v>
      </c>
      <c r="H232" s="154">
        <f t="shared" si="135"/>
        <v>0.09521375502727913</v>
      </c>
      <c r="I232" s="154">
        <f t="shared" si="136"/>
        <v>2.9867042057755135</v>
      </c>
      <c r="J232" s="154">
        <f t="shared" si="137"/>
        <v>1.349773989072184</v>
      </c>
      <c r="K232" s="154">
        <f t="shared" si="138"/>
        <v>1.3457201124290612</v>
      </c>
      <c r="L232" s="154">
        <f t="shared" si="139"/>
        <v>0.00045657096939147324</v>
      </c>
      <c r="M232" s="154">
        <f t="shared" si="140"/>
        <v>0.5213675213675213</v>
      </c>
      <c r="N232" s="154">
        <f t="shared" si="133"/>
        <v>1.9134822591435854</v>
      </c>
      <c r="O232" s="154">
        <f t="shared" si="141"/>
        <v>0.07325223505585884</v>
      </c>
      <c r="P232" s="154">
        <f t="shared" si="142"/>
        <v>0.47491307307756403</v>
      </c>
      <c r="Q232" s="154">
        <f t="shared" si="143"/>
        <v>0.6161132210302311</v>
      </c>
      <c r="R232" s="154">
        <f t="shared" si="144"/>
        <v>0.06779950800763512</v>
      </c>
      <c r="S232" s="154">
        <f t="shared" si="145"/>
        <v>0.7603833865814695</v>
      </c>
      <c r="T232" s="154">
        <f t="shared" si="134"/>
        <v>1.9342370479407962</v>
      </c>
      <c r="U232" s="154">
        <f t="shared" si="146"/>
        <v>1.1461953855994778</v>
      </c>
      <c r="V232" s="154">
        <f t="shared" si="147"/>
        <v>3.833263214726713</v>
      </c>
      <c r="W232" s="154">
        <f t="shared" si="148"/>
        <v>1.9134822591435854</v>
      </c>
      <c r="X232" s="171">
        <f t="shared" si="149"/>
        <v>3.2164031620553355</v>
      </c>
      <c r="Y232" s="171">
        <f t="shared" si="150"/>
        <v>-0.03638395256916995</v>
      </c>
      <c r="Z232" s="172">
        <f t="shared" si="151"/>
        <v>3.0381505066963</v>
      </c>
    </row>
    <row r="233" spans="7:26" ht="12.75">
      <c r="G233" s="153">
        <v>43</v>
      </c>
      <c r="H233" s="153">
        <f t="shared" si="135"/>
        <v>0.09748074919459529</v>
      </c>
      <c r="I233" s="153">
        <f t="shared" si="136"/>
        <v>3.016133682296871</v>
      </c>
      <c r="J233" s="153">
        <f t="shared" si="137"/>
        <v>1.3818634014773483</v>
      </c>
      <c r="K233" s="153">
        <f t="shared" si="138"/>
        <v>1.3778088987313082</v>
      </c>
      <c r="L233" s="153">
        <f t="shared" si="139"/>
        <v>0.00045657096939147324</v>
      </c>
      <c r="M233" s="153">
        <f t="shared" si="140"/>
        <v>0.5213675213675213</v>
      </c>
      <c r="N233" s="153">
        <f t="shared" si="133"/>
        <v>1.9244377283919334</v>
      </c>
      <c r="O233" s="153">
        <f t="shared" si="141"/>
        <v>0.07325223505585884</v>
      </c>
      <c r="P233" s="153">
        <f t="shared" si="142"/>
        <v>0.49721908038422</v>
      </c>
      <c r="Q233" s="153">
        <f t="shared" si="143"/>
        <v>0.6321063541393382</v>
      </c>
      <c r="R233" s="153">
        <f t="shared" si="144"/>
        <v>0.06779950800763512</v>
      </c>
      <c r="S233" s="153">
        <f t="shared" si="145"/>
        <v>0.7603833865814695</v>
      </c>
      <c r="T233" s="153">
        <f t="shared" si="134"/>
        <v>1.942316598265698</v>
      </c>
      <c r="U233" s="153">
        <f t="shared" si="146"/>
        <v>1.1538429344653782</v>
      </c>
      <c r="V233" s="153">
        <f t="shared" si="147"/>
        <v>3.833263214726713</v>
      </c>
      <c r="W233" s="153">
        <f t="shared" si="148"/>
        <v>1.9244377283919334</v>
      </c>
      <c r="X233" s="169">
        <f t="shared" si="149"/>
        <v>3.29298418972332</v>
      </c>
      <c r="Y233" s="169">
        <f t="shared" si="150"/>
        <v>-0.03725023715415019</v>
      </c>
      <c r="Z233" s="170">
        <f t="shared" si="151"/>
        <v>3.0889015691254156</v>
      </c>
    </row>
    <row r="234" spans="7:26" ht="12.75">
      <c r="G234" s="154">
        <v>44</v>
      </c>
      <c r="H234" s="154">
        <f t="shared" si="135"/>
        <v>0.09974774336191147</v>
      </c>
      <c r="I234" s="154">
        <f t="shared" si="136"/>
        <v>3.0452228993461445</v>
      </c>
      <c r="J234" s="154">
        <f t="shared" si="137"/>
        <v>1.4139528138825133</v>
      </c>
      <c r="K234" s="154">
        <f t="shared" si="138"/>
        <v>1.4098976850335556</v>
      </c>
      <c r="L234" s="154">
        <f t="shared" si="139"/>
        <v>0.00045657096939147324</v>
      </c>
      <c r="M234" s="154">
        <f t="shared" si="140"/>
        <v>0.5213675213675213</v>
      </c>
      <c r="N234" s="154">
        <f t="shared" si="133"/>
        <v>1.9352246844835657</v>
      </c>
      <c r="O234" s="154">
        <f t="shared" si="141"/>
        <v>0.07325223505585884</v>
      </c>
      <c r="P234" s="154">
        <f t="shared" si="142"/>
        <v>0.5200366483041676</v>
      </c>
      <c r="Q234" s="154">
        <f t="shared" si="143"/>
        <v>0.6480994872484456</v>
      </c>
      <c r="R234" s="154">
        <f t="shared" si="144"/>
        <v>0.06779950800763512</v>
      </c>
      <c r="S234" s="154">
        <f t="shared" si="145"/>
        <v>0.7603833865814695</v>
      </c>
      <c r="T234" s="154">
        <f t="shared" si="134"/>
        <v>1.9502816909712168</v>
      </c>
      <c r="U234" s="154">
        <f t="shared" si="146"/>
        <v>1.1614020634459319</v>
      </c>
      <c r="V234" s="154">
        <f t="shared" si="147"/>
        <v>3.833263214726713</v>
      </c>
      <c r="W234" s="154">
        <f t="shared" si="148"/>
        <v>1.9352246844835657</v>
      </c>
      <c r="X234" s="171">
        <f t="shared" si="149"/>
        <v>3.369565217391304</v>
      </c>
      <c r="Y234" s="171">
        <f t="shared" si="150"/>
        <v>-0.03811652173913043</v>
      </c>
      <c r="Z234" s="172">
        <f t="shared" si="151"/>
        <v>3.1391666002202863</v>
      </c>
    </row>
    <row r="235" spans="7:26" ht="12.75">
      <c r="G235" s="153">
        <v>45</v>
      </c>
      <c r="H235" s="153">
        <f t="shared" si="135"/>
        <v>0.10201473752922767</v>
      </c>
      <c r="I235" s="153">
        <f t="shared" si="136"/>
        <v>3.0739833930161975</v>
      </c>
      <c r="J235" s="153">
        <f t="shared" si="137"/>
        <v>1.4460422262876782</v>
      </c>
      <c r="K235" s="153">
        <f t="shared" si="138"/>
        <v>1.4419864713358033</v>
      </c>
      <c r="L235" s="153">
        <f t="shared" si="139"/>
        <v>0.00045657096939147324</v>
      </c>
      <c r="M235" s="153">
        <f t="shared" si="140"/>
        <v>0.5213675213675213</v>
      </c>
      <c r="N235" s="153">
        <f t="shared" si="133"/>
        <v>1.9458494620196791</v>
      </c>
      <c r="O235" s="153">
        <f t="shared" si="141"/>
        <v>0.07325223505585884</v>
      </c>
      <c r="P235" s="153">
        <f t="shared" si="142"/>
        <v>0.5433657768374065</v>
      </c>
      <c r="Q235" s="153">
        <f t="shared" si="143"/>
        <v>0.664092620357553</v>
      </c>
      <c r="R235" s="153">
        <f t="shared" si="144"/>
        <v>0.06779950800763512</v>
      </c>
      <c r="S235" s="153">
        <f t="shared" si="145"/>
        <v>0.7603833865814695</v>
      </c>
      <c r="T235" s="153">
        <f t="shared" si="134"/>
        <v>1.958136332461289</v>
      </c>
      <c r="U235" s="153">
        <f t="shared" si="146"/>
        <v>1.1688757703122277</v>
      </c>
      <c r="V235" s="153">
        <f t="shared" si="147"/>
        <v>3.833263214726713</v>
      </c>
      <c r="W235" s="153">
        <f t="shared" si="148"/>
        <v>1.9458494620196791</v>
      </c>
      <c r="X235" s="169">
        <f t="shared" si="149"/>
        <v>3.446146245059288</v>
      </c>
      <c r="Y235" s="169">
        <f t="shared" si="150"/>
        <v>-0.038982806324110664</v>
      </c>
      <c r="Z235" s="170">
        <f t="shared" si="151"/>
        <v>3.1889630257694175</v>
      </c>
    </row>
    <row r="236" spans="7:26" ht="12.75">
      <c r="G236" s="154">
        <v>46</v>
      </c>
      <c r="H236" s="154">
        <f t="shared" si="135"/>
        <v>0.10428173169654383</v>
      </c>
      <c r="I236" s="154">
        <f t="shared" si="136"/>
        <v>3.1024260619065354</v>
      </c>
      <c r="J236" s="154">
        <f t="shared" si="137"/>
        <v>1.478131638692843</v>
      </c>
      <c r="K236" s="154">
        <f t="shared" si="138"/>
        <v>1.4740752576380505</v>
      </c>
      <c r="L236" s="154">
        <f t="shared" si="139"/>
        <v>0.00045657096939147324</v>
      </c>
      <c r="M236" s="154">
        <f t="shared" si="140"/>
        <v>0.5213675213675213</v>
      </c>
      <c r="N236" s="154">
        <f t="shared" si="133"/>
        <v>1.95631802297507</v>
      </c>
      <c r="O236" s="154">
        <f t="shared" si="141"/>
        <v>0.07325223505585884</v>
      </c>
      <c r="P236" s="154">
        <f t="shared" si="142"/>
        <v>0.5672064659839361</v>
      </c>
      <c r="Q236" s="154">
        <f t="shared" si="143"/>
        <v>0.6800857534666602</v>
      </c>
      <c r="R236" s="154">
        <f t="shared" si="144"/>
        <v>0.06779950800763512</v>
      </c>
      <c r="S236" s="154">
        <f t="shared" si="145"/>
        <v>0.7603833865814695</v>
      </c>
      <c r="T236" s="154">
        <f t="shared" si="134"/>
        <v>1.96588430840707</v>
      </c>
      <c r="U236" s="154">
        <f t="shared" si="146"/>
        <v>1.176266887176221</v>
      </c>
      <c r="V236" s="154">
        <f t="shared" si="147"/>
        <v>3.833263214726713</v>
      </c>
      <c r="W236" s="154">
        <f t="shared" si="148"/>
        <v>1.95631802297507</v>
      </c>
      <c r="X236" s="171">
        <f t="shared" si="149"/>
        <v>3.522727272727273</v>
      </c>
      <c r="Y236" s="171">
        <f t="shared" si="150"/>
        <v>-0.03984909090909091</v>
      </c>
      <c r="Z236" s="172">
        <f t="shared" si="151"/>
        <v>3.238307231416232</v>
      </c>
    </row>
    <row r="237" spans="7:26" ht="12.75">
      <c r="G237" s="153">
        <v>47</v>
      </c>
      <c r="H237" s="153">
        <f t="shared" si="135"/>
        <v>0.10654872586385997</v>
      </c>
      <c r="I237" s="153">
        <f t="shared" si="136"/>
        <v>3.1305612153792466</v>
      </c>
      <c r="J237" s="153">
        <f t="shared" si="137"/>
        <v>1.5102210510980074</v>
      </c>
      <c r="K237" s="153">
        <f t="shared" si="138"/>
        <v>1.5061640439402972</v>
      </c>
      <c r="L237" s="153">
        <f t="shared" si="139"/>
        <v>0.00045657096939147324</v>
      </c>
      <c r="M237" s="153">
        <f t="shared" si="140"/>
        <v>0.5213675213675213</v>
      </c>
      <c r="N237" s="153">
        <f t="shared" si="133"/>
        <v>1.966635986188803</v>
      </c>
      <c r="O237" s="153">
        <f t="shared" si="141"/>
        <v>0.07325223505585884</v>
      </c>
      <c r="P237" s="153">
        <f t="shared" si="142"/>
        <v>0.591558715743757</v>
      </c>
      <c r="Q237" s="153">
        <f t="shared" si="143"/>
        <v>0.6960788865757672</v>
      </c>
      <c r="R237" s="153">
        <f t="shared" si="144"/>
        <v>0.06779950800763512</v>
      </c>
      <c r="S237" s="153">
        <f t="shared" si="145"/>
        <v>0.7603833865814695</v>
      </c>
      <c r="T237" s="153">
        <f t="shared" si="134"/>
        <v>1.9735292001737577</v>
      </c>
      <c r="U237" s="153">
        <f t="shared" si="146"/>
        <v>1.1835780930305293</v>
      </c>
      <c r="V237" s="153">
        <f t="shared" si="147"/>
        <v>3.833263214726713</v>
      </c>
      <c r="W237" s="153">
        <f t="shared" si="148"/>
        <v>1.966635986188803</v>
      </c>
      <c r="X237" s="169">
        <f t="shared" si="149"/>
        <v>3.599308300395257</v>
      </c>
      <c r="Y237" s="169">
        <f t="shared" si="150"/>
        <v>-0.04071537549407114</v>
      </c>
      <c r="Z237" s="170">
        <f t="shared" si="151"/>
        <v>3.2872146477176405</v>
      </c>
    </row>
    <row r="238" spans="7:26" ht="12.75">
      <c r="G238" s="154">
        <v>48</v>
      </c>
      <c r="H238" s="154">
        <f t="shared" si="135"/>
        <v>0.10881572003117614</v>
      </c>
      <c r="I238" s="154">
        <f t="shared" si="136"/>
        <v>3.1583986172176512</v>
      </c>
      <c r="J238" s="154">
        <f t="shared" si="137"/>
        <v>1.5423104635031717</v>
      </c>
      <c r="K238" s="154">
        <f t="shared" si="138"/>
        <v>1.5382528302425444</v>
      </c>
      <c r="L238" s="154">
        <f t="shared" si="139"/>
        <v>0.00045657096939147324</v>
      </c>
      <c r="M238" s="154">
        <f t="shared" si="140"/>
        <v>0.5213675213675213</v>
      </c>
      <c r="N238" s="154">
        <f t="shared" si="133"/>
        <v>1.9768086539469518</v>
      </c>
      <c r="O238" s="154">
        <f t="shared" si="141"/>
        <v>0.07325223505585884</v>
      </c>
      <c r="P238" s="154">
        <f t="shared" si="142"/>
        <v>0.6164225261168693</v>
      </c>
      <c r="Q238" s="154">
        <f t="shared" si="143"/>
        <v>0.7120720196848745</v>
      </c>
      <c r="R238" s="154">
        <f t="shared" si="144"/>
        <v>0.06779950800763512</v>
      </c>
      <c r="S238" s="154">
        <f t="shared" si="145"/>
        <v>0.7603833865814695</v>
      </c>
      <c r="T238" s="154">
        <f t="shared" si="134"/>
        <v>1.9810743997197253</v>
      </c>
      <c r="U238" s="154">
        <f t="shared" si="146"/>
        <v>1.1908119250935774</v>
      </c>
      <c r="V238" s="154">
        <f t="shared" si="147"/>
        <v>3.833263214726713</v>
      </c>
      <c r="W238" s="154">
        <f t="shared" si="148"/>
        <v>1.9768086539469518</v>
      </c>
      <c r="X238" s="171">
        <f t="shared" si="149"/>
        <v>3.6758893280632408</v>
      </c>
      <c r="Y238" s="171">
        <f t="shared" si="150"/>
        <v>-0.04158166007905138</v>
      </c>
      <c r="Z238" s="172">
        <f t="shared" si="151"/>
        <v>3.335699826485889</v>
      </c>
    </row>
    <row r="239" spans="7:26" ht="12.75">
      <c r="G239" s="153">
        <v>49</v>
      </c>
      <c r="H239" s="153">
        <f t="shared" si="135"/>
        <v>0.11108271419849233</v>
      </c>
      <c r="I239" s="153">
        <f t="shared" si="136"/>
        <v>3.185947525211895</v>
      </c>
      <c r="J239" s="153">
        <f t="shared" si="137"/>
        <v>1.5743998759083369</v>
      </c>
      <c r="K239" s="153">
        <f t="shared" si="138"/>
        <v>1.570341616544792</v>
      </c>
      <c r="L239" s="153">
        <f t="shared" si="139"/>
        <v>0.00045657096939147324</v>
      </c>
      <c r="M239" s="153">
        <f t="shared" si="140"/>
        <v>0.5213675213675213</v>
      </c>
      <c r="N239" s="153">
        <f t="shared" si="133"/>
        <v>1.986841035998409</v>
      </c>
      <c r="O239" s="153">
        <f t="shared" si="141"/>
        <v>0.07325223505585884</v>
      </c>
      <c r="P239" s="153">
        <f t="shared" si="142"/>
        <v>0.6417978971032733</v>
      </c>
      <c r="Q239" s="153">
        <f t="shared" si="143"/>
        <v>0.728065152793982</v>
      </c>
      <c r="R239" s="153">
        <f t="shared" si="144"/>
        <v>0.06779950800763512</v>
      </c>
      <c r="S239" s="153">
        <f t="shared" si="145"/>
        <v>0.7603833865814695</v>
      </c>
      <c r="T239" s="153">
        <f t="shared" si="134"/>
        <v>1.9885231231373366</v>
      </c>
      <c r="U239" s="153">
        <f t="shared" si="146"/>
        <v>1.1979707890963158</v>
      </c>
      <c r="V239" s="153">
        <f t="shared" si="147"/>
        <v>3.833263214726713</v>
      </c>
      <c r="W239" s="153">
        <f t="shared" si="148"/>
        <v>1.986841035998409</v>
      </c>
      <c r="X239" s="169">
        <f t="shared" si="149"/>
        <v>3.7524703557312247</v>
      </c>
      <c r="Y239" s="169">
        <f t="shared" si="150"/>
        <v>-0.042447944664031616</v>
      </c>
      <c r="Z239" s="170">
        <f t="shared" si="151"/>
        <v>3.3837765094773458</v>
      </c>
    </row>
    <row r="240" spans="7:26" ht="12.75">
      <c r="G240" s="155">
        <v>50</v>
      </c>
      <c r="H240" s="155">
        <f t="shared" si="135"/>
        <v>0.11334970836580849</v>
      </c>
      <c r="I240" s="155">
        <f t="shared" si="136"/>
        <v>3.213216727126509</v>
      </c>
      <c r="J240" s="155">
        <f t="shared" si="137"/>
        <v>1.6064892883135014</v>
      </c>
      <c r="K240" s="155">
        <f t="shared" si="138"/>
        <v>1.6024304028470389</v>
      </c>
      <c r="L240" s="155">
        <f t="shared" si="139"/>
        <v>0.00045657096939147324</v>
      </c>
      <c r="M240" s="155">
        <f t="shared" si="140"/>
        <v>0.5213675213675213</v>
      </c>
      <c r="N240" s="155">
        <f t="shared" si="133"/>
        <v>1.996737871298665</v>
      </c>
      <c r="O240" s="155">
        <f t="shared" si="141"/>
        <v>0.07325223505585884</v>
      </c>
      <c r="P240" s="155">
        <f t="shared" si="142"/>
        <v>0.667684828702968</v>
      </c>
      <c r="Q240" s="155">
        <f t="shared" si="143"/>
        <v>0.7440582859030891</v>
      </c>
      <c r="R240" s="155">
        <f t="shared" si="144"/>
        <v>0.06779950800763512</v>
      </c>
      <c r="S240" s="155">
        <f t="shared" si="145"/>
        <v>0.7603833865814695</v>
      </c>
      <c r="T240" s="155">
        <f t="shared" si="134"/>
        <v>1.9958784229831272</v>
      </c>
      <c r="U240" s="155">
        <f t="shared" si="146"/>
        <v>1.205056968628758</v>
      </c>
      <c r="V240" s="155">
        <f t="shared" si="147"/>
        <v>3.833263214726713</v>
      </c>
      <c r="W240" s="155">
        <f t="shared" si="148"/>
        <v>1.996737871298665</v>
      </c>
      <c r="X240" s="171">
        <f t="shared" si="149"/>
        <v>3.8290513833992086</v>
      </c>
      <c r="Y240" s="171">
        <f t="shared" si="150"/>
        <v>-0.04331422924901185</v>
      </c>
      <c r="Z240" s="172">
        <f t="shared" si="151"/>
        <v>3.4314576903424205</v>
      </c>
    </row>
    <row r="241" spans="7:26" ht="12.75">
      <c r="G241" s="153">
        <v>51</v>
      </c>
      <c r="H241" s="153">
        <f t="shared" si="135"/>
        <v>0.11561670253312469</v>
      </c>
      <c r="I241" s="153">
        <f t="shared" si="136"/>
        <v>3.2402145734460777</v>
      </c>
      <c r="J241" s="153">
        <f t="shared" si="137"/>
        <v>1.6385787007186665</v>
      </c>
      <c r="K241" s="153">
        <f t="shared" si="138"/>
        <v>1.6345191891492867</v>
      </c>
      <c r="L241" s="153">
        <f t="shared" si="139"/>
        <v>0.00045657096939147324</v>
      </c>
      <c r="M241" s="153">
        <f t="shared" si="140"/>
        <v>0.5213675213675213</v>
      </c>
      <c r="N241" s="153">
        <f t="shared" si="133"/>
        <v>2.006503647737392</v>
      </c>
      <c r="O241" s="153">
        <f t="shared" si="141"/>
        <v>0.07325223505585884</v>
      </c>
      <c r="P241" s="153">
        <f t="shared" si="142"/>
        <v>0.6940833209159544</v>
      </c>
      <c r="Q241" s="153">
        <f t="shared" si="143"/>
        <v>0.7600514190121965</v>
      </c>
      <c r="R241" s="153">
        <f t="shared" si="144"/>
        <v>0.06779950800763512</v>
      </c>
      <c r="S241" s="153">
        <f t="shared" si="145"/>
        <v>0.7603833865814695</v>
      </c>
      <c r="T241" s="153">
        <f t="shared" si="134"/>
        <v>2.0031431995264786</v>
      </c>
      <c r="U241" s="153">
        <f t="shared" si="146"/>
        <v>1.2120726336492738</v>
      </c>
      <c r="V241" s="153">
        <f t="shared" si="147"/>
        <v>3.833263214726713</v>
      </c>
      <c r="W241" s="153">
        <f t="shared" si="148"/>
        <v>2.0031431995264786</v>
      </c>
      <c r="X241" s="169">
        <f t="shared" si="149"/>
        <v>3.9056324110671934</v>
      </c>
      <c r="Y241" s="169">
        <f t="shared" si="150"/>
        <v>-0.04418051383399209</v>
      </c>
      <c r="Z241" s="170">
        <f t="shared" si="151"/>
        <v>3.4792038884160594</v>
      </c>
    </row>
    <row r="242" spans="7:26" ht="12.75">
      <c r="G242" s="154">
        <v>52</v>
      </c>
      <c r="H242" s="154">
        <f t="shared" si="135"/>
        <v>0.11788369670044083</v>
      </c>
      <c r="I242" s="154">
        <f t="shared" si="136"/>
        <v>3.2669490072448846</v>
      </c>
      <c r="J242" s="154">
        <f t="shared" si="137"/>
        <v>1.6706681131238308</v>
      </c>
      <c r="K242" s="154">
        <f t="shared" si="138"/>
        <v>1.6666079754515335</v>
      </c>
      <c r="L242" s="154">
        <f t="shared" si="139"/>
        <v>0.00045657096939147324</v>
      </c>
      <c r="M242" s="154">
        <f t="shared" si="140"/>
        <v>0.5213675213675213</v>
      </c>
      <c r="N242" s="154">
        <f t="shared" si="133"/>
        <v>2.0161426200724337</v>
      </c>
      <c r="O242" s="154">
        <f t="shared" si="141"/>
        <v>0.07325223505585884</v>
      </c>
      <c r="P242" s="154">
        <f t="shared" si="142"/>
        <v>0.7209933737422314</v>
      </c>
      <c r="Q242" s="154">
        <f t="shared" si="143"/>
        <v>0.7760445521213035</v>
      </c>
      <c r="R242" s="154">
        <f t="shared" si="144"/>
        <v>0.06779950800763512</v>
      </c>
      <c r="S242" s="154">
        <f t="shared" si="145"/>
        <v>0.7603833865814695</v>
      </c>
      <c r="T242" s="154">
        <f t="shared" si="134"/>
        <v>2.0103202110299967</v>
      </c>
      <c r="U242" s="154">
        <f t="shared" si="146"/>
        <v>1.2190198482465227</v>
      </c>
      <c r="V242" s="154">
        <f t="shared" si="147"/>
        <v>3.833263214726713</v>
      </c>
      <c r="W242" s="154">
        <f t="shared" si="148"/>
        <v>2.0103202110299967</v>
      </c>
      <c r="X242" s="171">
        <f t="shared" si="149"/>
        <v>3.9822134387351773</v>
      </c>
      <c r="Y242" s="171">
        <f t="shared" si="150"/>
        <v>-0.04504679841897233</v>
      </c>
      <c r="Z242" s="172">
        <f t="shared" si="151"/>
        <v>3.5163490457174955</v>
      </c>
    </row>
    <row r="243" spans="7:26" ht="12.75">
      <c r="G243" s="153">
        <v>53</v>
      </c>
      <c r="H243" s="153">
        <f t="shared" si="135"/>
        <v>0.120150690867757</v>
      </c>
      <c r="I243" s="153">
        <f t="shared" si="136"/>
        <v>3.293427591483379</v>
      </c>
      <c r="J243" s="153">
        <f t="shared" si="137"/>
        <v>1.7027575255289955</v>
      </c>
      <c r="K243" s="153">
        <f t="shared" si="138"/>
        <v>1.6986967617537807</v>
      </c>
      <c r="L243" s="153">
        <f t="shared" si="139"/>
        <v>0.00045657096939147324</v>
      </c>
      <c r="M243" s="153">
        <f t="shared" si="140"/>
        <v>0.5213675213675213</v>
      </c>
      <c r="N243" s="153">
        <f t="shared" si="133"/>
        <v>2.025658826264439</v>
      </c>
      <c r="O243" s="153">
        <f t="shared" si="141"/>
        <v>0.07325223505585884</v>
      </c>
      <c r="P243" s="153">
        <f t="shared" si="142"/>
        <v>0.7484149871818002</v>
      </c>
      <c r="Q243" s="153">
        <f t="shared" si="143"/>
        <v>0.7920376852304108</v>
      </c>
      <c r="R243" s="153">
        <f t="shared" si="144"/>
        <v>0.06779950800763512</v>
      </c>
      <c r="S243" s="153">
        <f t="shared" si="145"/>
        <v>0.7603833865814695</v>
      </c>
      <c r="T243" s="153">
        <f t="shared" si="134"/>
        <v>2.017412083161102</v>
      </c>
      <c r="U243" s="153">
        <f t="shared" si="146"/>
        <v>1.2259005777327165</v>
      </c>
      <c r="V243" s="153">
        <f t="shared" si="147"/>
        <v>3.833263214726713</v>
      </c>
      <c r="W243" s="153">
        <f t="shared" si="148"/>
        <v>2.017412083161102</v>
      </c>
      <c r="X243" s="169">
        <f t="shared" si="149"/>
        <v>4.058794466403161</v>
      </c>
      <c r="Y243" s="169">
        <f t="shared" si="150"/>
        <v>-0.045913083003952554</v>
      </c>
      <c r="Z243" s="170">
        <f t="shared" si="151"/>
        <v>3.553123075697049</v>
      </c>
    </row>
    <row r="244" spans="7:26" ht="12.75">
      <c r="G244" s="154">
        <v>54</v>
      </c>
      <c r="H244" s="154">
        <f t="shared" si="135"/>
        <v>0.12241768503507319</v>
      </c>
      <c r="I244" s="154">
        <f t="shared" si="136"/>
        <v>3.319657533997314</v>
      </c>
      <c r="J244" s="154">
        <f t="shared" si="137"/>
        <v>1.7348469379341607</v>
      </c>
      <c r="K244" s="154">
        <f t="shared" si="138"/>
        <v>1.7307855480560284</v>
      </c>
      <c r="L244" s="154">
        <f t="shared" si="139"/>
        <v>0.00045657096939147324</v>
      </c>
      <c r="M244" s="154">
        <f t="shared" si="140"/>
        <v>0.5213675213675213</v>
      </c>
      <c r="N244" s="154">
        <f t="shared" si="133"/>
        <v>2.0350561023820983</v>
      </c>
      <c r="O244" s="154">
        <f t="shared" si="141"/>
        <v>0.07325223505585884</v>
      </c>
      <c r="P244" s="154">
        <f t="shared" si="142"/>
        <v>0.7763481612346602</v>
      </c>
      <c r="Q244" s="154">
        <f t="shared" si="143"/>
        <v>0.8080308183395183</v>
      </c>
      <c r="R244" s="154">
        <f t="shared" si="144"/>
        <v>0.06779950800763512</v>
      </c>
      <c r="S244" s="154">
        <f t="shared" si="145"/>
        <v>0.7603833865814695</v>
      </c>
      <c r="T244" s="154">
        <f t="shared" si="134"/>
        <v>2.0244213176225063</v>
      </c>
      <c r="U244" s="154">
        <f t="shared" si="146"/>
        <v>1.2327166951373028</v>
      </c>
      <c r="V244" s="154">
        <f t="shared" si="147"/>
        <v>3.833263214726713</v>
      </c>
      <c r="W244" s="154">
        <f t="shared" si="148"/>
        <v>2.0244213176225063</v>
      </c>
      <c r="X244" s="171">
        <f t="shared" si="149"/>
        <v>4.1353754940711465</v>
      </c>
      <c r="Y244" s="171">
        <f t="shared" si="150"/>
        <v>-0.0467793675889328</v>
      </c>
      <c r="Z244" s="172">
        <f t="shared" si="151"/>
        <v>3.5895388416613265</v>
      </c>
    </row>
    <row r="245" spans="7:26" ht="12.75">
      <c r="G245" s="153">
        <v>55</v>
      </c>
      <c r="H245" s="153">
        <f t="shared" si="135"/>
        <v>0.12468467920238935</v>
      </c>
      <c r="I245" s="153">
        <f t="shared" si="136"/>
        <v>3.345645710413542</v>
      </c>
      <c r="J245" s="153">
        <f t="shared" si="137"/>
        <v>1.7669363503393252</v>
      </c>
      <c r="K245" s="153">
        <f t="shared" si="138"/>
        <v>1.7628743343582756</v>
      </c>
      <c r="L245" s="153">
        <f t="shared" si="139"/>
        <v>0.00045657096939147324</v>
      </c>
      <c r="M245" s="153">
        <f t="shared" si="140"/>
        <v>0.5213675213675213</v>
      </c>
      <c r="N245" s="153">
        <f t="shared" si="133"/>
        <v>2.044338096227075</v>
      </c>
      <c r="O245" s="153">
        <f t="shared" si="141"/>
        <v>0.07325223505585884</v>
      </c>
      <c r="P245" s="153">
        <f t="shared" si="142"/>
        <v>0.804792895900811</v>
      </c>
      <c r="Q245" s="153">
        <f t="shared" si="143"/>
        <v>0.8240239514486254</v>
      </c>
      <c r="R245" s="153">
        <f t="shared" si="144"/>
        <v>0.06779950800763512</v>
      </c>
      <c r="S245" s="153">
        <f t="shared" si="145"/>
        <v>0.7603833865814695</v>
      </c>
      <c r="T245" s="153">
        <f t="shared" si="134"/>
        <v>2.0313503000790223</v>
      </c>
      <c r="U245" s="153">
        <f t="shared" si="146"/>
        <v>1.2394699871618662</v>
      </c>
      <c r="V245" s="153">
        <f t="shared" si="147"/>
        <v>3.833263214726713</v>
      </c>
      <c r="W245" s="153">
        <f t="shared" si="148"/>
        <v>2.0313503000790223</v>
      </c>
      <c r="X245" s="169">
        <f t="shared" si="149"/>
        <v>4.21195652173913</v>
      </c>
      <c r="Y245" s="169">
        <f t="shared" si="150"/>
        <v>-0.04764565217391304</v>
      </c>
      <c r="Z245" s="170">
        <f t="shared" si="151"/>
        <v>3.6256084817021876</v>
      </c>
    </row>
    <row r="246" spans="7:26" ht="12.75">
      <c r="G246" s="154">
        <v>56</v>
      </c>
      <c r="H246" s="154">
        <f t="shared" si="135"/>
        <v>0.12695167336970553</v>
      </c>
      <c r="I246" s="154">
        <f t="shared" si="136"/>
        <v>3.3713986851989355</v>
      </c>
      <c r="J246" s="154">
        <f t="shared" si="137"/>
        <v>1.79902576274449</v>
      </c>
      <c r="K246" s="154">
        <f t="shared" si="138"/>
        <v>1.7949631206605228</v>
      </c>
      <c r="L246" s="154">
        <f t="shared" si="139"/>
        <v>0.00045657096939147324</v>
      </c>
      <c r="M246" s="154">
        <f t="shared" si="140"/>
        <v>0.5213675213675213</v>
      </c>
      <c r="N246" s="154">
        <f t="shared" si="133"/>
        <v>2.0535082798097637</v>
      </c>
      <c r="O246" s="154">
        <f t="shared" si="141"/>
        <v>0.07325223505585884</v>
      </c>
      <c r="P246" s="154">
        <f t="shared" si="142"/>
        <v>0.8337491911802537</v>
      </c>
      <c r="Q246" s="154">
        <f t="shared" si="143"/>
        <v>0.8400170845577327</v>
      </c>
      <c r="R246" s="154">
        <f t="shared" si="144"/>
        <v>0.06779950800763512</v>
      </c>
      <c r="S246" s="154">
        <f t="shared" si="145"/>
        <v>0.7603833865814695</v>
      </c>
      <c r="T246" s="154">
        <f t="shared" si="134"/>
        <v>2.038201307449257</v>
      </c>
      <c r="U246" s="154">
        <f t="shared" si="146"/>
        <v>1.2461621596499048</v>
      </c>
      <c r="V246" s="154">
        <f t="shared" si="147"/>
        <v>3.833263214726713</v>
      </c>
      <c r="W246" s="154">
        <f t="shared" si="148"/>
        <v>2.038201307449257</v>
      </c>
      <c r="X246" s="171">
        <f t="shared" si="149"/>
        <v>4.288537549407114</v>
      </c>
      <c r="Y246" s="171">
        <f t="shared" si="150"/>
        <v>-0.04851193675889328</v>
      </c>
      <c r="Z246" s="172">
        <f t="shared" si="151"/>
        <v>3.6613434639133007</v>
      </c>
    </row>
    <row r="247" spans="7:26" ht="12.75">
      <c r="G247" s="153">
        <v>57</v>
      </c>
      <c r="H247" s="153">
        <f t="shared" si="135"/>
        <v>0.1292186675370217</v>
      </c>
      <c r="I247" s="153">
        <f t="shared" si="136"/>
        <v>3.396922731025002</v>
      </c>
      <c r="J247" s="153">
        <f t="shared" si="137"/>
        <v>1.8311151751496544</v>
      </c>
      <c r="K247" s="153">
        <f t="shared" si="138"/>
        <v>1.82705190696277</v>
      </c>
      <c r="L247" s="153">
        <f t="shared" si="139"/>
        <v>0.00045657096939147324</v>
      </c>
      <c r="M247" s="153">
        <f t="shared" si="140"/>
        <v>0.5213675213675213</v>
      </c>
      <c r="N247" s="153">
        <f t="shared" si="133"/>
        <v>2.062569960791496</v>
      </c>
      <c r="O247" s="153">
        <f t="shared" si="141"/>
        <v>0.07325223505585884</v>
      </c>
      <c r="P247" s="153">
        <f t="shared" si="142"/>
        <v>0.8632170470729872</v>
      </c>
      <c r="Q247" s="153">
        <f t="shared" si="143"/>
        <v>0.8560102176668399</v>
      </c>
      <c r="R247" s="153">
        <f t="shared" si="144"/>
        <v>0.06779950800763512</v>
      </c>
      <c r="S247" s="153">
        <f t="shared" si="145"/>
        <v>0.7603833865814695</v>
      </c>
      <c r="T247" s="153">
        <f t="shared" si="134"/>
        <v>2.044976514623015</v>
      </c>
      <c r="U247" s="153">
        <f t="shared" si="146"/>
        <v>1.2527948426189233</v>
      </c>
      <c r="V247" s="153">
        <f t="shared" si="147"/>
        <v>3.833263214726713</v>
      </c>
      <c r="W247" s="153">
        <f t="shared" si="148"/>
        <v>2.044976514623015</v>
      </c>
      <c r="X247" s="169">
        <f t="shared" si="149"/>
        <v>4.365118577075099</v>
      </c>
      <c r="Y247" s="169">
        <f t="shared" si="150"/>
        <v>-0.04937822134387352</v>
      </c>
      <c r="Z247" s="170">
        <f t="shared" si="151"/>
        <v>3.6967546363916055</v>
      </c>
    </row>
    <row r="248" spans="7:26" ht="12.75">
      <c r="G248" s="154">
        <v>58</v>
      </c>
      <c r="H248" s="154">
        <f t="shared" si="135"/>
        <v>0.13148566170433784</v>
      </c>
      <c r="I248" s="154">
        <f t="shared" si="136"/>
        <v>3.422223846610067</v>
      </c>
      <c r="J248" s="154">
        <f t="shared" si="137"/>
        <v>1.8632045875548189</v>
      </c>
      <c r="K248" s="154">
        <f t="shared" si="138"/>
        <v>1.8591406932650167</v>
      </c>
      <c r="L248" s="154">
        <f t="shared" si="139"/>
        <v>0.00045657096939147324</v>
      </c>
      <c r="M248" s="154">
        <f t="shared" si="140"/>
        <v>0.5213675213675213</v>
      </c>
      <c r="N248" s="154">
        <f t="shared" si="133"/>
        <v>2.071526292995336</v>
      </c>
      <c r="O248" s="154">
        <f t="shared" si="141"/>
        <v>0.07325223505585884</v>
      </c>
      <c r="P248" s="154">
        <f t="shared" si="142"/>
        <v>0.8931964635790115</v>
      </c>
      <c r="Q248" s="154">
        <f t="shared" si="143"/>
        <v>0.8720033507759469</v>
      </c>
      <c r="R248" s="154">
        <f t="shared" si="144"/>
        <v>0.06779950800763512</v>
      </c>
      <c r="S248" s="154">
        <f t="shared" si="145"/>
        <v>0.7603833865814695</v>
      </c>
      <c r="T248" s="154">
        <f t="shared" si="134"/>
        <v>2.0516780006584865</v>
      </c>
      <c r="U248" s="154">
        <f t="shared" si="146"/>
        <v>1.2593695948969046</v>
      </c>
      <c r="V248" s="154">
        <f t="shared" si="147"/>
        <v>3.833263214726713</v>
      </c>
      <c r="W248" s="154">
        <f t="shared" si="148"/>
        <v>2.0516780006584865</v>
      </c>
      <c r="X248" s="171">
        <f t="shared" si="149"/>
        <v>4.441699604743082</v>
      </c>
      <c r="Y248" s="171">
        <f t="shared" si="150"/>
        <v>-0.050244505928853746</v>
      </c>
      <c r="Z248" s="172">
        <f t="shared" si="151"/>
        <v>3.7318522726058516</v>
      </c>
    </row>
    <row r="249" spans="7:26" ht="12.75">
      <c r="G249" s="153">
        <v>59</v>
      </c>
      <c r="H249" s="153">
        <f t="shared" si="135"/>
        <v>0.133752655871654</v>
      </c>
      <c r="I249" s="153">
        <f t="shared" si="136"/>
        <v>3.4473077731827937</v>
      </c>
      <c r="J249" s="153">
        <f t="shared" si="137"/>
        <v>1.8952939999599834</v>
      </c>
      <c r="K249" s="153">
        <f t="shared" si="138"/>
        <v>1.8912294795672637</v>
      </c>
      <c r="L249" s="153">
        <f t="shared" si="139"/>
        <v>0.00045657096939147324</v>
      </c>
      <c r="M249" s="153">
        <f t="shared" si="140"/>
        <v>0.5213675213675213</v>
      </c>
      <c r="N249" s="153">
        <f t="shared" si="133"/>
        <v>2.080380286075979</v>
      </c>
      <c r="O249" s="153">
        <f t="shared" si="141"/>
        <v>0.07325223505585884</v>
      </c>
      <c r="P249" s="153">
        <f t="shared" si="142"/>
        <v>0.9236874406983273</v>
      </c>
      <c r="Q249" s="153">
        <f t="shared" si="143"/>
        <v>0.8879964838850541</v>
      </c>
      <c r="R249" s="153">
        <f t="shared" si="144"/>
        <v>0.06779950800763512</v>
      </c>
      <c r="S249" s="153">
        <f t="shared" si="145"/>
        <v>0.7603833865814695</v>
      </c>
      <c r="T249" s="153">
        <f t="shared" si="134"/>
        <v>2.0583077545074033</v>
      </c>
      <c r="U249" s="153">
        <f t="shared" si="146"/>
        <v>1.2658879084005235</v>
      </c>
      <c r="V249" s="153">
        <f t="shared" si="147"/>
        <v>3.833263214726713</v>
      </c>
      <c r="W249" s="153">
        <f t="shared" si="148"/>
        <v>2.0583077545074033</v>
      </c>
      <c r="X249" s="169">
        <f t="shared" si="149"/>
        <v>4.518280632411067</v>
      </c>
      <c r="Y249" s="169">
        <f t="shared" si="150"/>
        <v>-0.05111079051383399</v>
      </c>
      <c r="Z249" s="170">
        <f t="shared" si="151"/>
        <v>3.7666461126399025</v>
      </c>
    </row>
    <row r="250" spans="7:26" ht="12.75">
      <c r="G250" s="154">
        <v>60</v>
      </c>
      <c r="H250" s="154">
        <f t="shared" si="135"/>
        <v>0.1360196500389702</v>
      </c>
      <c r="I250" s="154">
        <f t="shared" si="136"/>
        <v>3.4721800096950557</v>
      </c>
      <c r="J250" s="154">
        <f t="shared" si="137"/>
        <v>1.9273834123651488</v>
      </c>
      <c r="K250" s="154">
        <f t="shared" si="138"/>
        <v>1.9233182658695118</v>
      </c>
      <c r="L250" s="154">
        <f t="shared" si="139"/>
        <v>0.00045657096939147324</v>
      </c>
      <c r="M250" s="154">
        <f t="shared" si="140"/>
        <v>0.5213675213675213</v>
      </c>
      <c r="N250" s="154">
        <f t="shared" si="133"/>
        <v>2.089134814429055</v>
      </c>
      <c r="O250" s="154">
        <f t="shared" si="141"/>
        <v>0.07325223505585884</v>
      </c>
      <c r="P250" s="154">
        <f t="shared" si="142"/>
        <v>0.9546899784309352</v>
      </c>
      <c r="Q250" s="154">
        <f t="shared" si="143"/>
        <v>0.9039896169941618</v>
      </c>
      <c r="R250" s="154">
        <f t="shared" si="144"/>
        <v>0.06779950800763512</v>
      </c>
      <c r="S250" s="154">
        <f t="shared" si="145"/>
        <v>0.7603833865814695</v>
      </c>
      <c r="T250" s="154">
        <f t="shared" si="134"/>
        <v>2.064867680311166</v>
      </c>
      <c r="U250" s="154">
        <f t="shared" si="146"/>
        <v>1.272351212088366</v>
      </c>
      <c r="V250" s="154">
        <f t="shared" si="147"/>
        <v>3.833263214726713</v>
      </c>
      <c r="W250" s="154">
        <f t="shared" si="148"/>
        <v>2.064867680311166</v>
      </c>
      <c r="X250" s="171">
        <f t="shared" si="149"/>
        <v>4.594861660079051</v>
      </c>
      <c r="Y250" s="171">
        <f t="shared" si="150"/>
        <v>-0.05197707509881422</v>
      </c>
      <c r="Z250" s="172">
        <f t="shared" si="151"/>
        <v>3.80114540075472</v>
      </c>
    </row>
    <row r="251" spans="7:26" ht="12.75">
      <c r="G251" s="153">
        <v>61</v>
      </c>
      <c r="H251" s="153">
        <f t="shared" si="135"/>
        <v>0.13828664420628634</v>
      </c>
      <c r="I251" s="153">
        <f t="shared" si="136"/>
        <v>3.4968458268983547</v>
      </c>
      <c r="J251" s="153">
        <f t="shared" si="137"/>
        <v>1.9594728247703126</v>
      </c>
      <c r="K251" s="153">
        <f t="shared" si="138"/>
        <v>1.9554070521717586</v>
      </c>
      <c r="L251" s="153">
        <f t="shared" si="139"/>
        <v>0.00045657096939147324</v>
      </c>
      <c r="M251" s="153">
        <f t="shared" si="140"/>
        <v>0.5213675213675213</v>
      </c>
      <c r="N251" s="153">
        <f t="shared" si="133"/>
        <v>2.0977926254112846</v>
      </c>
      <c r="O251" s="153">
        <f t="shared" si="141"/>
        <v>0.07325223505585884</v>
      </c>
      <c r="P251" s="153">
        <f t="shared" si="142"/>
        <v>0.9862040767768331</v>
      </c>
      <c r="Q251" s="153">
        <f t="shared" si="143"/>
        <v>0.9199827501032688</v>
      </c>
      <c r="R251" s="153">
        <f t="shared" si="144"/>
        <v>0.06779950800763512</v>
      </c>
      <c r="S251" s="153">
        <f t="shared" si="145"/>
        <v>0.7603833865814695</v>
      </c>
      <c r="T251" s="153">
        <f t="shared" si="134"/>
        <v>2.0713596023064165</v>
      </c>
      <c r="U251" s="153">
        <f t="shared" si="146"/>
        <v>1.2787608756188305</v>
      </c>
      <c r="V251" s="153">
        <f t="shared" si="147"/>
        <v>3.833263214726713</v>
      </c>
      <c r="W251" s="153">
        <f t="shared" si="148"/>
        <v>2.0713596023064165</v>
      </c>
      <c r="X251" s="169">
        <f t="shared" si="149"/>
        <v>4.671442687747035</v>
      </c>
      <c r="Y251" s="169">
        <f t="shared" si="150"/>
        <v>-0.05284335968379446</v>
      </c>
      <c r="Z251" s="170">
        <f t="shared" si="151"/>
        <v>3.835358919658171</v>
      </c>
    </row>
    <row r="252" spans="7:26" ht="12.75">
      <c r="G252" s="154">
        <v>62</v>
      </c>
      <c r="H252" s="154">
        <f t="shared" si="135"/>
        <v>0.14055363837360252</v>
      </c>
      <c r="I252" s="154">
        <f t="shared" si="136"/>
        <v>3.521310280385857</v>
      </c>
      <c r="J252" s="154">
        <f t="shared" si="137"/>
        <v>1.9915622371754778</v>
      </c>
      <c r="K252" s="154">
        <f t="shared" si="138"/>
        <v>1.9874958384740056</v>
      </c>
      <c r="L252" s="154">
        <f t="shared" si="139"/>
        <v>0.00045657096939147324</v>
      </c>
      <c r="M252" s="154">
        <f t="shared" si="140"/>
        <v>0.5213675213675213</v>
      </c>
      <c r="N252" s="154">
        <f t="shared" si="133"/>
        <v>2.106356346935165</v>
      </c>
      <c r="O252" s="154">
        <f t="shared" si="141"/>
        <v>0.07325223505585884</v>
      </c>
      <c r="P252" s="154">
        <f t="shared" si="142"/>
        <v>1.0182297357360235</v>
      </c>
      <c r="Q252" s="154">
        <f t="shared" si="143"/>
        <v>0.935975883212376</v>
      </c>
      <c r="R252" s="154">
        <f t="shared" si="144"/>
        <v>0.06779950800763512</v>
      </c>
      <c r="S252" s="154">
        <f t="shared" si="145"/>
        <v>0.7603833865814695</v>
      </c>
      <c r="T252" s="154">
        <f t="shared" si="134"/>
        <v>2.077785269374524</v>
      </c>
      <c r="U252" s="154">
        <f t="shared" si="146"/>
        <v>1.2851182127392327</v>
      </c>
      <c r="V252" s="154">
        <f t="shared" si="147"/>
        <v>3.833263214726713</v>
      </c>
      <c r="W252" s="154">
        <f t="shared" si="148"/>
        <v>2.077785269374524</v>
      </c>
      <c r="X252" s="171">
        <f t="shared" si="149"/>
        <v>4.7480237154150196</v>
      </c>
      <c r="Y252" s="171">
        <f t="shared" si="150"/>
        <v>-0.0537096442687747</v>
      </c>
      <c r="Z252" s="172">
        <f t="shared" si="151"/>
        <v>3.8692950218245556</v>
      </c>
    </row>
    <row r="253" spans="7:26" ht="12.75">
      <c r="G253" s="153">
        <v>63</v>
      </c>
      <c r="H253" s="153">
        <f t="shared" si="135"/>
        <v>0.14282063254091873</v>
      </c>
      <c r="I253" s="153">
        <f t="shared" si="136"/>
        <v>3.545578222691456</v>
      </c>
      <c r="J253" s="153">
        <f t="shared" si="137"/>
        <v>2.023651649580643</v>
      </c>
      <c r="K253" s="153">
        <f t="shared" si="138"/>
        <v>2.019584624776254</v>
      </c>
      <c r="L253" s="153">
        <f t="shared" si="139"/>
        <v>0.00045657096939147324</v>
      </c>
      <c r="M253" s="153">
        <f t="shared" si="140"/>
        <v>0.5213675213675213</v>
      </c>
      <c r="N253" s="153">
        <f t="shared" si="133"/>
        <v>2.1148284944950495</v>
      </c>
      <c r="O253" s="153">
        <f t="shared" si="141"/>
        <v>0.07325223505585884</v>
      </c>
      <c r="P253" s="153">
        <f t="shared" si="142"/>
        <v>1.0507669553085046</v>
      </c>
      <c r="Q253" s="153">
        <f t="shared" si="143"/>
        <v>0.9519690163214835</v>
      </c>
      <c r="R253" s="153">
        <f t="shared" si="144"/>
        <v>0.06779950800763512</v>
      </c>
      <c r="S253" s="153">
        <f t="shared" si="145"/>
        <v>0.7603833865814695</v>
      </c>
      <c r="T253" s="153">
        <f t="shared" si="134"/>
        <v>2.0841463592659206</v>
      </c>
      <c r="U253" s="153">
        <f t="shared" si="146"/>
        <v>1.2914244844298706</v>
      </c>
      <c r="V253" s="153">
        <f t="shared" si="147"/>
        <v>3.833263214726713</v>
      </c>
      <c r="W253" s="153">
        <f t="shared" si="148"/>
        <v>2.0841463592659206</v>
      </c>
      <c r="X253" s="169">
        <f t="shared" si="149"/>
        <v>4.824604743083004</v>
      </c>
      <c r="Y253" s="169">
        <f t="shared" si="150"/>
        <v>-0.05457592885375494</v>
      </c>
      <c r="Z253" s="170">
        <f t="shared" si="151"/>
        <v>3.9029616581650677</v>
      </c>
    </row>
    <row r="254" spans="7:26" ht="12.75">
      <c r="G254" s="154">
        <v>64</v>
      </c>
      <c r="H254" s="154">
        <f t="shared" si="135"/>
        <v>0.1450876267082349</v>
      </c>
      <c r="I254" s="154">
        <f t="shared" si="136"/>
        <v>3.5696543145278805</v>
      </c>
      <c r="J254" s="154">
        <f t="shared" si="137"/>
        <v>2.055741061985808</v>
      </c>
      <c r="K254" s="154">
        <f t="shared" si="138"/>
        <v>2.0516734110785015</v>
      </c>
      <c r="L254" s="154">
        <f t="shared" si="139"/>
        <v>0.00045657096939147324</v>
      </c>
      <c r="M254" s="154">
        <f t="shared" si="140"/>
        <v>0.5213675213675213</v>
      </c>
      <c r="N254" s="154">
        <f t="shared" si="133"/>
        <v>2.123211477675504</v>
      </c>
      <c r="O254" s="154">
        <f t="shared" si="141"/>
        <v>0.07325223505585884</v>
      </c>
      <c r="P254" s="154">
        <f t="shared" si="142"/>
        <v>1.0838157354942775</v>
      </c>
      <c r="Q254" s="154">
        <f t="shared" si="143"/>
        <v>0.9679621494305909</v>
      </c>
      <c r="R254" s="154">
        <f t="shared" si="144"/>
        <v>0.06779950800763512</v>
      </c>
      <c r="S254" s="154">
        <f t="shared" si="145"/>
        <v>0.7603833865814695</v>
      </c>
      <c r="T254" s="154">
        <f t="shared" si="134"/>
        <v>2.090444482527118</v>
      </c>
      <c r="U254" s="154">
        <f t="shared" si="146"/>
        <v>1.2976809018243611</v>
      </c>
      <c r="V254" s="154">
        <f t="shared" si="147"/>
        <v>3.833263214726713</v>
      </c>
      <c r="W254" s="154">
        <f t="shared" si="148"/>
        <v>2.090444482527118</v>
      </c>
      <c r="X254" s="171">
        <f t="shared" si="149"/>
        <v>4.901185770750987</v>
      </c>
      <c r="Y254" s="171">
        <f t="shared" si="150"/>
        <v>-0.05544221343873516</v>
      </c>
      <c r="Z254" s="172">
        <f t="shared" si="151"/>
        <v>3.9363664043149886</v>
      </c>
    </row>
    <row r="255" spans="7:26" ht="12.75">
      <c r="G255" s="153">
        <v>65</v>
      </c>
      <c r="H255" s="153">
        <f aca="true" t="shared" si="152" ref="H255:H286">(((G255/100)*Iout)*(Vout_nom^2)*2.5*Rsense*K_1)/(eff*(Vline^2)*K_FQ)*us</f>
        <v>0.14735462087555104</v>
      </c>
      <c r="I255" s="153">
        <f aca="true" t="shared" si="153" ref="I255:I286">(1*10^-9*(5*10^8*SQRT(fsw*kHz)+(1.09655978*10^10)*SQRT(ftyp)*SQRT(H255)))/SQRT(fsw*kHz)</f>
        <v>3.593543035237559</v>
      </c>
      <c r="J255" s="153">
        <f aca="true" t="shared" si="154" ref="J255:J290">(b_1^3/(27*a_1^3))-(d_1^3/27)+SQRT((ftyp)^2*H255^2/(4*a_1^2*c_1^2*(fsw*kHz)^2))+(b_1^3*(ftyp)*H255/(27*a_1^4*c_1*(fsw*kHz))-(d_1^3*(ftyp)*H255/(27*a_1*c_1*(fsw*kHz)))+(b_1*d_1^2*(ftyp)*H255/(9*a_1^2*c_1*(fsw*kHz)))-(b_1^2*d_1*(ftyp)*H255/(9*a_1^3*c_1*(fsw*kHz))))</f>
        <v>2.087830474390972</v>
      </c>
      <c r="K255" s="153">
        <f aca="true" t="shared" si="155" ref="K255:K290">(b_1*d_1^2/(9*a_1))-(b_1^2*d_1/(9*a_1^2))+(ftyp*H255/(2*a_1*c_1*fsw*kHz))</f>
        <v>2.083762197380748</v>
      </c>
      <c r="L255" s="153">
        <f aca="true" t="shared" si="156" ref="L255:L290">(d_1^2/9)+(b_1^2/(9*a_1^2))-(2*b_1*d_1/(9*a_1))</f>
        <v>0.00045657096939147324</v>
      </c>
      <c r="M255" s="153">
        <f aca="true" t="shared" si="157" ref="M255:M290">((b_1*c_1*fsw*kHz)+(2*a_1*c_1*d_1*fsw*kHz))/(3*a_1*c_1*fsw*kHz)</f>
        <v>0.5213675213675213</v>
      </c>
      <c r="N255" s="153">
        <f t="shared" si="133"/>
        <v>2.131507606187532</v>
      </c>
      <c r="O255" s="153">
        <f aca="true" t="shared" si="158" ref="O255:O290">(b_2^3/(27*a_2^3))-(d_2^3/27)</f>
        <v>0.07325223505585884</v>
      </c>
      <c r="P255" s="153">
        <f aca="true" t="shared" si="159" ref="P255:P290">(ftyp^2*H255^2/(4*a_2^2*c_2^2*(fsw*kHz)^2))+(b_2^3*ftyp*H255/(27*a_2^4*c_2*(fsw*kHz)))-(d_2^3*ftyp*H255/(27*a_2*c_2*(fsw*kHz)))+(b_2*d_2^2*ftyp*H255/(9*a_2^2*c_2*(fsw*kHz)))-(b_2^2*d_2*ftyp*H255/(9*a_2^3*c_2*(fsw*kHz)))</f>
        <v>1.1173760762933407</v>
      </c>
      <c r="Q255" s="153">
        <f aca="true" t="shared" si="160" ref="Q255:Q290">(b_2*d_2^2/(9*a_2))-(b_2^2*d_2/(9*a_2^2))+(ftyp*H255/(2*a_2*c_2*(fsw*kHz)))</f>
        <v>0.9839552825396977</v>
      </c>
      <c r="R255" s="153">
        <f aca="true" t="shared" si="161" ref="R255:R290">(d_2^2/9)+(b_2^2/(9*a_2^2))-(2*b_2*d_2/(9*a_2))</f>
        <v>0.06779950800763512</v>
      </c>
      <c r="S255" s="153">
        <f aca="true" t="shared" si="162" ref="S255:S290">(b_2*c_2*(fsw*kHz)+2*a_2*c_2*d_2*(fsw*kHz))/(3*a_2*c_2*(fsw*kHz))</f>
        <v>0.7603833865814695</v>
      </c>
      <c r="T255" s="153">
        <f t="shared" si="134"/>
        <v>2.096681186155467</v>
      </c>
      <c r="U255" s="153">
        <f aca="true" t="shared" si="163" ref="U255:U290">c_3+(SQRT(ftyp)*SQRT(H255)/(SQRT(a_3)*SQRT(b_3)*SQRT(fsw*kHz)))</f>
        <v>1.3038886289254037</v>
      </c>
      <c r="V255" s="153">
        <f aca="true" t="shared" si="164" ref="V255:V290">(a_4*(fsw*kHz)*b_4/ftyp)</f>
        <v>3.833263214726713</v>
      </c>
      <c r="W255" s="153">
        <f aca="true" t="shared" si="165" ref="W255:W286">IF(I255&gt;=0.5,IF(I255&lt;1,I255,IF(N255&gt;=1,IF(N255&lt;2,N255,IF(VCOMP3&gt;=2,IF(T255&lt;4.5,T255,IF(U255&gt;=4.5,IF(U255&lt;4.6,U255,V255))))))))</f>
        <v>2.096681186155467</v>
      </c>
      <c r="X255" s="169">
        <f aca="true" t="shared" si="166" ref="X255:X290">Pin_max*G255/(Vline*100)</f>
        <v>4.977766798418972</v>
      </c>
      <c r="Y255" s="169">
        <f aca="true" t="shared" si="167" ref="Y255:Y286">-Rsense*X255*1.414</f>
        <v>-0.05630849802371541</v>
      </c>
      <c r="Z255" s="170">
        <f aca="true" t="shared" si="168" ref="Z255:Z290">MIN(6,MAX(0.5,Beta*G*($Y255-Voff_trim)/(MAX(0,MIN(4.5,W255)-Alpha1_A)+MAX(0,MIN(4.5,W255)-Alpha1_B)-Alpha1_C)+Alpha2))</f>
        <v>3.9695164847727993</v>
      </c>
    </row>
    <row r="256" spans="7:26" ht="12.75">
      <c r="G256" s="154">
        <v>66</v>
      </c>
      <c r="H256" s="154">
        <f t="shared" si="152"/>
        <v>0.14962161504286722</v>
      </c>
      <c r="I256" s="154">
        <f t="shared" si="153"/>
        <v>3.617248692522621</v>
      </c>
      <c r="J256" s="154">
        <f t="shared" si="154"/>
        <v>2.119919886796137</v>
      </c>
      <c r="K256" s="154">
        <f t="shared" si="155"/>
        <v>2.115850983682995</v>
      </c>
      <c r="L256" s="154">
        <f t="shared" si="156"/>
        <v>0.00045657096939147324</v>
      </c>
      <c r="M256" s="154">
        <f t="shared" si="157"/>
        <v>0.5213675213675213</v>
      </c>
      <c r="N256" s="154">
        <f aca="true" t="shared" si="169" ref="N256:N290">(J256+K256)^(1/3)+(L256/(J256^(1/3)))+M256</f>
        <v>2.1397190954736462</v>
      </c>
      <c r="O256" s="154">
        <f t="shared" si="158"/>
        <v>0.07325223505585884</v>
      </c>
      <c r="P256" s="154">
        <f t="shared" si="159"/>
        <v>1.1514479777056954</v>
      </c>
      <c r="Q256" s="154">
        <f t="shared" si="160"/>
        <v>0.9999484156488051</v>
      </c>
      <c r="R256" s="154">
        <f t="shared" si="161"/>
        <v>0.06779950800763512</v>
      </c>
      <c r="S256" s="154">
        <f t="shared" si="162"/>
        <v>0.7603833865814695</v>
      </c>
      <c r="T256" s="154">
        <f aca="true" t="shared" si="170" ref="T256:T290">((O256+SQRT(P256)+Q256)^(1/3))+(R256/((O256+SQRT(P256)+Q256)^(1/3)))+S256</f>
        <v>2.102857957004261</v>
      </c>
      <c r="U256" s="154">
        <f t="shared" si="163"/>
        <v>1.3100487851332194</v>
      </c>
      <c r="V256" s="154">
        <f t="shared" si="164"/>
        <v>3.833263214726713</v>
      </c>
      <c r="W256" s="154">
        <f t="shared" si="165"/>
        <v>2.102857957004261</v>
      </c>
      <c r="X256" s="171">
        <f t="shared" si="166"/>
        <v>5.054347826086956</v>
      </c>
      <c r="Y256" s="171">
        <f t="shared" si="167"/>
        <v>-0.05717478260869565</v>
      </c>
      <c r="Z256" s="172">
        <f t="shared" si="168"/>
        <v>4.002418795099734</v>
      </c>
    </row>
    <row r="257" spans="7:26" ht="12.75">
      <c r="G257" s="153">
        <v>67</v>
      </c>
      <c r="H257" s="153">
        <f t="shared" si="152"/>
        <v>0.1518886092101834</v>
      </c>
      <c r="I257" s="153">
        <f t="shared" si="153"/>
        <v>3.6407754315138763</v>
      </c>
      <c r="J257" s="153">
        <f t="shared" si="154"/>
        <v>2.152009299201302</v>
      </c>
      <c r="K257" s="153">
        <f t="shared" si="155"/>
        <v>2.1479397699852427</v>
      </c>
      <c r="L257" s="153">
        <f t="shared" si="156"/>
        <v>0.00045657096939147324</v>
      </c>
      <c r="M257" s="153">
        <f t="shared" si="157"/>
        <v>0.5213675213675213</v>
      </c>
      <c r="N257" s="153">
        <f t="shared" si="169"/>
        <v>2.1478480719185886</v>
      </c>
      <c r="O257" s="153">
        <f t="shared" si="158"/>
        <v>0.07325223505585884</v>
      </c>
      <c r="P257" s="153">
        <f t="shared" si="159"/>
        <v>1.1860314397313416</v>
      </c>
      <c r="Q257" s="153">
        <f t="shared" si="160"/>
        <v>1.0159415487579126</v>
      </c>
      <c r="R257" s="153">
        <f t="shared" si="161"/>
        <v>0.06779950800763512</v>
      </c>
      <c r="S257" s="153">
        <f t="shared" si="162"/>
        <v>0.7603833865814695</v>
      </c>
      <c r="T257" s="153">
        <f t="shared" si="170"/>
        <v>2.1089762249586292</v>
      </c>
      <c r="U257" s="153">
        <f t="shared" si="163"/>
        <v>1.3161624476022187</v>
      </c>
      <c r="V257" s="153">
        <f t="shared" si="164"/>
        <v>3.833263214726713</v>
      </c>
      <c r="W257" s="153">
        <f t="shared" si="165"/>
        <v>2.1089762249586292</v>
      </c>
      <c r="X257" s="169">
        <f t="shared" si="166"/>
        <v>5.1309288537549405</v>
      </c>
      <c r="Y257" s="169">
        <f t="shared" si="167"/>
        <v>-0.05804106719367589</v>
      </c>
      <c r="Z257" s="170">
        <f t="shared" si="168"/>
        <v>4.035079922364977</v>
      </c>
    </row>
    <row r="258" spans="7:26" ht="12.75">
      <c r="G258" s="154">
        <v>68</v>
      </c>
      <c r="H258" s="154">
        <f t="shared" si="152"/>
        <v>0.15415560337749953</v>
      </c>
      <c r="I258" s="154">
        <f t="shared" si="153"/>
        <v>3.664127243232856</v>
      </c>
      <c r="J258" s="154">
        <f t="shared" si="154"/>
        <v>2.1840987116064654</v>
      </c>
      <c r="K258" s="154">
        <f t="shared" si="155"/>
        <v>2.1800285562874895</v>
      </c>
      <c r="L258" s="154">
        <f t="shared" si="156"/>
        <v>0.00045657096939147324</v>
      </c>
      <c r="M258" s="154">
        <f t="shared" si="157"/>
        <v>0.5213675213675213</v>
      </c>
      <c r="N258" s="154">
        <f t="shared" si="169"/>
        <v>2.1558965776989187</v>
      </c>
      <c r="O258" s="154">
        <f t="shared" si="158"/>
        <v>0.07325223505585884</v>
      </c>
      <c r="P258" s="154">
        <f t="shared" si="159"/>
        <v>1.2211264623702784</v>
      </c>
      <c r="Q258" s="154">
        <f t="shared" si="160"/>
        <v>1.0319346818670196</v>
      </c>
      <c r="R258" s="154">
        <f t="shared" si="161"/>
        <v>0.06779950800763512</v>
      </c>
      <c r="S258" s="154">
        <f t="shared" si="162"/>
        <v>0.7603833865814695</v>
      </c>
      <c r="T258" s="154">
        <f t="shared" si="170"/>
        <v>2.1150373659006974</v>
      </c>
      <c r="U258" s="154">
        <f t="shared" si="163"/>
        <v>1.3222306534399477</v>
      </c>
      <c r="V258" s="154">
        <f t="shared" si="164"/>
        <v>3.833263214726713</v>
      </c>
      <c r="W258" s="154">
        <f t="shared" si="165"/>
        <v>2.1150373659006974</v>
      </c>
      <c r="X258" s="171">
        <f t="shared" si="166"/>
        <v>5.207509881422925</v>
      </c>
      <c r="Y258" s="171">
        <f t="shared" si="167"/>
        <v>-0.05890735177865612</v>
      </c>
      <c r="Z258" s="172">
        <f t="shared" si="168"/>
        <v>4.067506164001358</v>
      </c>
    </row>
    <row r="259" spans="7:26" ht="12.75">
      <c r="G259" s="153">
        <v>69</v>
      </c>
      <c r="H259" s="153">
        <f t="shared" si="152"/>
        <v>0.15642259754481572</v>
      </c>
      <c r="I259" s="153">
        <f t="shared" si="153"/>
        <v>3.6873079724958395</v>
      </c>
      <c r="J259" s="153">
        <f t="shared" si="154"/>
        <v>2.2161881240116306</v>
      </c>
      <c r="K259" s="153">
        <f t="shared" si="155"/>
        <v>2.2121173425897367</v>
      </c>
      <c r="L259" s="153">
        <f t="shared" si="156"/>
        <v>0.00045657096939147324</v>
      </c>
      <c r="M259" s="153">
        <f t="shared" si="157"/>
        <v>0.5213675213675213</v>
      </c>
      <c r="N259" s="153">
        <f t="shared" si="169"/>
        <v>2.1638665753013995</v>
      </c>
      <c r="O259" s="153">
        <f t="shared" si="158"/>
        <v>0.07325223505585884</v>
      </c>
      <c r="P259" s="153">
        <f t="shared" si="159"/>
        <v>1.256733045622507</v>
      </c>
      <c r="Q259" s="153">
        <f t="shared" si="160"/>
        <v>1.0479278149761269</v>
      </c>
      <c r="R259" s="153">
        <f t="shared" si="161"/>
        <v>0.06779950800763512</v>
      </c>
      <c r="S259" s="153">
        <f t="shared" si="162"/>
        <v>0.7603833865814695</v>
      </c>
      <c r="T259" s="153">
        <f t="shared" si="170"/>
        <v>2.1210427044807854</v>
      </c>
      <c r="U259" s="153">
        <f t="shared" si="163"/>
        <v>1.328254401761031</v>
      </c>
      <c r="V259" s="153">
        <f t="shared" si="164"/>
        <v>3.833263214726713</v>
      </c>
      <c r="W259" s="153">
        <f t="shared" si="165"/>
        <v>2.1210427044807854</v>
      </c>
      <c r="X259" s="169">
        <f t="shared" si="166"/>
        <v>5.284090909090908</v>
      </c>
      <c r="Y259" s="169">
        <f t="shared" si="167"/>
        <v>-0.059773636363636355</v>
      </c>
      <c r="Z259" s="170">
        <f t="shared" si="168"/>
        <v>4.0997035452185795</v>
      </c>
    </row>
    <row r="260" spans="7:26" ht="12.75">
      <c r="G260" s="154">
        <v>70</v>
      </c>
      <c r="H260" s="154">
        <f t="shared" si="152"/>
        <v>0.15868959171213187</v>
      </c>
      <c r="I260" s="154">
        <f t="shared" si="153"/>
        <v>3.71032132530417</v>
      </c>
      <c r="J260" s="154">
        <f t="shared" si="154"/>
        <v>2.248277536416795</v>
      </c>
      <c r="K260" s="154">
        <f t="shared" si="155"/>
        <v>2.244206128891984</v>
      </c>
      <c r="L260" s="154">
        <f t="shared" si="156"/>
        <v>0.00045657096939147324</v>
      </c>
      <c r="M260" s="154">
        <f t="shared" si="157"/>
        <v>0.5213675213675213</v>
      </c>
      <c r="N260" s="154">
        <f t="shared" si="169"/>
        <v>2.1717599517372603</v>
      </c>
      <c r="O260" s="154">
        <f t="shared" si="158"/>
        <v>0.07325223505585884</v>
      </c>
      <c r="P260" s="154">
        <f t="shared" si="159"/>
        <v>1.2928511894880264</v>
      </c>
      <c r="Q260" s="154">
        <f t="shared" si="160"/>
        <v>1.063920948085234</v>
      </c>
      <c r="R260" s="154">
        <f t="shared" si="161"/>
        <v>0.06779950800763512</v>
      </c>
      <c r="S260" s="154">
        <f t="shared" si="162"/>
        <v>0.7603833865814695</v>
      </c>
      <c r="T260" s="154">
        <f t="shared" si="170"/>
        <v>2.126993516709845</v>
      </c>
      <c r="U260" s="154">
        <f t="shared" si="163"/>
        <v>1.3342346556076188</v>
      </c>
      <c r="V260" s="154">
        <f t="shared" si="164"/>
        <v>3.833263214726713</v>
      </c>
      <c r="W260" s="154">
        <f t="shared" si="165"/>
        <v>2.126993516709845</v>
      </c>
      <c r="X260" s="171">
        <f t="shared" si="166"/>
        <v>5.3606719367588935</v>
      </c>
      <c r="Y260" s="171">
        <f t="shared" si="167"/>
        <v>-0.0606399209486166</v>
      </c>
      <c r="Z260" s="172">
        <f t="shared" si="168"/>
        <v>4.131677835105322</v>
      </c>
    </row>
    <row r="261" spans="7:26" ht="12.75">
      <c r="G261" s="153">
        <v>71</v>
      </c>
      <c r="H261" s="153">
        <f t="shared" si="152"/>
        <v>0.16095658587944806</v>
      </c>
      <c r="I261" s="153">
        <f t="shared" si="153"/>
        <v>3.733170875761116</v>
      </c>
      <c r="J261" s="153">
        <f t="shared" si="154"/>
        <v>2.28036694882196</v>
      </c>
      <c r="K261" s="153">
        <f t="shared" si="155"/>
        <v>2.276294915194231</v>
      </c>
      <c r="L261" s="153">
        <f t="shared" si="156"/>
        <v>0.00045657096939147324</v>
      </c>
      <c r="M261" s="153">
        <f t="shared" si="157"/>
        <v>0.5213675213675213</v>
      </c>
      <c r="N261" s="153">
        <f t="shared" si="169"/>
        <v>2.1795785224768363</v>
      </c>
      <c r="O261" s="153">
        <f t="shared" si="158"/>
        <v>0.07325223505585884</v>
      </c>
      <c r="P261" s="153">
        <f t="shared" si="159"/>
        <v>1.3294808939668377</v>
      </c>
      <c r="Q261" s="153">
        <f t="shared" si="160"/>
        <v>1.0799140811943415</v>
      </c>
      <c r="R261" s="153">
        <f t="shared" si="161"/>
        <v>0.06779950800763512</v>
      </c>
      <c r="S261" s="153">
        <f t="shared" si="162"/>
        <v>0.7603833865814695</v>
      </c>
      <c r="T261" s="153">
        <f t="shared" si="170"/>
        <v>2.1328910323869694</v>
      </c>
      <c r="U261" s="153">
        <f t="shared" si="163"/>
        <v>1.3401723437468065</v>
      </c>
      <c r="V261" s="153">
        <f t="shared" si="164"/>
        <v>3.833263214726713</v>
      </c>
      <c r="W261" s="153">
        <f t="shared" si="165"/>
        <v>2.1328910323869694</v>
      </c>
      <c r="X261" s="169">
        <f t="shared" si="166"/>
        <v>5.437252964426877</v>
      </c>
      <c r="Y261" s="169">
        <f t="shared" si="167"/>
        <v>-0.06150620553359683</v>
      </c>
      <c r="Z261" s="170">
        <f t="shared" si="168"/>
        <v>4.163434561537802</v>
      </c>
    </row>
    <row r="262" spans="7:26" ht="12.75">
      <c r="G262" s="154">
        <v>72</v>
      </c>
      <c r="H262" s="154">
        <f t="shared" si="152"/>
        <v>0.1632235800467642</v>
      </c>
      <c r="I262" s="154">
        <f t="shared" si="153"/>
        <v>3.7558600725518114</v>
      </c>
      <c r="J262" s="154">
        <f t="shared" si="154"/>
        <v>2.3124563612271247</v>
      </c>
      <c r="K262" s="154">
        <f t="shared" si="155"/>
        <v>2.308383701496478</v>
      </c>
      <c r="L262" s="154">
        <f t="shared" si="156"/>
        <v>0.00045657096939147324</v>
      </c>
      <c r="M262" s="154">
        <f t="shared" si="157"/>
        <v>0.5213675213675213</v>
      </c>
      <c r="N262" s="154">
        <f t="shared" si="169"/>
        <v>2.187324035126802</v>
      </c>
      <c r="O262" s="154">
        <f t="shared" si="158"/>
        <v>0.07325223505585884</v>
      </c>
      <c r="P262" s="154">
        <f t="shared" si="159"/>
        <v>1.3666221590589396</v>
      </c>
      <c r="Q262" s="154">
        <f t="shared" si="160"/>
        <v>1.0959072143034485</v>
      </c>
      <c r="R262" s="154">
        <f t="shared" si="161"/>
        <v>0.06779950800763512</v>
      </c>
      <c r="S262" s="154">
        <f t="shared" si="162"/>
        <v>0.7603833865814695</v>
      </c>
      <c r="T262" s="154">
        <f t="shared" si="170"/>
        <v>2.1387364373745545</v>
      </c>
      <c r="U262" s="154">
        <f t="shared" si="163"/>
        <v>1.3460683623545096</v>
      </c>
      <c r="V262" s="154">
        <f t="shared" si="164"/>
        <v>3.833263214726713</v>
      </c>
      <c r="W262" s="154">
        <f t="shared" si="165"/>
        <v>2.1387364373745545</v>
      </c>
      <c r="X262" s="171">
        <f t="shared" si="166"/>
        <v>5.513833992094861</v>
      </c>
      <c r="Y262" s="171">
        <f t="shared" si="167"/>
        <v>-0.06237249011857707</v>
      </c>
      <c r="Z262" s="172">
        <f t="shared" si="168"/>
        <v>4.194979025000222</v>
      </c>
    </row>
    <row r="263" spans="7:26" ht="12.75">
      <c r="G263" s="153">
        <v>73</v>
      </c>
      <c r="H263" s="153">
        <f t="shared" si="152"/>
        <v>0.1654905742140804</v>
      </c>
      <c r="I263" s="153">
        <f t="shared" si="153"/>
        <v>3.7783922450195404</v>
      </c>
      <c r="J263" s="153">
        <f t="shared" si="154"/>
        <v>2.3445457736322894</v>
      </c>
      <c r="K263" s="153">
        <f t="shared" si="155"/>
        <v>2.3404724877987255</v>
      </c>
      <c r="L263" s="153">
        <f t="shared" si="156"/>
        <v>0.00045657096939147324</v>
      </c>
      <c r="M263" s="153">
        <f t="shared" si="157"/>
        <v>0.5213675213675213</v>
      </c>
      <c r="N263" s="153">
        <f t="shared" si="169"/>
        <v>2.1949981728701644</v>
      </c>
      <c r="O263" s="153">
        <f t="shared" si="158"/>
        <v>0.07325223505585884</v>
      </c>
      <c r="P263" s="153">
        <f t="shared" si="159"/>
        <v>1.4042749847643332</v>
      </c>
      <c r="Q263" s="153">
        <f t="shared" si="160"/>
        <v>1.111900347412556</v>
      </c>
      <c r="R263" s="153">
        <f t="shared" si="161"/>
        <v>0.06779950800763512</v>
      </c>
      <c r="S263" s="153">
        <f t="shared" si="162"/>
        <v>0.7603833865814695</v>
      </c>
      <c r="T263" s="153">
        <f t="shared" si="170"/>
        <v>2.144530875732583</v>
      </c>
      <c r="U263" s="153">
        <f t="shared" si="163"/>
        <v>1.3519235765944506</v>
      </c>
      <c r="V263" s="153">
        <f t="shared" si="164"/>
        <v>3.833263214726713</v>
      </c>
      <c r="W263" s="153">
        <f t="shared" si="165"/>
        <v>2.144530875732583</v>
      </c>
      <c r="X263" s="169">
        <f t="shared" si="166"/>
        <v>5.590415019762845</v>
      </c>
      <c r="Y263" s="169">
        <f t="shared" si="167"/>
        <v>-0.0632387747035573</v>
      </c>
      <c r="Z263" s="170">
        <f t="shared" si="168"/>
        <v>4.226316311411738</v>
      </c>
    </row>
    <row r="264" spans="7:26" ht="12.75">
      <c r="G264" s="154">
        <v>74</v>
      </c>
      <c r="H264" s="154">
        <f t="shared" si="152"/>
        <v>0.16775756838139655</v>
      </c>
      <c r="I264" s="154">
        <f t="shared" si="153"/>
        <v>3.8007706088687</v>
      </c>
      <c r="J264" s="154">
        <f t="shared" si="154"/>
        <v>2.376635186037454</v>
      </c>
      <c r="K264" s="154">
        <f t="shared" si="155"/>
        <v>2.3725612741009727</v>
      </c>
      <c r="L264" s="154">
        <f t="shared" si="156"/>
        <v>0.00045657096939147324</v>
      </c>
      <c r="M264" s="154">
        <f t="shared" si="157"/>
        <v>0.5213675213675213</v>
      </c>
      <c r="N264" s="154">
        <f t="shared" si="169"/>
        <v>2.2026025576873396</v>
      </c>
      <c r="O264" s="154">
        <f t="shared" si="158"/>
        <v>0.07325223505585884</v>
      </c>
      <c r="P264" s="154">
        <f t="shared" si="159"/>
        <v>1.442439371083018</v>
      </c>
      <c r="Q264" s="154">
        <f t="shared" si="160"/>
        <v>1.1278934805216632</v>
      </c>
      <c r="R264" s="154">
        <f t="shared" si="161"/>
        <v>0.06779950800763512</v>
      </c>
      <c r="S264" s="154">
        <f t="shared" si="162"/>
        <v>0.7603833865814695</v>
      </c>
      <c r="T264" s="154">
        <f t="shared" si="170"/>
        <v>2.150275451722492</v>
      </c>
      <c r="U264" s="154">
        <f t="shared" si="163"/>
        <v>1.3577388221001312</v>
      </c>
      <c r="V264" s="154">
        <f t="shared" si="164"/>
        <v>3.833263214726713</v>
      </c>
      <c r="W264" s="154">
        <f t="shared" si="165"/>
        <v>2.150275451722492</v>
      </c>
      <c r="X264" s="171">
        <f t="shared" si="166"/>
        <v>5.666996047430829</v>
      </c>
      <c r="Y264" s="171">
        <f t="shared" si="167"/>
        <v>-0.06410505928853753</v>
      </c>
      <c r="Z264" s="172">
        <f t="shared" si="168"/>
        <v>4.257451304045172</v>
      </c>
    </row>
    <row r="265" spans="7:26" ht="12.75">
      <c r="G265" s="153">
        <v>75</v>
      </c>
      <c r="H265" s="153">
        <f t="shared" si="152"/>
        <v>0.17002456254871273</v>
      </c>
      <c r="I265" s="153">
        <f t="shared" si="153"/>
        <v>3.8229982715220645</v>
      </c>
      <c r="J265" s="153">
        <f t="shared" si="154"/>
        <v>2.408724598442619</v>
      </c>
      <c r="K265" s="153">
        <f t="shared" si="155"/>
        <v>2.4046500604032204</v>
      </c>
      <c r="L265" s="153">
        <f t="shared" si="156"/>
        <v>0.00045657096939147324</v>
      </c>
      <c r="M265" s="153">
        <f t="shared" si="157"/>
        <v>0.5213675213675213</v>
      </c>
      <c r="N265" s="153">
        <f t="shared" si="169"/>
        <v>2.2101387533750247</v>
      </c>
      <c r="O265" s="153">
        <f t="shared" si="158"/>
        <v>0.07325223505585884</v>
      </c>
      <c r="P265" s="153">
        <f t="shared" si="159"/>
        <v>1.4811153180149939</v>
      </c>
      <c r="Q265" s="153">
        <f t="shared" si="160"/>
        <v>1.1438866136307706</v>
      </c>
      <c r="R265" s="153">
        <f t="shared" si="161"/>
        <v>0.06779950800763512</v>
      </c>
      <c r="S265" s="153">
        <f t="shared" si="162"/>
        <v>0.7603833865814695</v>
      </c>
      <c r="T265" s="153">
        <f t="shared" si="170"/>
        <v>2.155971231690193</v>
      </c>
      <c r="U265" s="153">
        <f t="shared" si="163"/>
        <v>1.3635149063669716</v>
      </c>
      <c r="V265" s="153">
        <f t="shared" si="164"/>
        <v>3.833263214726713</v>
      </c>
      <c r="W265" s="153">
        <f t="shared" si="165"/>
        <v>2.155971231690193</v>
      </c>
      <c r="X265" s="169">
        <f t="shared" si="166"/>
        <v>5.7435770750988135</v>
      </c>
      <c r="Y265" s="169">
        <f t="shared" si="167"/>
        <v>-0.06497134387351779</v>
      </c>
      <c r="Z265" s="170">
        <f t="shared" si="168"/>
        <v>4.288388694614173</v>
      </c>
    </row>
    <row r="266" spans="7:26" ht="12.75">
      <c r="G266" s="154">
        <v>76</v>
      </c>
      <c r="H266" s="154">
        <f t="shared" si="152"/>
        <v>0.17229155671602894</v>
      </c>
      <c r="I266" s="154">
        <f t="shared" si="153"/>
        <v>3.845078237157663</v>
      </c>
      <c r="J266" s="154">
        <f t="shared" si="154"/>
        <v>2.440814010847784</v>
      </c>
      <c r="K266" s="154">
        <f t="shared" si="155"/>
        <v>2.4367388467054676</v>
      </c>
      <c r="L266" s="154">
        <f t="shared" si="156"/>
        <v>0.00045657096939147324</v>
      </c>
      <c r="M266" s="154">
        <f t="shared" si="157"/>
        <v>0.5213675213675213</v>
      </c>
      <c r="N266" s="154">
        <f t="shared" si="169"/>
        <v>2.217608268378044</v>
      </c>
      <c r="O266" s="154">
        <f t="shared" si="158"/>
        <v>0.07325223505585884</v>
      </c>
      <c r="P266" s="154">
        <f t="shared" si="159"/>
        <v>1.520302825560262</v>
      </c>
      <c r="Q266" s="154">
        <f t="shared" si="160"/>
        <v>1.1598797467398778</v>
      </c>
      <c r="R266" s="154">
        <f t="shared" si="161"/>
        <v>0.06779950800763512</v>
      </c>
      <c r="S266" s="154">
        <f t="shared" si="162"/>
        <v>0.7603833865814695</v>
      </c>
      <c r="T266" s="154">
        <f t="shared" si="170"/>
        <v>2.161619245836981</v>
      </c>
      <c r="U266" s="154">
        <f t="shared" si="163"/>
        <v>1.3692526100611948</v>
      </c>
      <c r="V266" s="154">
        <f t="shared" si="164"/>
        <v>3.833263214726713</v>
      </c>
      <c r="W266" s="154">
        <f t="shared" si="165"/>
        <v>2.161619245836981</v>
      </c>
      <c r="X266" s="171">
        <f t="shared" si="166"/>
        <v>5.820158102766798</v>
      </c>
      <c r="Y266" s="171">
        <f t="shared" si="167"/>
        <v>-0.06583762845849801</v>
      </c>
      <c r="Z266" s="172">
        <f t="shared" si="168"/>
        <v>4.319132993598109</v>
      </c>
    </row>
    <row r="267" spans="7:26" ht="12.75">
      <c r="G267" s="153">
        <v>77</v>
      </c>
      <c r="H267" s="153">
        <f t="shared" si="152"/>
        <v>0.1745585508833451</v>
      </c>
      <c r="I267" s="153">
        <f t="shared" si="153"/>
        <v>3.8670134114483408</v>
      </c>
      <c r="J267" s="153">
        <f t="shared" si="154"/>
        <v>2.4729034232529483</v>
      </c>
      <c r="K267" s="153">
        <f t="shared" si="155"/>
        <v>2.468827633007715</v>
      </c>
      <c r="L267" s="153">
        <f t="shared" si="156"/>
        <v>0.00045657096939147324</v>
      </c>
      <c r="M267" s="153">
        <f t="shared" si="157"/>
        <v>0.5213675213675213</v>
      </c>
      <c r="N267" s="153">
        <f t="shared" si="169"/>
        <v>2.225012558448081</v>
      </c>
      <c r="O267" s="153">
        <f t="shared" si="158"/>
        <v>0.07325223505585884</v>
      </c>
      <c r="P267" s="153">
        <f t="shared" si="159"/>
        <v>1.5600018937188205</v>
      </c>
      <c r="Q267" s="153">
        <f t="shared" si="160"/>
        <v>1.175872879848985</v>
      </c>
      <c r="R267" s="153">
        <f t="shared" si="161"/>
        <v>0.06779950800763512</v>
      </c>
      <c r="S267" s="153">
        <f t="shared" si="162"/>
        <v>0.7603833865814695</v>
      </c>
      <c r="T267" s="153">
        <f t="shared" si="170"/>
        <v>2.1672204898863554</v>
      </c>
      <c r="U267" s="153">
        <f t="shared" si="163"/>
        <v>1.37495268825145</v>
      </c>
      <c r="V267" s="153">
        <f t="shared" si="164"/>
        <v>3.833263214726713</v>
      </c>
      <c r="W267" s="153">
        <f t="shared" si="165"/>
        <v>2.1672204898863554</v>
      </c>
      <c r="X267" s="169">
        <f t="shared" si="166"/>
        <v>5.896739130434782</v>
      </c>
      <c r="Y267" s="169">
        <f t="shared" si="167"/>
        <v>-0.06670391304347825</v>
      </c>
      <c r="Z267" s="170">
        <f t="shared" si="168"/>
        <v>4.3496885398672624</v>
      </c>
    </row>
    <row r="268" spans="7:26" ht="12.75">
      <c r="G268" s="154">
        <v>78</v>
      </c>
      <c r="H268" s="154">
        <f t="shared" si="152"/>
        <v>0.17682554505066128</v>
      </c>
      <c r="I268" s="154">
        <f t="shared" si="153"/>
        <v>3.8888066060252204</v>
      </c>
      <c r="J268" s="154">
        <f t="shared" si="154"/>
        <v>2.504992835658113</v>
      </c>
      <c r="K268" s="154">
        <f t="shared" si="155"/>
        <v>2.5009164193099624</v>
      </c>
      <c r="L268" s="154">
        <f t="shared" si="156"/>
        <v>0.00045657096939147324</v>
      </c>
      <c r="M268" s="154">
        <f t="shared" si="157"/>
        <v>0.5213675213675213</v>
      </c>
      <c r="N268" s="154">
        <f t="shared" si="169"/>
        <v>2.2323530291419686</v>
      </c>
      <c r="O268" s="154">
        <f t="shared" si="158"/>
        <v>0.07325223505585884</v>
      </c>
      <c r="P268" s="154">
        <f t="shared" si="159"/>
        <v>1.6002125224906703</v>
      </c>
      <c r="Q268" s="154">
        <f t="shared" si="160"/>
        <v>1.1918660129580925</v>
      </c>
      <c r="R268" s="154">
        <f t="shared" si="161"/>
        <v>0.06779950800763512</v>
      </c>
      <c r="S268" s="154">
        <f t="shared" si="162"/>
        <v>0.7603833865814695</v>
      </c>
      <c r="T268" s="154">
        <f t="shared" si="170"/>
        <v>2.1727759266540856</v>
      </c>
      <c r="U268" s="154">
        <f t="shared" si="163"/>
        <v>1.3806158715686871</v>
      </c>
      <c r="V268" s="154">
        <f t="shared" si="164"/>
        <v>3.833263214726713</v>
      </c>
      <c r="W268" s="154">
        <f t="shared" si="165"/>
        <v>2.1727759266540856</v>
      </c>
      <c r="X268" s="171">
        <f t="shared" si="166"/>
        <v>5.973320158102767</v>
      </c>
      <c r="Y268" s="171">
        <f t="shared" si="167"/>
        <v>-0.06757019762845849</v>
      </c>
      <c r="Z268" s="172">
        <f t="shared" si="168"/>
        <v>4.380059509664988</v>
      </c>
    </row>
    <row r="269" spans="7:26" ht="12.75">
      <c r="G269" s="153">
        <v>79</v>
      </c>
      <c r="H269" s="153">
        <f t="shared" si="152"/>
        <v>0.17909253921797744</v>
      </c>
      <c r="I269" s="153">
        <f t="shared" si="153"/>
        <v>3.9104605426844268</v>
      </c>
      <c r="J269" s="153">
        <f t="shared" si="154"/>
        <v>2.537082248063278</v>
      </c>
      <c r="K269" s="153">
        <f t="shared" si="155"/>
        <v>2.533005205612209</v>
      </c>
      <c r="L269" s="153">
        <f t="shared" si="156"/>
        <v>0.00045657096939147324</v>
      </c>
      <c r="M269" s="153">
        <f t="shared" si="157"/>
        <v>0.5213675213675213</v>
      </c>
      <c r="N269" s="153">
        <f t="shared" si="169"/>
        <v>2.239631038171144</v>
      </c>
      <c r="O269" s="153">
        <f t="shared" si="158"/>
        <v>0.07325223505585884</v>
      </c>
      <c r="P269" s="153">
        <f t="shared" si="159"/>
        <v>1.640934711875811</v>
      </c>
      <c r="Q269" s="153">
        <f t="shared" si="160"/>
        <v>1.2078591460671995</v>
      </c>
      <c r="R269" s="153">
        <f t="shared" si="161"/>
        <v>0.06779950800763512</v>
      </c>
      <c r="S269" s="153">
        <f t="shared" si="162"/>
        <v>0.7603833865814695</v>
      </c>
      <c r="T269" s="153">
        <f t="shared" si="170"/>
        <v>2.1782864875282737</v>
      </c>
      <c r="U269" s="153">
        <f t="shared" si="163"/>
        <v>1.3862428672993188</v>
      </c>
      <c r="V269" s="153">
        <f t="shared" si="164"/>
        <v>3.833263214726713</v>
      </c>
      <c r="W269" s="153">
        <f t="shared" si="165"/>
        <v>2.1782864875282737</v>
      </c>
      <c r="X269" s="169">
        <f t="shared" si="166"/>
        <v>6.049901185770751</v>
      </c>
      <c r="Y269" s="169">
        <f t="shared" si="167"/>
        <v>-0.06843648221343873</v>
      </c>
      <c r="Z269" s="170">
        <f t="shared" si="168"/>
        <v>4.410249924998181</v>
      </c>
    </row>
    <row r="270" spans="7:26" ht="12.75">
      <c r="G270" s="154">
        <v>80</v>
      </c>
      <c r="H270" s="154">
        <f t="shared" si="152"/>
        <v>0.18135953338529365</v>
      </c>
      <c r="I270" s="154">
        <f t="shared" si="153"/>
        <v>3.9319778573549304</v>
      </c>
      <c r="J270" s="154">
        <f t="shared" si="154"/>
        <v>2.569171660468443</v>
      </c>
      <c r="K270" s="154">
        <f t="shared" si="155"/>
        <v>2.5650939919144573</v>
      </c>
      <c r="L270" s="154">
        <f t="shared" si="156"/>
        <v>0.00045657096939147324</v>
      </c>
      <c r="M270" s="154">
        <f t="shared" si="157"/>
        <v>0.5213675213675213</v>
      </c>
      <c r="N270" s="154">
        <f t="shared" si="169"/>
        <v>2.2468478976129047</v>
      </c>
      <c r="O270" s="154">
        <f t="shared" si="158"/>
        <v>0.07325223505585884</v>
      </c>
      <c r="P270" s="154">
        <f t="shared" si="159"/>
        <v>1.6821684618742436</v>
      </c>
      <c r="Q270" s="154">
        <f t="shared" si="160"/>
        <v>1.2238522791763071</v>
      </c>
      <c r="R270" s="154">
        <f t="shared" si="161"/>
        <v>0.06779950800763512</v>
      </c>
      <c r="S270" s="154">
        <f t="shared" si="162"/>
        <v>0.7603833865814695</v>
      </c>
      <c r="T270" s="154">
        <f t="shared" si="170"/>
        <v>2.183753073865602</v>
      </c>
      <c r="U270" s="154">
        <f t="shared" si="163"/>
        <v>1.3918343604163037</v>
      </c>
      <c r="V270" s="154">
        <f t="shared" si="164"/>
        <v>3.833263214726713</v>
      </c>
      <c r="W270" s="154">
        <f t="shared" si="165"/>
        <v>2.183753073865602</v>
      </c>
      <c r="X270" s="171">
        <f t="shared" si="166"/>
        <v>6.1264822134387344</v>
      </c>
      <c r="Y270" s="171">
        <f t="shared" si="167"/>
        <v>-0.06930276679841896</v>
      </c>
      <c r="Z270" s="172">
        <f t="shared" si="168"/>
        <v>4.440263661482681</v>
      </c>
    </row>
    <row r="271" spans="7:26" ht="12.75">
      <c r="G271" s="153">
        <v>81</v>
      </c>
      <c r="H271" s="153">
        <f t="shared" si="152"/>
        <v>0.1836265275526098</v>
      </c>
      <c r="I271" s="153">
        <f t="shared" si="153"/>
        <v>3.953361103843865</v>
      </c>
      <c r="J271" s="153">
        <f t="shared" si="154"/>
        <v>2.601261072873608</v>
      </c>
      <c r="K271" s="153">
        <f t="shared" si="155"/>
        <v>2.5971827782167045</v>
      </c>
      <c r="L271" s="153">
        <f t="shared" si="156"/>
        <v>0.00045657096939147324</v>
      </c>
      <c r="M271" s="153">
        <f t="shared" si="157"/>
        <v>0.5213675213675213</v>
      </c>
      <c r="N271" s="153">
        <f t="shared" si="169"/>
        <v>2.2540048759932088</v>
      </c>
      <c r="O271" s="153">
        <f t="shared" si="158"/>
        <v>0.07325223505585884</v>
      </c>
      <c r="P271" s="153">
        <f t="shared" si="159"/>
        <v>1.723913772485967</v>
      </c>
      <c r="Q271" s="153">
        <f t="shared" si="160"/>
        <v>1.2398454122854143</v>
      </c>
      <c r="R271" s="153">
        <f t="shared" si="161"/>
        <v>0.06779950800763512</v>
      </c>
      <c r="S271" s="153">
        <f t="shared" si="162"/>
        <v>0.7603833865814695</v>
      </c>
      <c r="T271" s="153">
        <f t="shared" si="170"/>
        <v>2.189176558309473</v>
      </c>
      <c r="U271" s="153">
        <f t="shared" si="163"/>
        <v>1.3973910145524062</v>
      </c>
      <c r="V271" s="153">
        <f t="shared" si="164"/>
        <v>3.833263214726713</v>
      </c>
      <c r="W271" s="153">
        <f t="shared" si="165"/>
        <v>2.189176558309473</v>
      </c>
      <c r="X271" s="169">
        <f t="shared" si="166"/>
        <v>6.203063241106719</v>
      </c>
      <c r="Y271" s="169">
        <f t="shared" si="167"/>
        <v>-0.0701690513833992</v>
      </c>
      <c r="Z271" s="170">
        <f t="shared" si="168"/>
        <v>4.47010445568594</v>
      </c>
    </row>
    <row r="272" spans="7:26" ht="12.75">
      <c r="G272" s="154">
        <v>82</v>
      </c>
      <c r="H272" s="154">
        <f t="shared" si="152"/>
        <v>0.18589352171992587</v>
      </c>
      <c r="I272" s="154">
        <f t="shared" si="153"/>
        <v>3.9746127573743957</v>
      </c>
      <c r="J272" s="154">
        <f t="shared" si="154"/>
        <v>2.633350485278771</v>
      </c>
      <c r="K272" s="154">
        <f t="shared" si="155"/>
        <v>2.6292715645189504</v>
      </c>
      <c r="L272" s="154">
        <f t="shared" si="156"/>
        <v>0.00045657096939147324</v>
      </c>
      <c r="M272" s="154">
        <f t="shared" si="157"/>
        <v>0.5213675213675213</v>
      </c>
      <c r="N272" s="154">
        <f t="shared" si="169"/>
        <v>2.261103200249976</v>
      </c>
      <c r="O272" s="154">
        <f t="shared" si="158"/>
        <v>0.07325223505585884</v>
      </c>
      <c r="P272" s="154">
        <f t="shared" si="159"/>
        <v>1.7661706437109799</v>
      </c>
      <c r="Q272" s="154">
        <f t="shared" si="160"/>
        <v>1.2558385453945209</v>
      </c>
      <c r="R272" s="154">
        <f t="shared" si="161"/>
        <v>0.06779950800763512</v>
      </c>
      <c r="S272" s="154">
        <f t="shared" si="162"/>
        <v>0.7603833865814695</v>
      </c>
      <c r="T272" s="154">
        <f t="shared" si="170"/>
        <v>2.194557786035283</v>
      </c>
      <c r="U272" s="154">
        <f t="shared" si="163"/>
        <v>1.4029134729195463</v>
      </c>
      <c r="V272" s="154">
        <f t="shared" si="164"/>
        <v>3.833263214726713</v>
      </c>
      <c r="W272" s="154">
        <f t="shared" si="165"/>
        <v>2.194557786035283</v>
      </c>
      <c r="X272" s="171">
        <f t="shared" si="166"/>
        <v>6.279644268774702</v>
      </c>
      <c r="Y272" s="171">
        <f t="shared" si="167"/>
        <v>-0.07103533596837942</v>
      </c>
      <c r="Z272" s="172">
        <f t="shared" si="168"/>
        <v>4.49977591200553</v>
      </c>
    </row>
    <row r="273" spans="7:26" ht="12.75">
      <c r="G273" s="153">
        <v>83</v>
      </c>
      <c r="H273" s="153">
        <f t="shared" si="152"/>
        <v>0.18816051588724209</v>
      </c>
      <c r="I273" s="153">
        <f t="shared" si="153"/>
        <v>3.9957352179299965</v>
      </c>
      <c r="J273" s="153">
        <f t="shared" si="154"/>
        <v>2.665439897683936</v>
      </c>
      <c r="K273" s="153">
        <f t="shared" si="155"/>
        <v>2.6613603508211976</v>
      </c>
      <c r="L273" s="153">
        <f t="shared" si="156"/>
        <v>0.00045657096939147324</v>
      </c>
      <c r="M273" s="153">
        <f t="shared" si="157"/>
        <v>0.5213675213675213</v>
      </c>
      <c r="N273" s="153">
        <f t="shared" si="169"/>
        <v>2.2681440575851073</v>
      </c>
      <c r="O273" s="153">
        <f t="shared" si="158"/>
        <v>0.07325223505585884</v>
      </c>
      <c r="P273" s="153">
        <f t="shared" si="159"/>
        <v>1.8089390755492862</v>
      </c>
      <c r="Q273" s="153">
        <f t="shared" si="160"/>
        <v>1.2718316785036283</v>
      </c>
      <c r="R273" s="153">
        <f t="shared" si="161"/>
        <v>0.06779950800763512</v>
      </c>
      <c r="S273" s="153">
        <f t="shared" si="162"/>
        <v>0.7603833865814695</v>
      </c>
      <c r="T273" s="153">
        <f t="shared" si="170"/>
        <v>2.1998975759276753</v>
      </c>
      <c r="U273" s="153">
        <f t="shared" si="163"/>
        <v>1.4084023591778456</v>
      </c>
      <c r="V273" s="153">
        <f t="shared" si="164"/>
        <v>3.833263214726713</v>
      </c>
      <c r="W273" s="153">
        <f t="shared" si="165"/>
        <v>2.1998975759276753</v>
      </c>
      <c r="X273" s="169">
        <f t="shared" si="166"/>
        <v>6.356225296442687</v>
      </c>
      <c r="Y273" s="169">
        <f t="shared" si="167"/>
        <v>-0.07190162055335966</v>
      </c>
      <c r="Z273" s="170">
        <f t="shared" si="168"/>
        <v>4.529281509118609</v>
      </c>
    </row>
    <row r="274" spans="7:26" ht="12.75">
      <c r="G274" s="154">
        <v>84</v>
      </c>
      <c r="H274" s="154">
        <f t="shared" si="152"/>
        <v>0.19042751005455827</v>
      </c>
      <c r="I274" s="154">
        <f t="shared" si="153"/>
        <v>4.016730813417949</v>
      </c>
      <c r="J274" s="154">
        <f t="shared" si="154"/>
        <v>2.6975293100891014</v>
      </c>
      <c r="K274" s="154">
        <f t="shared" si="155"/>
        <v>2.6934491371234452</v>
      </c>
      <c r="L274" s="154">
        <f t="shared" si="156"/>
        <v>0.00045657096939147324</v>
      </c>
      <c r="M274" s="154">
        <f t="shared" si="157"/>
        <v>0.5213675213675213</v>
      </c>
      <c r="N274" s="154">
        <f t="shared" si="169"/>
        <v>2.2751285972127917</v>
      </c>
      <c r="O274" s="154">
        <f t="shared" si="158"/>
        <v>0.07325223505585884</v>
      </c>
      <c r="P274" s="154">
        <f t="shared" si="159"/>
        <v>1.852219068000884</v>
      </c>
      <c r="Q274" s="154">
        <f t="shared" si="160"/>
        <v>1.2878248116127358</v>
      </c>
      <c r="R274" s="154">
        <f t="shared" si="161"/>
        <v>0.06779950800763512</v>
      </c>
      <c r="S274" s="154">
        <f t="shared" si="162"/>
        <v>0.7603833865814695</v>
      </c>
      <c r="T274" s="154">
        <f t="shared" si="170"/>
        <v>2.205196721694228</v>
      </c>
      <c r="U274" s="154">
        <f t="shared" si="163"/>
        <v>1.4138582782576932</v>
      </c>
      <c r="V274" s="154">
        <f t="shared" si="164"/>
        <v>3.833263214726713</v>
      </c>
      <c r="W274" s="154">
        <f t="shared" si="165"/>
        <v>2.205196721694228</v>
      </c>
      <c r="X274" s="171">
        <f t="shared" si="166"/>
        <v>6.432806324110671</v>
      </c>
      <c r="Y274" s="171">
        <f t="shared" si="167"/>
        <v>-0.0727679051383399</v>
      </c>
      <c r="Z274" s="172">
        <f t="shared" si="168"/>
        <v>4.558624606034392</v>
      </c>
    </row>
    <row r="275" spans="7:26" ht="12.75">
      <c r="G275" s="153">
        <v>85</v>
      </c>
      <c r="H275" s="153">
        <f t="shared" si="152"/>
        <v>0.19269450422187442</v>
      </c>
      <c r="I275" s="153">
        <f t="shared" si="153"/>
        <v>4.037601802663839</v>
      </c>
      <c r="J275" s="153">
        <f t="shared" si="154"/>
        <v>2.729618722494266</v>
      </c>
      <c r="K275" s="153">
        <f t="shared" si="155"/>
        <v>2.7255379234256925</v>
      </c>
      <c r="L275" s="153">
        <f t="shared" si="156"/>
        <v>0.00045657096939147324</v>
      </c>
      <c r="M275" s="153">
        <f t="shared" si="157"/>
        <v>0.5213675213675213</v>
      </c>
      <c r="N275" s="153">
        <f t="shared" si="169"/>
        <v>2.2820579320110754</v>
      </c>
      <c r="O275" s="153">
        <f t="shared" si="158"/>
        <v>0.07325223505585884</v>
      </c>
      <c r="P275" s="153">
        <f t="shared" si="159"/>
        <v>1.8960106210657728</v>
      </c>
      <c r="Q275" s="153">
        <f t="shared" si="160"/>
        <v>1.303817944721843</v>
      </c>
      <c r="R275" s="153">
        <f t="shared" si="161"/>
        <v>0.06779950800763512</v>
      </c>
      <c r="S275" s="153">
        <f t="shared" si="162"/>
        <v>0.7603833865814695</v>
      </c>
      <c r="T275" s="153">
        <f t="shared" si="170"/>
        <v>2.2104559929197105</v>
      </c>
      <c r="U275" s="153">
        <f t="shared" si="163"/>
        <v>1.4192818171378974</v>
      </c>
      <c r="V275" s="153">
        <f t="shared" si="164"/>
        <v>3.833263214726713</v>
      </c>
      <c r="W275" s="153">
        <f t="shared" si="165"/>
        <v>2.2104559929197105</v>
      </c>
      <c r="X275" s="169">
        <f t="shared" si="166"/>
        <v>6.509387351778656</v>
      </c>
      <c r="Y275" s="169">
        <f t="shared" si="167"/>
        <v>-0.07363418972332016</v>
      </c>
      <c r="Z275" s="170">
        <f t="shared" si="168"/>
        <v>4.5878084477789205</v>
      </c>
    </row>
    <row r="276" spans="7:26" ht="12.75">
      <c r="G276" s="154">
        <v>86</v>
      </c>
      <c r="H276" s="154">
        <f t="shared" si="152"/>
        <v>0.19496149838919058</v>
      </c>
      <c r="I276" s="154">
        <f t="shared" si="153"/>
        <v>4.058350378247992</v>
      </c>
      <c r="J276" s="154">
        <f t="shared" si="154"/>
        <v>2.76170813489943</v>
      </c>
      <c r="K276" s="154">
        <f t="shared" si="155"/>
        <v>2.757626709727939</v>
      </c>
      <c r="L276" s="154">
        <f t="shared" si="156"/>
        <v>0.00045657096939147324</v>
      </c>
      <c r="M276" s="154">
        <f t="shared" si="157"/>
        <v>0.5213675213675213</v>
      </c>
      <c r="N276" s="154">
        <f t="shared" si="169"/>
        <v>2.2889331400831097</v>
      </c>
      <c r="O276" s="154">
        <f t="shared" si="158"/>
        <v>0.07325223505585884</v>
      </c>
      <c r="P276" s="154">
        <f t="shared" si="159"/>
        <v>1.9403137347439514</v>
      </c>
      <c r="Q276" s="154">
        <f t="shared" si="160"/>
        <v>1.31981107783095</v>
      </c>
      <c r="R276" s="154">
        <f t="shared" si="161"/>
        <v>0.06779950800763512</v>
      </c>
      <c r="S276" s="154">
        <f t="shared" si="162"/>
        <v>0.7603833865814695</v>
      </c>
      <c r="T276" s="154">
        <f t="shared" si="170"/>
        <v>2.215676136064713</v>
      </c>
      <c r="U276" s="154">
        <f t="shared" si="163"/>
        <v>1.4246735455827606</v>
      </c>
      <c r="V276" s="154">
        <f t="shared" si="164"/>
        <v>3.833263214726713</v>
      </c>
      <c r="W276" s="154">
        <f t="shared" si="165"/>
        <v>2.215676136064713</v>
      </c>
      <c r="X276" s="171">
        <f t="shared" si="166"/>
        <v>6.58596837944664</v>
      </c>
      <c r="Y276" s="171">
        <f t="shared" si="167"/>
        <v>-0.07450047430830038</v>
      </c>
      <c r="Z276" s="172">
        <f t="shared" si="168"/>
        <v>4.616836170738879</v>
      </c>
    </row>
    <row r="277" spans="7:26" ht="12.75">
      <c r="G277" s="153">
        <v>87</v>
      </c>
      <c r="H277" s="153">
        <f t="shared" si="152"/>
        <v>0.19722849255650673</v>
      </c>
      <c r="I277" s="153">
        <f t="shared" si="153"/>
        <v>4.078978669193882</v>
      </c>
      <c r="J277" s="153">
        <f t="shared" si="154"/>
        <v>2.7937975473045946</v>
      </c>
      <c r="K277" s="153">
        <f t="shared" si="155"/>
        <v>2.7897154960301864</v>
      </c>
      <c r="L277" s="153">
        <f t="shared" si="156"/>
        <v>0.00045657096939147324</v>
      </c>
      <c r="M277" s="153">
        <f t="shared" si="157"/>
        <v>0.5213675213675213</v>
      </c>
      <c r="N277" s="153">
        <f t="shared" si="169"/>
        <v>2.295755266234007</v>
      </c>
      <c r="O277" s="153">
        <f t="shared" si="158"/>
        <v>0.07325223505585884</v>
      </c>
      <c r="P277" s="153">
        <f t="shared" si="159"/>
        <v>1.9851284090354218</v>
      </c>
      <c r="Q277" s="153">
        <f t="shared" si="160"/>
        <v>1.3358042109400572</v>
      </c>
      <c r="R277" s="153">
        <f t="shared" si="161"/>
        <v>0.06779950800763512</v>
      </c>
      <c r="S277" s="153">
        <f t="shared" si="162"/>
        <v>0.7603833865814695</v>
      </c>
      <c r="T277" s="153">
        <f t="shared" si="170"/>
        <v>2.220857875412177</v>
      </c>
      <c r="U277" s="153">
        <f t="shared" si="163"/>
        <v>1.4300340168406924</v>
      </c>
      <c r="V277" s="153">
        <f t="shared" si="164"/>
        <v>3.833263214726713</v>
      </c>
      <c r="W277" s="153">
        <f t="shared" si="165"/>
        <v>2.220857875412177</v>
      </c>
      <c r="X277" s="169">
        <f t="shared" si="166"/>
        <v>6.662549407114624</v>
      </c>
      <c r="Y277" s="169">
        <f t="shared" si="167"/>
        <v>-0.07536675889328062</v>
      </c>
      <c r="Z277" s="170">
        <f t="shared" si="168"/>
        <v>4.645710807689007</v>
      </c>
    </row>
    <row r="278" spans="7:26" ht="12.75">
      <c r="G278" s="154">
        <v>88</v>
      </c>
      <c r="H278" s="154">
        <f t="shared" si="152"/>
        <v>0.19949548672382295</v>
      </c>
      <c r="I278" s="154">
        <f t="shared" si="153"/>
        <v>4.099488743517889</v>
      </c>
      <c r="J278" s="154">
        <f t="shared" si="154"/>
        <v>2.82588695970976</v>
      </c>
      <c r="K278" s="154">
        <f t="shared" si="155"/>
        <v>2.821804282332434</v>
      </c>
      <c r="L278" s="154">
        <f t="shared" si="156"/>
        <v>0.00045657096939147324</v>
      </c>
      <c r="M278" s="154">
        <f t="shared" si="157"/>
        <v>0.5213675213675213</v>
      </c>
      <c r="N278" s="154">
        <f t="shared" si="169"/>
        <v>2.302525323368789</v>
      </c>
      <c r="O278" s="154">
        <f t="shared" si="158"/>
        <v>0.07325223505585884</v>
      </c>
      <c r="P278" s="154">
        <f t="shared" si="159"/>
        <v>2.0304546439401854</v>
      </c>
      <c r="Q278" s="154">
        <f t="shared" si="160"/>
        <v>1.3517973440491646</v>
      </c>
      <c r="R278" s="154">
        <f t="shared" si="161"/>
        <v>0.06779950800763512</v>
      </c>
      <c r="S278" s="154">
        <f t="shared" si="162"/>
        <v>0.7603833865814695</v>
      </c>
      <c r="T278" s="154">
        <f t="shared" si="170"/>
        <v>2.2260019139651006</v>
      </c>
      <c r="U278" s="154">
        <f t="shared" si="163"/>
        <v>1.4353637683067872</v>
      </c>
      <c r="V278" s="154">
        <f t="shared" si="164"/>
        <v>3.833263214726713</v>
      </c>
      <c r="W278" s="154">
        <f t="shared" si="165"/>
        <v>2.2260019139651006</v>
      </c>
      <c r="X278" s="171">
        <f t="shared" si="166"/>
        <v>6.739130434782608</v>
      </c>
      <c r="Y278" s="171">
        <f t="shared" si="167"/>
        <v>-0.07623304347826086</v>
      </c>
      <c r="Z278" s="172">
        <f t="shared" si="168"/>
        <v>4.674435292525527</v>
      </c>
    </row>
    <row r="279" spans="7:26" ht="12.75">
      <c r="G279" s="153">
        <v>89</v>
      </c>
      <c r="H279" s="153">
        <f t="shared" si="152"/>
        <v>0.20176248089113916</v>
      </c>
      <c r="I279" s="153">
        <f t="shared" si="153"/>
        <v>4.119882610649022</v>
      </c>
      <c r="J279" s="153">
        <f t="shared" si="154"/>
        <v>2.8579763721149254</v>
      </c>
      <c r="K279" s="153">
        <f t="shared" si="155"/>
        <v>2.853893068634682</v>
      </c>
      <c r="L279" s="153">
        <f t="shared" si="156"/>
        <v>0.00045657096939147324</v>
      </c>
      <c r="M279" s="153">
        <f t="shared" si="157"/>
        <v>0.5213675213675213</v>
      </c>
      <c r="N279" s="153">
        <f t="shared" si="169"/>
        <v>2.309244293816473</v>
      </c>
      <c r="O279" s="153">
        <f t="shared" si="158"/>
        <v>0.07325223505585884</v>
      </c>
      <c r="P279" s="153">
        <f t="shared" si="159"/>
        <v>2.076292439458239</v>
      </c>
      <c r="Q279" s="153">
        <f t="shared" si="160"/>
        <v>1.3677904771582723</v>
      </c>
      <c r="R279" s="153">
        <f t="shared" si="161"/>
        <v>0.06779950800763512</v>
      </c>
      <c r="S279" s="153">
        <f t="shared" si="162"/>
        <v>0.7603833865814695</v>
      </c>
      <c r="T279" s="153">
        <f t="shared" si="170"/>
        <v>2.2311089342984363</v>
      </c>
      <c r="U279" s="153">
        <f t="shared" si="163"/>
        <v>1.4406633221516147</v>
      </c>
      <c r="V279" s="153">
        <f t="shared" si="164"/>
        <v>3.833263214726713</v>
      </c>
      <c r="W279" s="153">
        <f t="shared" si="165"/>
        <v>2.2311089342984363</v>
      </c>
      <c r="X279" s="169">
        <f t="shared" si="166"/>
        <v>6.815711462450592</v>
      </c>
      <c r="Y279" s="169">
        <f t="shared" si="167"/>
        <v>-0.07709932806324109</v>
      </c>
      <c r="Z279" s="170">
        <f t="shared" si="168"/>
        <v>4.703012464726275</v>
      </c>
    </row>
    <row r="280" spans="7:26" ht="12.75">
      <c r="G280" s="154">
        <v>90</v>
      </c>
      <c r="H280" s="154">
        <f t="shared" si="152"/>
        <v>0.20402947505845534</v>
      </c>
      <c r="I280" s="154">
        <f t="shared" si="153"/>
        <v>4.140162223726624</v>
      </c>
      <c r="J280" s="154">
        <f t="shared" si="154"/>
        <v>2.8900657845200897</v>
      </c>
      <c r="K280" s="154">
        <f t="shared" si="155"/>
        <v>2.8859818549369294</v>
      </c>
      <c r="L280" s="154">
        <f t="shared" si="156"/>
        <v>0.00045657096939147324</v>
      </c>
      <c r="M280" s="154">
        <f t="shared" si="157"/>
        <v>0.5213675213675213</v>
      </c>
      <c r="N280" s="154">
        <f t="shared" si="169"/>
        <v>2.3159131305850025</v>
      </c>
      <c r="O280" s="154">
        <f t="shared" si="158"/>
        <v>0.07325223505585884</v>
      </c>
      <c r="P280" s="154">
        <f t="shared" si="159"/>
        <v>2.1226417955895847</v>
      </c>
      <c r="Q280" s="154">
        <f t="shared" si="160"/>
        <v>1.3837836102673795</v>
      </c>
      <c r="R280" s="154">
        <f t="shared" si="161"/>
        <v>0.06779950800763512</v>
      </c>
      <c r="S280" s="154">
        <f t="shared" si="162"/>
        <v>0.7603833865814695</v>
      </c>
      <c r="T280" s="154">
        <f t="shared" si="170"/>
        <v>2.2361795993680005</v>
      </c>
      <c r="U280" s="154">
        <f t="shared" si="163"/>
        <v>1.4459331859183038</v>
      </c>
      <c r="V280" s="154">
        <f t="shared" si="164"/>
        <v>3.833263214726713</v>
      </c>
      <c r="W280" s="154">
        <f t="shared" si="165"/>
        <v>2.2361795993680005</v>
      </c>
      <c r="X280" s="171">
        <f t="shared" si="166"/>
        <v>6.892292490118576</v>
      </c>
      <c r="Y280" s="171">
        <f t="shared" si="167"/>
        <v>-0.07796561264822133</v>
      </c>
      <c r="Z280" s="172">
        <f t="shared" si="168"/>
        <v>4.731445073556421</v>
      </c>
    </row>
    <row r="281" spans="7:26" ht="12.75">
      <c r="G281" s="153">
        <v>91</v>
      </c>
      <c r="H281" s="153">
        <f t="shared" si="152"/>
        <v>0.2062964692257715</v>
      </c>
      <c r="I281" s="153">
        <f t="shared" si="153"/>
        <v>4.16032948178351</v>
      </c>
      <c r="J281" s="153">
        <f t="shared" si="154"/>
        <v>2.9221551969252544</v>
      </c>
      <c r="K281" s="153">
        <f t="shared" si="155"/>
        <v>2.9180706412391766</v>
      </c>
      <c r="L281" s="153">
        <f t="shared" si="156"/>
        <v>0.00045657096939147324</v>
      </c>
      <c r="M281" s="153">
        <f t="shared" si="157"/>
        <v>0.5213675213675213</v>
      </c>
      <c r="N281" s="153">
        <f t="shared" si="169"/>
        <v>2.3225327585513407</v>
      </c>
      <c r="O281" s="153">
        <f t="shared" si="158"/>
        <v>0.07325223505585884</v>
      </c>
      <c r="P281" s="153">
        <f t="shared" si="159"/>
        <v>2.1695027123342197</v>
      </c>
      <c r="Q281" s="153">
        <f t="shared" si="160"/>
        <v>1.3997767433764867</v>
      </c>
      <c r="R281" s="153">
        <f t="shared" si="161"/>
        <v>0.06779950800763512</v>
      </c>
      <c r="S281" s="153">
        <f t="shared" si="162"/>
        <v>0.7603833865814695</v>
      </c>
      <c r="T281" s="153">
        <f t="shared" si="170"/>
        <v>2.2412145532789998</v>
      </c>
      <c r="U281" s="153">
        <f t="shared" si="163"/>
        <v>1.4511738530898501</v>
      </c>
      <c r="V281" s="153">
        <f t="shared" si="164"/>
        <v>3.833263214726713</v>
      </c>
      <c r="W281" s="153">
        <f t="shared" si="165"/>
        <v>2.2412145532789998</v>
      </c>
      <c r="X281" s="169">
        <f t="shared" si="166"/>
        <v>6.96887351778656</v>
      </c>
      <c r="Y281" s="169">
        <f t="shared" si="167"/>
        <v>-0.07883189723320155</v>
      </c>
      <c r="Z281" s="170">
        <f t="shared" si="168"/>
        <v>4.759735782037208</v>
      </c>
    </row>
    <row r="282" spans="7:26" ht="12.75">
      <c r="G282" s="154">
        <v>92</v>
      </c>
      <c r="H282" s="154">
        <f t="shared" si="152"/>
        <v>0.20856346339308765</v>
      </c>
      <c r="I282" s="154">
        <f t="shared" si="153"/>
        <v>4.180386231821426</v>
      </c>
      <c r="J282" s="154">
        <f t="shared" si="154"/>
        <v>2.954244609330419</v>
      </c>
      <c r="K282" s="154">
        <f t="shared" si="155"/>
        <v>2.950159427541424</v>
      </c>
      <c r="L282" s="154">
        <f t="shared" si="156"/>
        <v>0.00045657096939147324</v>
      </c>
      <c r="M282" s="154">
        <f t="shared" si="157"/>
        <v>0.5213675213675213</v>
      </c>
      <c r="N282" s="154">
        <f t="shared" si="169"/>
        <v>2.3291040755907613</v>
      </c>
      <c r="O282" s="154">
        <f t="shared" si="158"/>
        <v>0.07325223505585884</v>
      </c>
      <c r="P282" s="154">
        <f t="shared" si="159"/>
        <v>2.2168751896921473</v>
      </c>
      <c r="Q282" s="154">
        <f t="shared" si="160"/>
        <v>1.415769876485594</v>
      </c>
      <c r="R282" s="154">
        <f t="shared" si="161"/>
        <v>0.06779950800763512</v>
      </c>
      <c r="S282" s="154">
        <f t="shared" si="162"/>
        <v>0.7603833865814695</v>
      </c>
      <c r="T282" s="154">
        <f t="shared" si="170"/>
        <v>2.246214422016595</v>
      </c>
      <c r="U282" s="154">
        <f t="shared" si="163"/>
        <v>1.4563858036284474</v>
      </c>
      <c r="V282" s="154">
        <f t="shared" si="164"/>
        <v>3.833263214726713</v>
      </c>
      <c r="W282" s="154">
        <f t="shared" si="165"/>
        <v>2.246214422016595</v>
      </c>
      <c r="X282" s="171">
        <f t="shared" si="166"/>
        <v>7.045454545454546</v>
      </c>
      <c r="Y282" s="171">
        <f t="shared" si="167"/>
        <v>-0.07969818181818182</v>
      </c>
      <c r="Z282" s="172">
        <f t="shared" si="168"/>
        <v>4.787887170693793</v>
      </c>
    </row>
    <row r="283" spans="7:26" ht="12.75">
      <c r="G283" s="153">
        <v>93</v>
      </c>
      <c r="H283" s="153">
        <f t="shared" si="152"/>
        <v>0.2108304575604038</v>
      </c>
      <c r="I283" s="153">
        <f t="shared" si="153"/>
        <v>4.200334270785262</v>
      </c>
      <c r="J283" s="153">
        <f t="shared" si="154"/>
        <v>2.9863340217355834</v>
      </c>
      <c r="K283" s="153">
        <f t="shared" si="155"/>
        <v>2.9822482138436706</v>
      </c>
      <c r="L283" s="153">
        <f t="shared" si="156"/>
        <v>0.00045657096939147324</v>
      </c>
      <c r="M283" s="153">
        <f t="shared" si="157"/>
        <v>0.5213675213675213</v>
      </c>
      <c r="N283" s="153">
        <f t="shared" si="169"/>
        <v>2.3356279536490625</v>
      </c>
      <c r="O283" s="153">
        <f t="shared" si="158"/>
        <v>0.07325223505585884</v>
      </c>
      <c r="P283" s="153">
        <f t="shared" si="159"/>
        <v>2.2647592276633643</v>
      </c>
      <c r="Q283" s="153">
        <f t="shared" si="160"/>
        <v>1.431763009594701</v>
      </c>
      <c r="R283" s="153">
        <f t="shared" si="161"/>
        <v>0.06779950800763512</v>
      </c>
      <c r="S283" s="153">
        <f t="shared" si="162"/>
        <v>0.7603833865814695</v>
      </c>
      <c r="T283" s="153">
        <f t="shared" si="170"/>
        <v>2.251179814140765</v>
      </c>
      <c r="U283" s="153">
        <f t="shared" si="163"/>
        <v>1.4615695044885058</v>
      </c>
      <c r="V283" s="153">
        <f t="shared" si="164"/>
        <v>3.833263214726713</v>
      </c>
      <c r="W283" s="153">
        <f t="shared" si="165"/>
        <v>2.251179814140765</v>
      </c>
      <c r="X283" s="169">
        <f t="shared" si="166"/>
        <v>7.122035573122529</v>
      </c>
      <c r="Y283" s="169">
        <f t="shared" si="167"/>
        <v>-0.08056446640316205</v>
      </c>
      <c r="Z283" s="170">
        <f t="shared" si="168"/>
        <v>4.815901741096876</v>
      </c>
    </row>
    <row r="284" spans="7:26" ht="12.75">
      <c r="G284" s="154">
        <v>94</v>
      </c>
      <c r="H284" s="154">
        <f t="shared" si="152"/>
        <v>0.21309745172771993</v>
      </c>
      <c r="I284" s="154">
        <f t="shared" si="153"/>
        <v>4.220175347441983</v>
      </c>
      <c r="J284" s="154">
        <f t="shared" si="154"/>
        <v>3.018423434140748</v>
      </c>
      <c r="K284" s="154">
        <f t="shared" si="155"/>
        <v>3.0143370001459173</v>
      </c>
      <c r="L284" s="154">
        <f t="shared" si="156"/>
        <v>0.00045657096939147324</v>
      </c>
      <c r="M284" s="154">
        <f t="shared" si="157"/>
        <v>0.5213675213675213</v>
      </c>
      <c r="N284" s="154">
        <f t="shared" si="169"/>
        <v>2.342105239761178</v>
      </c>
      <c r="O284" s="154">
        <f t="shared" si="158"/>
        <v>0.07325223505585884</v>
      </c>
      <c r="P284" s="154">
        <f t="shared" si="159"/>
        <v>2.313154826247874</v>
      </c>
      <c r="Q284" s="154">
        <f t="shared" si="160"/>
        <v>1.447756142703808</v>
      </c>
      <c r="R284" s="154">
        <f t="shared" si="161"/>
        <v>0.06779950800763512</v>
      </c>
      <c r="S284" s="154">
        <f t="shared" si="162"/>
        <v>0.7603833865814695</v>
      </c>
      <c r="T284" s="154">
        <f t="shared" si="170"/>
        <v>2.2561113214475634</v>
      </c>
      <c r="U284" s="154">
        <f t="shared" si="163"/>
        <v>1.4667254101049116</v>
      </c>
      <c r="V284" s="154">
        <f t="shared" si="164"/>
        <v>3.833263214726713</v>
      </c>
      <c r="W284" s="154">
        <f t="shared" si="165"/>
        <v>2.2561113214475634</v>
      </c>
      <c r="X284" s="171">
        <f t="shared" si="166"/>
        <v>7.198616600790514</v>
      </c>
      <c r="Y284" s="171">
        <f t="shared" si="167"/>
        <v>-0.08143075098814229</v>
      </c>
      <c r="Z284" s="172">
        <f t="shared" si="168"/>
        <v>4.843781919211837</v>
      </c>
    </row>
    <row r="285" spans="7:26" ht="12.75">
      <c r="G285" s="153">
        <v>95</v>
      </c>
      <c r="H285" s="153">
        <f t="shared" si="152"/>
        <v>0.21536444589503614</v>
      </c>
      <c r="I285" s="153">
        <f t="shared" si="153"/>
        <v>4.239911164169847</v>
      </c>
      <c r="J285" s="153">
        <f t="shared" si="154"/>
        <v>3.050512846545913</v>
      </c>
      <c r="K285" s="153">
        <f t="shared" si="155"/>
        <v>3.046425786448165</v>
      </c>
      <c r="L285" s="153">
        <f t="shared" si="156"/>
        <v>0.00045657096939147324</v>
      </c>
      <c r="M285" s="153">
        <f t="shared" si="157"/>
        <v>0.5213675213675213</v>
      </c>
      <c r="N285" s="153">
        <f t="shared" si="169"/>
        <v>2.348536757019389</v>
      </c>
      <c r="O285" s="153">
        <f t="shared" si="158"/>
        <v>0.07325223505585884</v>
      </c>
      <c r="P285" s="153">
        <f t="shared" si="159"/>
        <v>2.362061985445675</v>
      </c>
      <c r="Q285" s="153">
        <f t="shared" si="160"/>
        <v>1.4637492758129156</v>
      </c>
      <c r="R285" s="153">
        <f t="shared" si="161"/>
        <v>0.06779950800763512</v>
      </c>
      <c r="S285" s="153">
        <f t="shared" si="162"/>
        <v>0.7603833865814695</v>
      </c>
      <c r="T285" s="153">
        <f t="shared" si="170"/>
        <v>2.261009519598727</v>
      </c>
      <c r="U285" s="153">
        <f t="shared" si="163"/>
        <v>1.4718539628579745</v>
      </c>
      <c r="V285" s="153">
        <f t="shared" si="164"/>
        <v>3.833263214726713</v>
      </c>
      <c r="W285" s="153">
        <f t="shared" si="165"/>
        <v>2.261009519598727</v>
      </c>
      <c r="X285" s="169">
        <f t="shared" si="166"/>
        <v>7.275197628458497</v>
      </c>
      <c r="Y285" s="169">
        <f t="shared" si="167"/>
        <v>-0.08229703557312253</v>
      </c>
      <c r="Z285" s="170">
        <f t="shared" si="168"/>
        <v>4.871530058567893</v>
      </c>
    </row>
    <row r="286" spans="7:26" ht="12.75">
      <c r="G286" s="154">
        <v>96</v>
      </c>
      <c r="H286" s="154">
        <f t="shared" si="152"/>
        <v>0.21763144006235227</v>
      </c>
      <c r="I286" s="154">
        <f t="shared" si="153"/>
        <v>4.259543378663085</v>
      </c>
      <c r="J286" s="154">
        <f t="shared" si="154"/>
        <v>3.0826022589510766</v>
      </c>
      <c r="K286" s="154">
        <f t="shared" si="155"/>
        <v>3.0785145727504117</v>
      </c>
      <c r="L286" s="154">
        <f t="shared" si="156"/>
        <v>0.00045657096939147324</v>
      </c>
      <c r="M286" s="154">
        <f t="shared" si="157"/>
        <v>0.5213675213675213</v>
      </c>
      <c r="N286" s="154">
        <f t="shared" si="169"/>
        <v>2.354923305494153</v>
      </c>
      <c r="O286" s="154">
        <f t="shared" si="158"/>
        <v>0.07325223505585884</v>
      </c>
      <c r="P286" s="154">
        <f t="shared" si="159"/>
        <v>2.4114807052567664</v>
      </c>
      <c r="Q286" s="154">
        <f t="shared" si="160"/>
        <v>1.4797424089220226</v>
      </c>
      <c r="R286" s="154">
        <f t="shared" si="161"/>
        <v>0.06779950800763512</v>
      </c>
      <c r="S286" s="154">
        <f t="shared" si="162"/>
        <v>0.7603833865814695</v>
      </c>
      <c r="T286" s="154">
        <f t="shared" si="170"/>
        <v>2.265874968721454</v>
      </c>
      <c r="U286" s="154">
        <f t="shared" si="163"/>
        <v>1.4769555935164038</v>
      </c>
      <c r="V286" s="154">
        <f t="shared" si="164"/>
        <v>3.833263214726713</v>
      </c>
      <c r="W286" s="154">
        <f t="shared" si="165"/>
        <v>2.265874968721454</v>
      </c>
      <c r="X286" s="171">
        <f t="shared" si="166"/>
        <v>7.3517786561264815</v>
      </c>
      <c r="Y286" s="171">
        <f t="shared" si="167"/>
        <v>-0.08316332015810277</v>
      </c>
      <c r="Z286" s="172">
        <f t="shared" si="168"/>
        <v>4.899148443258936</v>
      </c>
    </row>
    <row r="287" spans="7:26" ht="12.75">
      <c r="G287" s="153">
        <v>97</v>
      </c>
      <c r="H287" s="153">
        <f>(((G287/100)*Iout)*(Vout_nom^2)*2.5*Rsense*K_1)/(eff*(Vline^2)*K_FQ)*us</f>
        <v>0.21989843422966848</v>
      </c>
      <c r="I287" s="153">
        <f>(1*10^-9*(5*10^8*SQRT(fsw*kHz)+(1.09655978*10^10)*SQRT(ftyp)*SQRT(H287)))/SQRT(fsw*kHz)</f>
        <v>4.279073605556873</v>
      </c>
      <c r="J287" s="153">
        <f t="shared" si="154"/>
        <v>3.1146916713562423</v>
      </c>
      <c r="K287" s="153">
        <f t="shared" si="155"/>
        <v>3.1106033590526594</v>
      </c>
      <c r="L287" s="153">
        <f t="shared" si="156"/>
        <v>0.00045657096939147324</v>
      </c>
      <c r="M287" s="153">
        <f t="shared" si="157"/>
        <v>0.5213675213675213</v>
      </c>
      <c r="N287" s="153">
        <f t="shared" si="169"/>
        <v>2.361265663110319</v>
      </c>
      <c r="O287" s="153">
        <f t="shared" si="158"/>
        <v>0.07325223505585884</v>
      </c>
      <c r="P287" s="153">
        <f t="shared" si="159"/>
        <v>2.461410985681151</v>
      </c>
      <c r="Q287" s="153">
        <f t="shared" si="160"/>
        <v>1.49573554203113</v>
      </c>
      <c r="R287" s="153">
        <f t="shared" si="161"/>
        <v>0.06779950800763512</v>
      </c>
      <c r="S287" s="153">
        <f t="shared" si="162"/>
        <v>0.7603833865814695</v>
      </c>
      <c r="T287" s="153">
        <f t="shared" si="170"/>
        <v>2.2707082139800585</v>
      </c>
      <c r="U287" s="153">
        <f t="shared" si="163"/>
        <v>1.4820307216595763</v>
      </c>
      <c r="V287" s="153">
        <f t="shared" si="164"/>
        <v>3.833263214726713</v>
      </c>
      <c r="W287" s="153">
        <f>IF(I287&gt;=0.5,IF(I287&lt;1,I287,IF(N287&gt;=1,IF(N287&lt;2,N287,IF(VCOMP3&gt;=2,IF(T287&lt;4.5,T287,IF(U287&gt;=4.5,IF(U287&lt;4.6,U287,V287))))))))</f>
        <v>2.2707082139800585</v>
      </c>
      <c r="X287" s="169">
        <f t="shared" si="166"/>
        <v>7.428359683794466</v>
      </c>
      <c r="Y287" s="169">
        <f>-Rsense*X287*1.414</f>
        <v>-0.08402960474308299</v>
      </c>
      <c r="Z287" s="170">
        <f t="shared" si="168"/>
        <v>4.92663929078679</v>
      </c>
    </row>
    <row r="288" spans="7:26" ht="12.75">
      <c r="G288" s="154">
        <v>98</v>
      </c>
      <c r="H288" s="154">
        <f>(((G288/100)*Iout)*(Vout_nom^2)*2.5*Rsense*K_1)/(eff*(Vline^2)*K_FQ)*us</f>
        <v>0.22216542839698467</v>
      </c>
      <c r="I288" s="154">
        <f>(1*10^-9*(5*10^8*SQRT(fsw*kHz)+(1.09655978*10^10)*SQRT(ftyp)*SQRT(H288)))/SQRT(fsw*kHz)</f>
        <v>4.298503417977113</v>
      </c>
      <c r="J288" s="154">
        <f t="shared" si="154"/>
        <v>3.146781083761407</v>
      </c>
      <c r="K288" s="154">
        <f t="shared" si="155"/>
        <v>3.142692145354907</v>
      </c>
      <c r="L288" s="154">
        <f t="shared" si="156"/>
        <v>0.00045657096939147324</v>
      </c>
      <c r="M288" s="154">
        <f t="shared" si="157"/>
        <v>0.5213675213675213</v>
      </c>
      <c r="N288" s="154">
        <f t="shared" si="169"/>
        <v>2.3675645864813353</v>
      </c>
      <c r="O288" s="154">
        <f t="shared" si="158"/>
        <v>0.07325223505585884</v>
      </c>
      <c r="P288" s="154">
        <f t="shared" si="159"/>
        <v>2.511852826718826</v>
      </c>
      <c r="Q288" s="154">
        <f t="shared" si="160"/>
        <v>1.5117286751402375</v>
      </c>
      <c r="R288" s="154">
        <f t="shared" si="161"/>
        <v>0.06779950800763512</v>
      </c>
      <c r="S288" s="154">
        <f t="shared" si="162"/>
        <v>0.7603833865814695</v>
      </c>
      <c r="T288" s="154">
        <f t="shared" si="170"/>
        <v>2.2755097861210807</v>
      </c>
      <c r="U288" s="154">
        <f t="shared" si="163"/>
        <v>1.487079756080261</v>
      </c>
      <c r="V288" s="154">
        <f t="shared" si="164"/>
        <v>3.833263214726713</v>
      </c>
      <c r="W288" s="154">
        <f>IF(I288&gt;=0.5,IF(I288&lt;1,I288,IF(N288&gt;=1,IF(N288&lt;2,N288,IF(VCOMP3&gt;=2,IF(T288&lt;4.5,T288,IF(U288&gt;=4.5,IF(U288&lt;4.6,U288,V288))))))))</f>
        <v>2.2755097861210807</v>
      </c>
      <c r="X288" s="171">
        <f t="shared" si="166"/>
        <v>7.504940711462449</v>
      </c>
      <c r="Y288" s="171">
        <f>-Rsense*X288*1.414</f>
        <v>-0.08489588932806323</v>
      </c>
      <c r="Z288" s="172">
        <f t="shared" si="168"/>
        <v>4.954004754756865</v>
      </c>
    </row>
    <row r="289" spans="7:26" ht="12.75">
      <c r="G289" s="153">
        <v>99</v>
      </c>
      <c r="H289" s="153">
        <f>(((G289/100)*Iout)*(Vout_nom^2)*2.5*Rsense*K_1)/(eff*(Vline^2)*K_FQ)*us</f>
        <v>0.22443242256430082</v>
      </c>
      <c r="I289" s="153">
        <f>(1*10^-9*(5*10^8*SQRT(fsw*kHz)+(1.09655978*10^10)*SQRT(ftyp)*SQRT(H289)))/SQRT(fsw*kHz)</f>
        <v>4.3178343490192175</v>
      </c>
      <c r="J289" s="153">
        <f t="shared" si="154"/>
        <v>3.1788704961665712</v>
      </c>
      <c r="K289" s="153">
        <f t="shared" si="155"/>
        <v>3.174780931657154</v>
      </c>
      <c r="L289" s="153">
        <f t="shared" si="156"/>
        <v>0.00045657096939147324</v>
      </c>
      <c r="M289" s="153">
        <f t="shared" si="157"/>
        <v>0.5213675213675213</v>
      </c>
      <c r="N289" s="153">
        <f t="shared" si="169"/>
        <v>2.3738208117038724</v>
      </c>
      <c r="O289" s="153">
        <f t="shared" si="158"/>
        <v>0.07325223505585884</v>
      </c>
      <c r="P289" s="153">
        <f t="shared" si="159"/>
        <v>2.5628062283697908</v>
      </c>
      <c r="Q289" s="153">
        <f t="shared" si="160"/>
        <v>1.5277218082493444</v>
      </c>
      <c r="R289" s="153">
        <f t="shared" si="161"/>
        <v>0.06779950800763512</v>
      </c>
      <c r="S289" s="153">
        <f t="shared" si="162"/>
        <v>0.7603833865814695</v>
      </c>
      <c r="T289" s="153">
        <f t="shared" si="170"/>
        <v>2.280280201993347</v>
      </c>
      <c r="U289" s="153">
        <f t="shared" si="163"/>
        <v>1.4921030951688978</v>
      </c>
      <c r="V289" s="153">
        <f t="shared" si="164"/>
        <v>3.833263214726713</v>
      </c>
      <c r="W289" s="153">
        <f>IF(I289&gt;=0.5,IF(I289&lt;1,I289,IF(N289&gt;=1,IF(N289&lt;2,N289,IF(VCOMP3&gt;=2,IF(T289&lt;4.5,T289,IF(U289&gt;=4.5,IF(U289&lt;4.6,U289,V289))))))))</f>
        <v>2.280280201993347</v>
      </c>
      <c r="X289" s="169">
        <f t="shared" si="166"/>
        <v>7.581521739130434</v>
      </c>
      <c r="Y289" s="169">
        <f>-Rsense*X289*1.414</f>
        <v>-0.08576217391304346</v>
      </c>
      <c r="Z289" s="170">
        <f t="shared" si="168"/>
        <v>4.9812469274353735</v>
      </c>
    </row>
    <row r="290" spans="7:26" ht="12.75">
      <c r="G290" s="154">
        <v>100</v>
      </c>
      <c r="H290" s="154">
        <f>(((G290/100)*Iout)*(Vout_nom^2)*2.5*Rsense*K_1)/(eff*(Vline^2)*K_FQ)*us</f>
        <v>0.22669941673161698</v>
      </c>
      <c r="I290" s="154">
        <f>(1*10^-9*(5*10^8*SQRT(fsw*kHz)+(1.09655978*10^10)*SQRT(ftyp)*SQRT(H290)))/SQRT(fsw*kHz)</f>
        <v>4.33706789315985</v>
      </c>
      <c r="J290" s="154">
        <f t="shared" si="154"/>
        <v>3.210959908571736</v>
      </c>
      <c r="K290" s="154">
        <f t="shared" si="155"/>
        <v>3.2068697179594006</v>
      </c>
      <c r="L290" s="154">
        <f t="shared" si="156"/>
        <v>0.00045657096939147324</v>
      </c>
      <c r="M290" s="154">
        <f t="shared" si="157"/>
        <v>0.5213675213675213</v>
      </c>
      <c r="N290" s="154">
        <f t="shared" si="169"/>
        <v>2.380035055115113</v>
      </c>
      <c r="O290" s="154">
        <f t="shared" si="158"/>
        <v>0.07325223505585884</v>
      </c>
      <c r="P290" s="154">
        <f t="shared" si="159"/>
        <v>2.6142711906340477</v>
      </c>
      <c r="Q290" s="154">
        <f t="shared" si="160"/>
        <v>1.5437149413584517</v>
      </c>
      <c r="R290" s="154">
        <f t="shared" si="161"/>
        <v>0.06779950800763512</v>
      </c>
      <c r="S290" s="154">
        <f t="shared" si="162"/>
        <v>0.7603833865814695</v>
      </c>
      <c r="T290" s="154">
        <f t="shared" si="170"/>
        <v>2.2850199650443486</v>
      </c>
      <c r="U290" s="154">
        <f t="shared" si="163"/>
        <v>1.4971011272804513</v>
      </c>
      <c r="V290" s="154">
        <f t="shared" si="164"/>
        <v>3.833263214726713</v>
      </c>
      <c r="W290" s="154">
        <f>IF(I290&gt;=0.5,IF(I290&lt;1,I290,IF(N290&gt;=1,IF(N290&lt;2,N290,IF(VCOMP3&gt;=2,IF(T290&lt;4.5,T290,IF(U290&gt;=4.5,IF(U290&lt;4.6,U290,V290))))))))</f>
        <v>2.2850199650443486</v>
      </c>
      <c r="X290" s="171">
        <f t="shared" si="166"/>
        <v>7.658102766798417</v>
      </c>
      <c r="Y290" s="171">
        <f>-Rsense*X290*1.414</f>
        <v>-0.0866284584980237</v>
      </c>
      <c r="Z290" s="172">
        <f t="shared" si="168"/>
        <v>5.008367842176742</v>
      </c>
    </row>
  </sheetData>
  <sheetProtection password="E85D" sheet="1"/>
  <mergeCells count="17">
    <mergeCell ref="D40:E40"/>
    <mergeCell ref="D44:E44"/>
    <mergeCell ref="A2:B4"/>
    <mergeCell ref="D10:E10"/>
    <mergeCell ref="D12:E12"/>
    <mergeCell ref="D14:E14"/>
    <mergeCell ref="D24:E24"/>
    <mergeCell ref="D35:E35"/>
    <mergeCell ref="A43:B43"/>
    <mergeCell ref="A9:B9"/>
    <mergeCell ref="A1:E1"/>
    <mergeCell ref="A11:B11"/>
    <mergeCell ref="A13:B13"/>
    <mergeCell ref="A23:B23"/>
    <mergeCell ref="A34:B34"/>
    <mergeCell ref="A39:B39"/>
    <mergeCell ref="D2:E4"/>
  </mergeCells>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Texas Instruments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 User</dc:creator>
  <cp:keywords/>
  <dc:description/>
  <cp:lastModifiedBy>xianglinyong</cp:lastModifiedBy>
  <cp:lastPrinted>2008-11-18T20:12:00Z</cp:lastPrinted>
  <dcterms:created xsi:type="dcterms:W3CDTF">2006-09-26T18:05:02Z</dcterms:created>
  <dcterms:modified xsi:type="dcterms:W3CDTF">2020-05-10T04:02:24Z</dcterms:modified>
  <cp:category/>
  <cp:version/>
  <cp:contentType/>
  <cp:contentStatus/>
</cp:coreProperties>
</file>