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bmp" ContentType="image/bmp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3515" firstSheet="2" activeTab="9"/>
  </bookViews>
  <sheets>
    <sheet name="Summary" sheetId="1" r:id="rId1"/>
    <sheet name="春菊 CJ221" sheetId="2" r:id="rId2"/>
    <sheet name="I0364&amp; Philip" sheetId="3" r:id="rId3"/>
    <sheet name="I0376A 4S" sheetId="5" r:id="rId4"/>
    <sheet name="I0380A 6S" sheetId="7" r:id="rId5"/>
    <sheet name="Sony无人机" sheetId="8" r:id="rId6"/>
    <sheet name="Sheet1" sheetId="9" r:id="rId7"/>
    <sheet name="I0708A&amp;i0712A" sheetId="10" r:id="rId8"/>
    <sheet name="Sheet3" sheetId="11" r:id="rId9"/>
    <sheet name="Sheet4" sheetId="12" r:id="rId10"/>
  </sheets>
  <definedNames>
    <definedName name="A0">Sony无人机!$A$211</definedName>
  </definedNames>
  <calcPr calcId="144525"/>
</workbook>
</file>

<file path=xl/comments1.xml><?xml version="1.0" encoding="utf-8"?>
<comments xmlns="http://schemas.openxmlformats.org/spreadsheetml/2006/main">
  <authors>
    <author>leiyupei</author>
  </authors>
  <commentList>
    <comment ref="F330" authorId="0">
      <text>
        <r>
          <rPr>
            <b/>
            <sz val="9"/>
            <rFont val="宋体"/>
            <charset val="134"/>
          </rPr>
          <t>leiyupei:</t>
        </r>
        <r>
          <rPr>
            <sz val="9"/>
            <rFont val="宋体"/>
            <charset val="134"/>
          </rPr>
          <t xml:space="preserve">
0402功率</t>
        </r>
      </text>
    </comment>
  </commentList>
</comments>
</file>

<file path=xl/comments2.xml><?xml version="1.0" encoding="utf-8"?>
<comments xmlns="http://schemas.openxmlformats.org/spreadsheetml/2006/main">
  <authors>
    <author>leiyupei</author>
  </authors>
  <commentList>
    <comment ref="C58" authorId="0">
      <text>
        <r>
          <rPr>
            <b/>
            <sz val="9"/>
            <rFont val="宋体"/>
            <charset val="134"/>
          </rPr>
          <t>leiyupei:</t>
        </r>
        <r>
          <rPr>
            <sz val="9"/>
            <rFont val="宋体"/>
            <charset val="134"/>
          </rPr>
          <t xml:space="preserve">
如果用100欧电阻，那么电流最高支持10mA
</t>
        </r>
      </text>
    </comment>
  </commentList>
</comments>
</file>

<file path=xl/sharedStrings.xml><?xml version="1.0" encoding="utf-8"?>
<sst xmlns="http://schemas.openxmlformats.org/spreadsheetml/2006/main" count="6549" uniqueCount="843">
  <si>
    <t>BIS系统的账号开好了，账号：10001104 密码：123456</t>
  </si>
  <si>
    <t>转入、转出</t>
  </si>
  <si>
    <t>理财通</t>
  </si>
  <si>
    <t>钱包</t>
  </si>
  <si>
    <t>零钱</t>
  </si>
  <si>
    <t>支付宝</t>
  </si>
  <si>
    <t>353877235@QQ.COM+ LYP...妹的短号</t>
  </si>
  <si>
    <t>认识自我lyp.106@163.com +lyp...老婆短号</t>
  </si>
  <si>
    <t>https://e2echina.ti.com/</t>
  </si>
  <si>
    <t>Lyp...7486</t>
  </si>
  <si>
    <t>MICRO USB 5PIN沉板0.8MM母座 四脚全插 有孔 双卡点 1，5PIN加宽</t>
  </si>
  <si>
    <t>http://www.cconn.cc/product/1038.html</t>
  </si>
  <si>
    <t>余额+</t>
  </si>
  <si>
    <t>零钱通</t>
  </si>
  <si>
    <t xml:space="preserve">项目 </t>
  </si>
  <si>
    <t>七日年化收益</t>
  </si>
  <si>
    <t>My ID</t>
  </si>
  <si>
    <t>192.168.56.170</t>
  </si>
  <si>
    <t>易方达</t>
  </si>
  <si>
    <t>兴全天添货币市场A</t>
  </si>
  <si>
    <t>月月享</t>
  </si>
  <si>
    <t>中欧洞铜陵一年持有期混合</t>
  </si>
  <si>
    <t>月月享华宝宝通</t>
  </si>
  <si>
    <t>PLM开账号</t>
  </si>
  <si>
    <t>账号：雷雨培   原始密码：kingdee</t>
  </si>
  <si>
    <t>广发</t>
  </si>
  <si>
    <t>华夏货币优享组合</t>
  </si>
  <si>
    <t>博时合惠货币A</t>
  </si>
  <si>
    <t>华夏创新未来混合LOF</t>
  </si>
  <si>
    <t>PLM</t>
  </si>
  <si>
    <t>邮箱地址</t>
  </si>
  <si>
    <t>嘉实稳</t>
  </si>
  <si>
    <t>天汇闲钱佳</t>
  </si>
  <si>
    <t>汇添富理加</t>
  </si>
  <si>
    <t>黄金</t>
  </si>
  <si>
    <t>钉钉</t>
  </si>
  <si>
    <t>lyp...7486</t>
  </si>
  <si>
    <t>银华季季</t>
  </si>
  <si>
    <t>安增益31天</t>
  </si>
  <si>
    <t>公司软件存放</t>
  </si>
  <si>
    <t>\\192.168.41.18\3.特殊共享\04..信息科技部\设计开发</t>
  </si>
  <si>
    <t>光大阳光稳债中短债A</t>
  </si>
  <si>
    <t>信银理财月添利1号</t>
  </si>
  <si>
    <t>测试数据存放</t>
  </si>
  <si>
    <t>\\192.168.41.18\2.博科能源备份\电子部\C 各类测试数据汇总\项目测试数据汇总\02 吸尘器类项目\I0342A\01 测试计划及报告汇总</t>
  </si>
  <si>
    <t>OA</t>
  </si>
  <si>
    <t>AD</t>
  </si>
  <si>
    <t>172.18.10.06</t>
  </si>
  <si>
    <t>192.168.41.20</t>
  </si>
  <si>
    <t>季季享</t>
  </si>
  <si>
    <t>季季享 易方达安源</t>
  </si>
  <si>
    <t>利用这个小技巧，就可以实现很多形状过孔的设计   2.设计-板子形状-定义板切割</t>
  </si>
  <si>
    <t>https://javaforall.cn/189968.html</t>
  </si>
  <si>
    <t>双月享</t>
  </si>
  <si>
    <t>嘉立创</t>
  </si>
  <si>
    <t>“用户名/手机号码”输入419646w, 在“密码”框输入358571</t>
  </si>
  <si>
    <t>半年鑫</t>
  </si>
  <si>
    <t>半年鑫 富国稳健增强</t>
  </si>
  <si>
    <t>季季享财通资管鸿运</t>
  </si>
  <si>
    <t>6815688A</t>
  </si>
  <si>
    <t>月月享 中金安益 30天</t>
  </si>
  <si>
    <t>安信证劵瑞</t>
  </si>
  <si>
    <t>建信活钱佳</t>
  </si>
  <si>
    <t>月月享兴证全球恒惠30天</t>
  </si>
  <si>
    <t>客户项目名称</t>
  </si>
  <si>
    <t>年需求量</t>
  </si>
  <si>
    <t>博科项目号</t>
  </si>
  <si>
    <t>电池包</t>
  </si>
  <si>
    <t>保护板</t>
  </si>
  <si>
    <t>电芯</t>
  </si>
  <si>
    <t>胶壳</t>
  </si>
  <si>
    <t>项目状态</t>
  </si>
  <si>
    <t>优先级别</t>
  </si>
  <si>
    <t>季季享-兴全恒裕</t>
  </si>
  <si>
    <t>Wakizashi-EL</t>
  </si>
  <si>
    <t>17.5万/年</t>
  </si>
  <si>
    <t>客户需求收集中，收集完后会立项安排立项</t>
  </si>
  <si>
    <t>6S1P-2000mAh </t>
  </si>
  <si>
    <t>高科润设计开发</t>
  </si>
  <si>
    <t>Tenpower or EVE</t>
  </si>
  <si>
    <t>初期</t>
  </si>
  <si>
    <t>最高</t>
  </si>
  <si>
    <t>MY微信密码</t>
  </si>
  <si>
    <t>lyp.老婆短号</t>
  </si>
  <si>
    <t>华为账号：13435089694 +lyp.老婆短号</t>
  </si>
  <si>
    <t>季季享 华富吉丰60天</t>
  </si>
  <si>
    <t>CJ221-高端</t>
  </si>
  <si>
    <t>10万/年</t>
  </si>
  <si>
    <t>IDD202GA </t>
  </si>
  <si>
    <t>7S1P-2500mAh</t>
  </si>
  <si>
    <t>博科自主开发，与高科润开发并行</t>
  </si>
  <si>
    <t>Tenpower INR18650-25PG-2500mAh</t>
  </si>
  <si>
    <t>EB1（已开模）</t>
  </si>
  <si>
    <t>并列，略次W项目</t>
  </si>
  <si>
    <t>FATHER 微信 wxid_tkpbohvg85nb22</t>
  </si>
  <si>
    <t>季季享-国联安短债</t>
  </si>
  <si>
    <t>CJ221-中端</t>
  </si>
  <si>
    <t>I0342A</t>
  </si>
  <si>
    <t>Tenpower  圆柱单电池 ICR18650 20SG 18650 2000 3.7V </t>
  </si>
  <si>
    <t>老婆手机注册的微信：L17725816216(wxid_bxsv057fj6jn22）</t>
  </si>
  <si>
    <t>季季享-汇安-中短债</t>
  </si>
  <si>
    <t xml:space="preserve">CJ231  I0415A  </t>
  </si>
  <si>
    <t>高科润设计开发
方案：CW1274+'CW1051</t>
  </si>
  <si>
    <t xml:space="preserve">MY FATHER 手机开机锁是661879 应用锁 487029 </t>
  </si>
  <si>
    <t>季季享-财通资管鸿启90天XXX</t>
  </si>
  <si>
    <t>CJ08-低端 -I0376A</t>
  </si>
  <si>
    <t>20万/年</t>
  </si>
  <si>
    <t>4月26日过会 </t>
  </si>
  <si>
    <t>4S1P-2000mAh</t>
  </si>
  <si>
    <t>Tenpower</t>
  </si>
  <si>
    <t>月月享 博时月月享 30天</t>
  </si>
  <si>
    <t>季季享 招商鑫福</t>
  </si>
  <si>
    <r>
      <rPr>
        <sz val="11"/>
        <color rgb="FF000000"/>
        <rFont val="宋体"/>
        <charset val="134"/>
      </rPr>
      <t>通常来说：</t>
    </r>
    <r>
      <rPr>
        <sz val="11"/>
        <color rgb="FF000000"/>
        <rFont val="PingFangSC-Regular"/>
        <charset val="134"/>
      </rPr>
      <t>1.0201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PingFangSC-Regular"/>
        <charset val="134"/>
      </rPr>
      <t>1/20W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PingFangSC-Regular"/>
        <charset val="134"/>
      </rPr>
      <t>2.0402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PingFangSC-Regular"/>
        <charset val="134"/>
      </rPr>
      <t>1/16W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PingFangSC-Regular"/>
        <charset val="134"/>
      </rPr>
      <t>3.0603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PingFangSC-Regular"/>
        <charset val="134"/>
      </rPr>
      <t>1/10W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PingFangSC-Regular"/>
        <charset val="134"/>
      </rPr>
      <t>4.0805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PingFangSC-Regular"/>
        <charset val="134"/>
      </rPr>
      <t>1/8W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PingFangSC-Regular"/>
        <charset val="134"/>
      </rPr>
      <t>5.1206</t>
    </r>
    <r>
      <rPr>
        <sz val="11"/>
        <color rgb="FF000000"/>
        <rFont val="宋体"/>
        <charset val="134"/>
      </rPr>
      <t>：</t>
    </r>
    <r>
      <rPr>
        <sz val="11"/>
        <color rgb="FF000000"/>
        <rFont val="PingFangSC-Regular"/>
        <charset val="134"/>
      </rPr>
      <t>1/4W</t>
    </r>
    <r>
      <rPr>
        <sz val="11"/>
        <color rgb="FF000000"/>
        <rFont val="宋体"/>
        <charset val="134"/>
      </rPr>
      <t>。</t>
    </r>
    <r>
      <rPr>
        <sz val="11"/>
        <color rgb="FF000000"/>
        <rFont val="PingFangSC-Regular"/>
        <charset val="134"/>
      </rPr>
      <t>0603</t>
    </r>
    <r>
      <rPr>
        <sz val="11"/>
        <color rgb="FF000000"/>
        <rFont val="宋体"/>
        <charset val="134"/>
      </rPr>
      <t>电阻功率是</t>
    </r>
    <r>
      <rPr>
        <sz val="11"/>
        <color rgb="FF000000"/>
        <rFont val="PingFangSC-Regular"/>
        <charset val="134"/>
      </rPr>
      <t>1/10W</t>
    </r>
    <r>
      <rPr>
        <sz val="11"/>
        <color rgb="FF000000"/>
        <rFont val="宋体"/>
        <charset val="134"/>
      </rPr>
      <t>。贴片电阻的功率：</t>
    </r>
    <r>
      <rPr>
        <sz val="11"/>
        <color rgb="FF000000"/>
        <rFont val="PingFangSC-Regular"/>
        <charset val="134"/>
      </rPr>
      <t>0402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1/16W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0603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1/10W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0805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1/8W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1206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1/4W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1210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1/3W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1812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1/2W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2010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3/4W</t>
    </r>
    <r>
      <rPr>
        <sz val="11"/>
        <color rgb="FF000000"/>
        <rFont val="宋体"/>
        <charset val="134"/>
      </rPr>
      <t>，</t>
    </r>
    <r>
      <rPr>
        <sz val="11"/>
        <color rgb="FF000000"/>
        <rFont val="PingFangSC-Regular"/>
        <charset val="134"/>
      </rPr>
      <t>2512</t>
    </r>
    <r>
      <rPr>
        <sz val="11"/>
        <color rgb="FF000000"/>
        <rFont val="宋体"/>
        <charset val="134"/>
      </rPr>
      <t>是</t>
    </r>
    <r>
      <rPr>
        <sz val="11"/>
        <color rgb="FF000000"/>
        <rFont val="PingFangSC-Regular"/>
        <charset val="134"/>
      </rPr>
      <t>1W</t>
    </r>
  </si>
  <si>
    <t>南方宝元债A</t>
  </si>
  <si>
    <t>季季享-财通资管鸿达</t>
  </si>
  <si>
    <t>（内部）春菊CJ08-低端 6S1P项目沟通， 高科润供板 CJ08-I0376A</t>
  </si>
  <si>
    <t>（内部）春菊W-EL-I0380A 6S1P项目沟通，高科润供板</t>
  </si>
  <si>
    <t>高科润-春菊-博科-Wakizashi沟通群</t>
  </si>
  <si>
    <t>(内部）Philip医疗_I0383A-3S3P 报价沟通</t>
  </si>
  <si>
    <t>报价 3S1P-陆运-成品规格书-A0-20230527</t>
  </si>
  <si>
    <t>报价要点： 贴片点数+ 锡膏+三防胶+数量*单价+是否包装结构件，线材，DC座，连接器。</t>
  </si>
  <si>
    <t>IBE002GC</t>
  </si>
  <si>
    <t>FS</t>
  </si>
  <si>
    <t>Product spec</t>
  </si>
  <si>
    <t>SCH</t>
  </si>
  <si>
    <t>BOM</t>
  </si>
  <si>
    <t>PCB</t>
  </si>
  <si>
    <t>Test spec</t>
  </si>
  <si>
    <t>加工文件</t>
  </si>
  <si>
    <t>程序文件</t>
  </si>
  <si>
    <t>标称容量</t>
  </si>
  <si>
    <t>出货电压</t>
  </si>
  <si>
    <t>出货需求</t>
  </si>
  <si>
    <t>FA</t>
  </si>
  <si>
    <t>NO.</t>
  </si>
  <si>
    <t>生产日期</t>
  </si>
  <si>
    <t>厂内测试数据</t>
  </si>
  <si>
    <t>客户是否充过电</t>
  </si>
  <si>
    <t>充电功能</t>
  </si>
  <si>
    <t>放电功能</t>
  </si>
  <si>
    <t>按按键对应的电量指示灯</t>
  </si>
  <si>
    <t>EB1</t>
  </si>
  <si>
    <t>V1.13</t>
  </si>
  <si>
    <t>A1</t>
  </si>
  <si>
    <t>R02</t>
  </si>
  <si>
    <t>R01</t>
  </si>
  <si>
    <t>V5.3</t>
  </si>
  <si>
    <t>A2</t>
  </si>
  <si>
    <t>TBD</t>
  </si>
  <si>
    <t>报价3S1P</t>
  </si>
  <si>
    <t>方案：CW1244ALMS+  S1206-FA-10.0A +UK6B2BA 旭康 最大放电13A</t>
  </si>
  <si>
    <t>Schedule</t>
  </si>
  <si>
    <t>FOT</t>
  </si>
  <si>
    <t>A0</t>
  </si>
  <si>
    <t>V5</t>
  </si>
  <si>
    <t>V1.28</t>
  </si>
  <si>
    <t>Highstar ISR18650-2000</t>
  </si>
  <si>
    <t>出货 5/24  45Pack +  假包</t>
  </si>
  <si>
    <t>年需求量为20~40万组</t>
  </si>
  <si>
    <t>Min</t>
  </si>
  <si>
    <t>Average</t>
  </si>
  <si>
    <t>Max</t>
  </si>
  <si>
    <t>T</t>
  </si>
  <si>
    <t>COC</t>
  </si>
  <si>
    <t>DOC1</t>
  </si>
  <si>
    <t>DOC2</t>
  </si>
  <si>
    <t>DSC1</t>
  </si>
  <si>
    <t>内阻</t>
  </si>
  <si>
    <t>I0442A  K501-BAK N18650CL-29-2.9Ah-4S2P-冯欢-2023-06-10</t>
  </si>
  <si>
    <t>B903客户 IRobot 4S1P_26700、 4S2P_26650的研发预估报价</t>
  </si>
  <si>
    <t>CJW002 水机 I0438A -- 21.6V 6S1P</t>
  </si>
  <si>
    <t>STOP</t>
  </si>
  <si>
    <t>方案：SH39F325+'CW1051ALJM /SH367215</t>
  </si>
  <si>
    <t>DA11000280</t>
  </si>
  <si>
    <t>报价</t>
  </si>
  <si>
    <t>R00</t>
  </si>
  <si>
    <t>ICG096NB LR2170LA</t>
  </si>
  <si>
    <t>串数</t>
  </si>
  <si>
    <t>CELL</t>
  </si>
  <si>
    <t>Rechargeable Li-ion Battery</t>
  </si>
  <si>
    <t>正常充电电流</t>
  </si>
  <si>
    <t>1.1A</t>
  </si>
  <si>
    <t xml:space="preserve">Limited Charge Voltage(V): </t>
  </si>
  <si>
    <t>正常放电电流</t>
  </si>
  <si>
    <t>30A/500MS,50A/50MS,90A/1MS</t>
  </si>
  <si>
    <t>Nominal Voltage(V):</t>
  </si>
  <si>
    <t>过充电压、电流</t>
  </si>
  <si>
    <t>&gt;4.175V</t>
  </si>
  <si>
    <t xml:space="preserve">Rated Capacity(Ah): </t>
  </si>
  <si>
    <t>过放电压、电流</t>
  </si>
  <si>
    <t>&lt;2.8V</t>
  </si>
  <si>
    <t>Rated Energy(Wh):</t>
  </si>
  <si>
    <t>充电温度</t>
  </si>
  <si>
    <t>3~45C  +/-3C</t>
  </si>
  <si>
    <t>最小容量（估值）</t>
  </si>
  <si>
    <t>放电温度</t>
  </si>
  <si>
    <t>-10~65C  +/-3C</t>
  </si>
  <si>
    <t>典型容量（估值）</t>
  </si>
  <si>
    <t>2PCS 8-18</t>
  </si>
  <si>
    <t>出货电芯电压</t>
  </si>
  <si>
    <t>低压保护</t>
  </si>
  <si>
    <t>高压保护</t>
  </si>
  <si>
    <t>高压</t>
  </si>
  <si>
    <t>出货容量</t>
  </si>
  <si>
    <t xml:space="preserve"> CJ231 吸尘器 I0415A  5S1P </t>
  </si>
  <si>
    <t>方案：CW1274+'CW1051</t>
  </si>
  <si>
    <t>Tenpower  ICR18650 20SG 18650 2000 3.7V </t>
  </si>
  <si>
    <t>手板 2PCS</t>
  </si>
  <si>
    <t xml:space="preserve"> 7-28  2pcs手板样品，运单号为：KY4000299019033, </t>
  </si>
  <si>
    <t>料号</t>
  </si>
  <si>
    <t>描述</t>
  </si>
  <si>
    <t>IES</t>
  </si>
  <si>
    <t>高科润</t>
  </si>
  <si>
    <t>DL05002708</t>
  </si>
  <si>
    <t>PCBA IDD202GA IES_BG23769B1_PCM_R01</t>
  </si>
  <si>
    <t>IDD202GA</t>
  </si>
  <si>
    <t>CORJ5-1632A1</t>
  </si>
  <si>
    <t>DL05002710</t>
  </si>
  <si>
    <t>PCBA I0342A IES_DL6S_BG23785B1_PCM_R01</t>
  </si>
  <si>
    <t>CORJ5-1632A2</t>
  </si>
  <si>
    <t>DL05002777</t>
  </si>
  <si>
    <t>PCBA IES_SM4S_BG23821B1_PCM_R00</t>
  </si>
  <si>
    <r>
      <rPr>
        <sz val="11"/>
        <color theme="1"/>
        <rFont val="宋体"/>
        <charset val="134"/>
        <scheme val="minor"/>
      </rPr>
      <t>I</t>
    </r>
    <r>
      <rPr>
        <sz val="11"/>
        <color theme="1"/>
        <rFont val="宋体"/>
        <charset val="134"/>
        <scheme val="minor"/>
      </rPr>
      <t>0376A</t>
    </r>
  </si>
  <si>
    <t>CORJ5-1627A1</t>
  </si>
  <si>
    <t>DL05002778</t>
  </si>
  <si>
    <t>PCBA IES_DL6S_BG23822B1_PCM_R00</t>
  </si>
  <si>
    <r>
      <rPr>
        <sz val="11"/>
        <color theme="1"/>
        <rFont val="宋体"/>
        <charset val="134"/>
        <scheme val="minor"/>
      </rPr>
      <t>I</t>
    </r>
    <r>
      <rPr>
        <sz val="11"/>
        <color theme="1"/>
        <rFont val="宋体"/>
        <charset val="134"/>
        <scheme val="minor"/>
      </rPr>
      <t>0380A</t>
    </r>
  </si>
  <si>
    <t>CORC7-1628B</t>
  </si>
  <si>
    <t>DL05002813</t>
  </si>
  <si>
    <t>PCBA I0415A IES_DL5S_BG23828B1_PCM_R00</t>
  </si>
  <si>
    <t>I0415A</t>
  </si>
  <si>
    <t>CORJ5-1660A</t>
  </si>
  <si>
    <t>春菊 IDD202GA 7S1P</t>
  </si>
  <si>
    <t>PCBA料号：</t>
  </si>
  <si>
    <t xml:space="preserve">PCBA IDD202GA IES_BG23769B1_PCM_R01 </t>
  </si>
  <si>
    <t>F 外购</t>
  </si>
  <si>
    <t xml:space="preserve">PCBA I0342A IES_DL6S_BG23785B1_PCM_R01 </t>
  </si>
  <si>
    <t>外购</t>
  </si>
  <si>
    <t>EB1.1</t>
  </si>
  <si>
    <t>A3</t>
  </si>
  <si>
    <t>V1.29</t>
  </si>
  <si>
    <t>EB2</t>
  </si>
  <si>
    <t>A4</t>
  </si>
  <si>
    <t>高科润V5.3</t>
  </si>
  <si>
    <t>出货 6/5  80Pack + cell + 假包</t>
  </si>
  <si>
    <t>5-26下单高科润105PCS</t>
  </si>
  <si>
    <t>来料105PCS</t>
  </si>
  <si>
    <t>8.18 UN38.3完成</t>
  </si>
  <si>
    <r>
      <rPr>
        <sz val="11"/>
        <color theme="1"/>
        <rFont val="宋体"/>
        <charset val="134"/>
        <scheme val="minor"/>
      </rPr>
      <t>实测充满电是</t>
    </r>
    <r>
      <rPr>
        <sz val="9"/>
        <color theme="1"/>
        <rFont val="Arial"/>
        <charset val="134"/>
      </rPr>
      <t>4.315V</t>
    </r>
  </si>
  <si>
    <t xml:space="preserve">Nominal Capacity(mAh): </t>
  </si>
  <si>
    <t>估值：</t>
  </si>
  <si>
    <t>Nominal Energy(Wh):</t>
  </si>
  <si>
    <t>春菊 I0342A 6S1P</t>
  </si>
  <si>
    <t>FOT 45pcs 出样</t>
  </si>
  <si>
    <t>出货 6/5  133Pack +30cell +40 假包</t>
  </si>
  <si>
    <t>来料195PCS</t>
  </si>
  <si>
    <r>
      <rPr>
        <sz val="11"/>
        <color theme="1"/>
        <rFont val="Tahoma"/>
        <charset val="134"/>
      </rPr>
      <t xml:space="preserve">9-19 </t>
    </r>
    <r>
      <rPr>
        <sz val="11"/>
        <color theme="1"/>
        <rFont val="宋体"/>
        <charset val="134"/>
      </rPr>
      <t>完成出样</t>
    </r>
    <r>
      <rPr>
        <sz val="11"/>
        <color theme="1"/>
        <rFont val="Tahoma"/>
        <charset val="134"/>
      </rPr>
      <t>8PCS</t>
    </r>
    <r>
      <rPr>
        <sz val="11"/>
        <color theme="1"/>
        <rFont val="宋体"/>
        <charset val="134"/>
      </rPr>
      <t>，内部</t>
    </r>
    <r>
      <rPr>
        <sz val="11"/>
        <color theme="1"/>
        <rFont val="Tahoma"/>
        <charset val="134"/>
      </rPr>
      <t>12PCS</t>
    </r>
  </si>
  <si>
    <t>标称电压</t>
  </si>
  <si>
    <t>满放电压</t>
  </si>
  <si>
    <t>出货状态</t>
  </si>
  <si>
    <t>&lt;30%</t>
  </si>
  <si>
    <t>充电限制电压</t>
  </si>
  <si>
    <t>充电上限电压</t>
  </si>
  <si>
    <t>最小容量</t>
  </si>
  <si>
    <t>低压保护电压</t>
  </si>
  <si>
    <t>典型容量</t>
  </si>
  <si>
    <t>开路电压</t>
  </si>
  <si>
    <t>低压保护/CELL</t>
  </si>
  <si>
    <t>低压保护/All</t>
  </si>
  <si>
    <r>
      <rPr>
        <sz val="11"/>
        <color theme="1"/>
        <rFont val="宋体"/>
        <charset val="134"/>
        <scheme val="minor"/>
      </rPr>
      <t>LED</t>
    </r>
    <r>
      <rPr>
        <sz val="10"/>
        <rFont val="宋体"/>
        <charset val="134"/>
      </rPr>
      <t>二极管</t>
    </r>
    <r>
      <rPr>
        <sz val="10"/>
        <rFont val="Calibri"/>
        <charset val="134"/>
      </rPr>
      <t xml:space="preserve"> YY-DJCAMSK03AVAS-05 </t>
    </r>
    <r>
      <rPr>
        <sz val="10"/>
        <rFont val="宋体"/>
        <charset val="134"/>
      </rPr>
      <t>永裕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白光</t>
    </r>
  </si>
  <si>
    <t>MS3（9991~11251）</t>
  </si>
  <si>
    <t>TABLE: Components information</t>
  </si>
  <si>
    <t>Object / part No.</t>
  </si>
  <si>
    <t>Manufacturer/</t>
  </si>
  <si>
    <t>Type / model</t>
  </si>
  <si>
    <t>Technical data</t>
  </si>
  <si>
    <t>Standard</t>
  </si>
  <si>
    <r>
      <rPr>
        <sz val="10"/>
        <color theme="1"/>
        <rFont val="Arial"/>
        <charset val="134"/>
      </rPr>
      <t>Mark(s) of conformity</t>
    </r>
    <r>
      <rPr>
        <vertAlign val="superscript"/>
        <sz val="10"/>
        <color theme="1"/>
        <rFont val="Arial"/>
        <charset val="134"/>
      </rPr>
      <t>1</t>
    </r>
    <r>
      <rPr>
        <sz val="10"/>
        <color theme="1"/>
        <rFont val="Arial"/>
        <charset val="134"/>
      </rPr>
      <t>)</t>
    </r>
  </si>
  <si>
    <t>trademark</t>
  </si>
  <si>
    <r>
      <rPr>
        <b/>
        <sz val="9"/>
        <color rgb="FFE36C0A"/>
        <rFont val="Arial Narrow"/>
        <charset val="134"/>
      </rPr>
      <t>Kind of component</t>
    </r>
    <r>
      <rPr>
        <sz val="9"/>
        <color rgb="FFE36C0A"/>
        <rFont val="Arial Narrow"/>
        <charset val="134"/>
      </rPr>
      <t> / </t>
    </r>
  </si>
  <si>
    <r>
      <rPr>
        <b/>
        <sz val="9"/>
        <color rgb="FFE36C0A"/>
        <rFont val="Arial Narrow"/>
        <charset val="134"/>
      </rPr>
      <t>Manufacturer</t>
    </r>
    <r>
      <rPr>
        <sz val="9"/>
        <color rgb="FFE36C0A"/>
        <rFont val="Arial Narrow"/>
        <charset val="134"/>
      </rPr>
      <t> / </t>
    </r>
  </si>
  <si>
    <t>Information about type, current, power, transformer specification number, insulating class</t>
  </si>
  <si>
    <r>
      <rPr>
        <b/>
        <sz val="9"/>
        <color rgb="FFE36C0A"/>
        <rFont val="Arial Narrow"/>
        <charset val="134"/>
      </rPr>
      <t>Test mark from</t>
    </r>
    <r>
      <rPr>
        <sz val="9"/>
        <color rgb="FFE36C0A"/>
        <rFont val="Arial Narrow"/>
        <charset val="134"/>
      </rPr>
      <t> / </t>
    </r>
  </si>
  <si>
    <t>LED1</t>
  </si>
  <si>
    <t>LED2</t>
  </si>
  <si>
    <t>LED3</t>
  </si>
  <si>
    <t>VCOM</t>
  </si>
  <si>
    <t>AFE VCC OUT</t>
  </si>
  <si>
    <r>
      <rPr>
        <sz val="9"/>
        <color rgb="FFE36C0A"/>
        <rFont val="Arial Narrow"/>
        <charset val="134"/>
      </rPr>
      <t>Bauteil</t>
    </r>
    <r>
      <rPr>
        <b/>
        <sz val="8.5"/>
        <color rgb="FFE36C0A"/>
        <rFont val="Arial Narrow"/>
        <charset val="134"/>
      </rPr>
      <t> </t>
    </r>
  </si>
  <si>
    <r>
      <rPr>
        <sz val="9"/>
        <color rgb="FFE36C0A"/>
        <rFont val="Arial Narrow"/>
        <charset val="134"/>
      </rPr>
      <t>Hersteller</t>
    </r>
    <r>
      <rPr>
        <b/>
        <sz val="8.5"/>
        <color rgb="FFE36C0A"/>
        <rFont val="Arial Narrow"/>
        <charset val="134"/>
      </rPr>
      <t> </t>
    </r>
  </si>
  <si>
    <t>Prüfzeichen von</t>
  </si>
  <si>
    <t>项目</t>
  </si>
  <si>
    <t>R1</t>
  </si>
  <si>
    <t>R6</t>
  </si>
  <si>
    <t>R8</t>
  </si>
  <si>
    <t>R74</t>
  </si>
  <si>
    <t>R44</t>
  </si>
  <si>
    <t>R45</t>
  </si>
  <si>
    <t>R51</t>
  </si>
  <si>
    <t>R42</t>
  </si>
  <si>
    <t>R47</t>
  </si>
  <si>
    <t>R60</t>
  </si>
  <si>
    <t>(TÜV, VDE, BSI, UL etc.)  </t>
  </si>
  <si>
    <t>电阻的压差(1个LED闪) Cell 2.5V</t>
  </si>
  <si>
    <t>Mark(s) of conformity</t>
  </si>
  <si>
    <t>电阻的压差(1个LED闪) Cell 3.13V</t>
  </si>
  <si>
    <t>电阻的压差(3个LED闪) Cell 1.63V</t>
  </si>
  <si>
    <t>1. Lithium-Ion Rechargeable Battery Cell</t>
  </si>
  <si>
    <t>INR18650-25PG-2500mAh</t>
  </si>
  <si>
    <t>3.6Vd.c., 2500mAh</t>
  </si>
  <si>
    <t>消耗电流 mA（V/KOHM）(1个LED闪) Cell 2.5V</t>
  </si>
  <si>
    <t>5. NTC</t>
  </si>
  <si>
    <t>THERMISTOR_x001f_MOV</t>
  </si>
  <si>
    <r>
      <rPr>
        <sz val="10"/>
        <color theme="1"/>
        <rFont val="Arial"/>
        <charset val="134"/>
      </rPr>
      <t>NTC带线 HNE103FA3435FOL30</t>
    </r>
    <r>
      <rPr>
        <sz val="10"/>
        <color theme="1"/>
        <rFont val="Arial"/>
        <charset val="134"/>
      </rPr>
      <t>至敏</t>
    </r>
    <r>
      <rPr>
        <sz val="10"/>
        <color theme="1"/>
        <rFont val="Arial"/>
        <charset val="134"/>
      </rPr>
      <t> L11mm</t>
    </r>
  </si>
  <si>
    <r>
      <rPr>
        <sz val="10"/>
        <color theme="1"/>
        <rFont val="Arial"/>
        <charset val="134"/>
      </rPr>
      <t>R</t>
    </r>
    <r>
      <rPr>
        <vertAlign val="subscript"/>
        <sz val="10"/>
        <color theme="1"/>
        <rFont val="Arial"/>
        <charset val="134"/>
      </rPr>
      <t>25</t>
    </r>
    <r>
      <rPr>
        <sz val="10"/>
        <color theme="1"/>
        <rFont val="Arial"/>
        <charset val="134"/>
      </rPr>
      <t>: 10KΩ±1%,</t>
    </r>
  </si>
  <si>
    <t>消耗电流 mA（V/KOHM）(1个LED闪) Cell 3.13V</t>
  </si>
  <si>
    <t>(R59)</t>
  </si>
  <si>
    <t>ELECTRONICS CO</t>
  </si>
  <si>
    <t>B: 3435±1%</t>
  </si>
  <si>
    <t>消耗电流 mA（V/KOHM）(3个LED闪) Cell 1.63V</t>
  </si>
  <si>
    <t>LTD</t>
  </si>
  <si>
    <t>电阻的压差(2个LED常亮) Cell 3.69V</t>
  </si>
  <si>
    <t>消耗电流 mA（V/KOHM）(2个LED常亮) Cell 3.69V</t>
  </si>
  <si>
    <t>NTC (R59)</t>
  </si>
  <si>
    <r>
      <rPr>
        <sz val="10"/>
        <color theme="1"/>
        <rFont val="Arial"/>
        <charset val="134"/>
      </rPr>
      <t>NTC </t>
    </r>
    <r>
      <rPr>
        <sz val="10"/>
        <color theme="1"/>
        <rFont val="宋体"/>
        <charset val="134"/>
      </rPr>
      <t>HNMC103FA3435FR 致敏</t>
    </r>
  </si>
  <si>
    <r>
      <rPr>
        <sz val="10.5"/>
        <color rgb="FF101214"/>
        <rFont val="宋体"/>
        <charset val="134"/>
      </rPr>
      <t>充电电量指示（接入主机后不显示）（表</t>
    </r>
    <r>
      <rPr>
        <sz val="10.5"/>
        <color rgb="FF101214"/>
        <rFont val="Segoe UI"/>
        <charset val="134"/>
      </rPr>
      <t xml:space="preserve"> 1</t>
    </r>
    <r>
      <rPr>
        <sz val="10.5"/>
        <color rgb="FF101214"/>
        <rFont val="宋体"/>
        <charset val="134"/>
      </rPr>
      <t>）</t>
    </r>
  </si>
  <si>
    <t>电量</t>
  </si>
  <si>
    <t>显示</t>
  </si>
  <si>
    <t>SOC &lt;= 33</t>
  </si>
  <si>
    <t>LED1 -&gt; LED2 -&gt; LED3 逐次点亮</t>
  </si>
  <si>
    <t>Manufacturer/  trademark</t>
  </si>
  <si>
    <r>
      <rPr>
        <b/>
        <sz val="9"/>
        <color theme="1"/>
        <rFont val="Arial"/>
        <charset val="134"/>
      </rPr>
      <t>Mark(s) of conformity</t>
    </r>
    <r>
      <rPr>
        <b/>
        <vertAlign val="superscript"/>
        <sz val="9"/>
        <color theme="1"/>
        <rFont val="Arial"/>
        <charset val="134"/>
      </rPr>
      <t>1</t>
    </r>
    <r>
      <rPr>
        <b/>
        <sz val="9"/>
        <color theme="1"/>
        <rFont val="Arial"/>
        <charset val="134"/>
      </rPr>
      <t>)</t>
    </r>
  </si>
  <si>
    <t>33&lt;SOC&lt;66</t>
  </si>
  <si>
    <t>LED1 常亮 LED2-&gt; LED3 逐次点亮</t>
  </si>
  <si>
    <t>66&lt;=SOC&lt;100</t>
  </si>
  <si>
    <t>LED1 LED2 常亮 LED3 1HZ 闪烁</t>
  </si>
  <si>
    <t>DM17000173</t>
  </si>
  <si>
    <t>Wayon Electronics Co., Ltd.</t>
  </si>
  <si>
    <t>WPF12A7J-5</t>
  </si>
  <si>
    <t>12A,36V</t>
  </si>
  <si>
    <r>
      <rPr>
        <sz val="10"/>
        <color theme="1"/>
        <rFont val="宋体"/>
        <charset val="134"/>
      </rPr>
      <t>需要填写</t>
    </r>
    <r>
      <rPr>
        <sz val="10"/>
        <color theme="1"/>
        <rFont val="Arial"/>
        <charset val="134"/>
      </rPr>
      <t>UL</t>
    </r>
    <r>
      <rPr>
        <sz val="10"/>
        <color theme="1"/>
        <rFont val="宋体"/>
        <charset val="134"/>
      </rPr>
      <t>黄卡</t>
    </r>
  </si>
  <si>
    <t>若有，请填写</t>
  </si>
  <si>
    <t>SOC=100</t>
  </si>
  <si>
    <t>LED1 LED2 LED3 常亮 1min 后熄灭</t>
  </si>
  <si>
    <t>DM17000174</t>
  </si>
  <si>
    <t>Dongguan TLC Electronic Technology Co., Ltd.</t>
  </si>
  <si>
    <t>F12TH30-TI</t>
  </si>
  <si>
    <t>30A,36V</t>
  </si>
  <si>
    <t>报错指示（表2）：</t>
  </si>
  <si>
    <t>DM13000190</t>
  </si>
  <si>
    <r>
      <rPr>
        <sz val="10"/>
        <color theme="1"/>
        <rFont val="宋体"/>
        <charset val="134"/>
      </rPr>
      <t>THERMISTOR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x005f_x001f_MOV
ELECTRONICS CO
LTD</t>
    </r>
  </si>
  <si>
    <r>
      <rPr>
        <sz val="10"/>
        <color theme="1"/>
        <rFont val="Arial"/>
        <charset val="134"/>
      </rPr>
      <t>NTC</t>
    </r>
    <r>
      <rPr>
        <sz val="10"/>
        <color theme="1"/>
        <rFont val="宋体"/>
        <charset val="134"/>
      </rPr>
      <t>带线 </t>
    </r>
    <r>
      <rPr>
        <sz val="10"/>
        <color theme="1"/>
        <rFont val="Arial"/>
        <charset val="134"/>
      </rPr>
      <t>HNE103FA3S435FOL30</t>
    </r>
    <r>
      <rPr>
        <sz val="10"/>
        <color theme="1"/>
        <rFont val="宋体"/>
        <charset val="134"/>
      </rPr>
      <t>至敏 </t>
    </r>
    <r>
      <rPr>
        <sz val="10"/>
        <color theme="1"/>
        <rFont val="Arial"/>
        <charset val="134"/>
      </rPr>
      <t>L11mm</t>
    </r>
  </si>
  <si>
    <t>R25: 10KΩ±1%,</t>
  </si>
  <si>
    <t>状态</t>
  </si>
  <si>
    <t>电芯异常（电芯低压，压差，过压）</t>
  </si>
  <si>
    <t>LED1、LED2、LED3 2HZ 闪烁</t>
  </si>
  <si>
    <t>放电过流</t>
  </si>
  <si>
    <t>LED1、LED2、LED3 1HZ 闪烁</t>
  </si>
  <si>
    <t>充电过流</t>
  </si>
  <si>
    <t>LED2、LED3 2HZ 闪烁</t>
  </si>
  <si>
    <t>DM12000046</t>
  </si>
  <si>
    <r>
      <rPr>
        <sz val="10"/>
        <color theme="1"/>
        <rFont val="Arial"/>
        <charset val="134"/>
      </rPr>
      <t>NTC HNMC103FA3435FR </t>
    </r>
    <r>
      <rPr>
        <sz val="10"/>
        <color theme="1"/>
        <rFont val="宋体"/>
        <charset val="134"/>
      </rPr>
      <t>致敏</t>
    </r>
  </si>
  <si>
    <t>充电电压错误</t>
  </si>
  <si>
    <t>LED2、LED3 1HZ 闪烁</t>
  </si>
  <si>
    <t>MOS 过温</t>
  </si>
  <si>
    <t>LED1、LED3 1HZ 闪烁</t>
  </si>
  <si>
    <t>PACK 过温</t>
  </si>
  <si>
    <t>LED1、LED3 2HZ 闪烁</t>
  </si>
  <si>
    <t>NTC 故障</t>
  </si>
  <si>
    <t>LED1、LED2 1HZ 闪烁</t>
  </si>
  <si>
    <t>DL02003237</t>
  </si>
  <si>
    <t>SHENZHENJIRUIDACIRCUITTECHNOLOGYCO.,LTD.)</t>
  </si>
  <si>
    <t>PCB IDD202GA V5.2 IES_BG23769B1_PCB_R01</t>
  </si>
  <si>
    <t xml:space="preserve">低电量 </t>
  </si>
  <si>
    <t>LED1 1HZ 闪烁</t>
  </si>
  <si>
    <t>存储错误</t>
  </si>
  <si>
    <t>LED2 1.5HZ 闪烁</t>
  </si>
  <si>
    <t>电池随机测试需要提供的资料如下:</t>
  </si>
  <si>
    <t>1,电子版本英文铭牌,电池包规格书包含以下表格中的参数(英文)</t>
  </si>
  <si>
    <t>2,电芯CB证书+报告, 电芯规格书(62133 2017版测试)</t>
  </si>
  <si>
    <t>3. 关键元器件清单,UL黄卡或IEC相关证书</t>
  </si>
  <si>
    <t>4, FMEA或电子电路失效评估报告(2017版)</t>
  </si>
  <si>
    <t>5, ISO 9001证书(已有)</t>
  </si>
  <si>
    <t>6. PCB 电路图，PCB 规格书</t>
  </si>
  <si>
    <t>7,下面的充放电参数</t>
  </si>
  <si>
    <t>贴片电阻 0603 SMT 8.06KΩ ±1% 1/10W 厚膜/簿膜---己找</t>
  </si>
  <si>
    <t>贴片电阻 2512 SMT 220Ω ±5% 1W 厚膜</t>
  </si>
  <si>
    <t>肖工，问下你，电芯配组的容量要求&lt;20mAh，实际上怎么做到的？</t>
  </si>
  <si>
    <t>ICD069GA PCB 外露铜线，不接任何信号</t>
  </si>
  <si>
    <t>原理图有没有检测 线条没有连上去的功能</t>
  </si>
  <si>
    <t>富世华 I0364A 5S1P</t>
  </si>
  <si>
    <t>电芯规格</t>
  </si>
  <si>
    <t>问题点</t>
  </si>
  <si>
    <t>首样</t>
  </si>
  <si>
    <t>B</t>
  </si>
  <si>
    <t>无</t>
  </si>
  <si>
    <t>EVE 18650-20P</t>
  </si>
  <si>
    <t>额定容量</t>
  </si>
  <si>
    <t>Type 4 方案1：EVE 18650-20P, 项目号： I0364A</t>
  </si>
  <si>
    <t>Type4 方案2：Tenpower 18650-20P ,  项目号：I0364B</t>
  </si>
  <si>
    <t>EVE</t>
  </si>
  <si>
    <t>Type 6 方案1：EVE 18650-20P+支架  , 项目号： I0363A</t>
  </si>
  <si>
    <t>Type6 方案2：Tenpower 18650-20P+支架,  项目号： I0363B</t>
  </si>
  <si>
    <t>Model:TYPE4   Limited Charge Voltage:</t>
  </si>
  <si>
    <t>v</t>
  </si>
  <si>
    <t xml:space="preserve">Nominal Voltage:  </t>
  </si>
  <si>
    <t xml:space="preserve">Nominal Capacity:   </t>
  </si>
  <si>
    <t>mAh</t>
  </si>
  <si>
    <t>Nominal Energy:</t>
  </si>
  <si>
    <t>Wh</t>
  </si>
  <si>
    <t>富世华 I0364B 5S1P</t>
  </si>
  <si>
    <t>Tenpower 18650-20P</t>
  </si>
  <si>
    <t>天鹏</t>
  </si>
  <si>
    <t>I0364A</t>
  </si>
  <si>
    <t>5月10日</t>
  </si>
  <si>
    <t>IES_BG23793B1_PCB_R00</t>
  </si>
  <si>
    <t>I0364B</t>
  </si>
  <si>
    <t>IES_BG23794B1_PCB_R00</t>
  </si>
  <si>
    <t>IES_DL5S_BG23793B1_PCM_R00</t>
  </si>
  <si>
    <t>IES_DL5S_BG23794B1_PCM_R00</t>
  </si>
  <si>
    <t>Battery types</t>
  </si>
  <si>
    <t>Technical Requirements</t>
  </si>
  <si>
    <t>Recommned</t>
  </si>
  <si>
    <t>Reason</t>
  </si>
  <si>
    <t>Type4</t>
  </si>
  <si>
    <t>R25=10kΩ  B=3977K (Vishay NTCLE100E3103JB0)</t>
  </si>
  <si>
    <t>R25=10KΩ±1% B25/50=3950K±1% or 3435K</t>
  </si>
  <si>
    <t>B=3977K is not common value,need customized the materials,Long L/T, B=3950 and B=3435 are normal value</t>
  </si>
  <si>
    <t>Type6</t>
  </si>
  <si>
    <t>R25=6.8kΩ  B=3975K (SEMITEC 682AT-4-90245)</t>
  </si>
  <si>
    <t>R25=6.8KΩ B25/50=3950K±1% or 3435K</t>
  </si>
  <si>
    <t>B=3975K is not common value,need customized the materials,Long L/T, B=3950 and B=3435 are normal value</t>
  </si>
  <si>
    <t>150uA</t>
  </si>
  <si>
    <t>Philip 3S3P</t>
  </si>
  <si>
    <t>BQ27750</t>
  </si>
  <si>
    <t>BQ78Z610</t>
  </si>
  <si>
    <t>BQ40Z50</t>
  </si>
  <si>
    <t>BQ4050</t>
  </si>
  <si>
    <t>CJ08-I0376A 4S1P</t>
  </si>
  <si>
    <t>手板</t>
  </si>
  <si>
    <t>V1.4</t>
  </si>
  <si>
    <t>出货 7/15  42Pack</t>
  </si>
  <si>
    <t>己备料7/7备料 205 PCBA,出货要求7/28</t>
  </si>
  <si>
    <t>实际8-2号出货</t>
  </si>
  <si>
    <t>生产105PCS</t>
  </si>
  <si>
    <t>实际9-7号出货70PCS</t>
  </si>
  <si>
    <t>标准放电电流</t>
  </si>
  <si>
    <t>放电时间</t>
  </si>
  <si>
    <t>20% 放电10秒~20的测试</t>
  </si>
  <si>
    <t>再计算是否可存放半年</t>
  </si>
  <si>
    <t>AC内阻</t>
  </si>
  <si>
    <t>1A放电的时间</t>
  </si>
  <si>
    <t>秒</t>
  </si>
  <si>
    <t>5S1P</t>
  </si>
  <si>
    <t>低压报警：</t>
  </si>
  <si>
    <t>13.4~13.8</t>
  </si>
  <si>
    <t>提供测试数据，JUMP点要自动焊，俊鑫口头同意连接器点胶，更新测试规格书，加二次过压；韦工提供新公头连接器的型号，</t>
  </si>
  <si>
    <t>方案：NXP SH39F325X 软件方案+模拟前端OZ3710LN</t>
  </si>
  <si>
    <t>Wakizashi-EL I0380A 6S1P</t>
  </si>
  <si>
    <t>数量</t>
  </si>
  <si>
    <t>V01</t>
  </si>
  <si>
    <t xml:space="preserve">EB2 </t>
  </si>
  <si>
    <t>第一次送样 1PCS 出货</t>
  </si>
  <si>
    <t>第二次送样 2PCS 出货</t>
  </si>
  <si>
    <t>第三次送样 7PCS 出货6/29</t>
  </si>
  <si>
    <t>生产 45PCS 出货 20pcs，UN38.3摸底 8-17</t>
  </si>
  <si>
    <t xml:space="preserve">生产 90PCS 出货 53PCS 32pcs电芯  9-6 </t>
  </si>
  <si>
    <t>A</t>
  </si>
  <si>
    <t>1）36pcs 电池 出货 10-18 FOT
2）120PCSPCBA +17pcs 假电池由样品房安排出货</t>
  </si>
  <si>
    <t>ma</t>
  </si>
  <si>
    <t>要求 出货 53假包+5块板子 11-15 DVT1</t>
  </si>
  <si>
    <t>要求 出货 323电池+5块板子 11-15 DVT1</t>
  </si>
  <si>
    <t>工作功率</t>
  </si>
  <si>
    <t>300W</t>
  </si>
  <si>
    <t>E:\Wakizashi-EL I0380\FS</t>
  </si>
  <si>
    <t>充电器参数</t>
  </si>
  <si>
    <t>0.6A</t>
  </si>
  <si>
    <t>规格书要求</t>
  </si>
  <si>
    <t>博科建议及问题_7-27</t>
  </si>
  <si>
    <t>客户回复</t>
  </si>
  <si>
    <t>电池标签的额定容量是多少？</t>
  </si>
  <si>
    <t>请提供额定容量的测试条件</t>
  </si>
  <si>
    <t>目前不会保证满足此要求，需要测试才能最终确认此要求，请确认是否OK?</t>
  </si>
  <si>
    <t>来料的电芯容量是约20-30%，如果不需要额外的补电，我们将以电芯的来料状态进行出货。请确认是否OK?</t>
  </si>
  <si>
    <t>目标是8.9mm</t>
  </si>
  <si>
    <t>请确认是否有此要求？</t>
  </si>
  <si>
    <t>实测为7.8mm +引脚外露 1.2</t>
  </si>
  <si>
    <t>充电器参数OUTPUT :26.5V 0.6A 15.9W</t>
  </si>
  <si>
    <t>充电器的充电电压26.5V对应电芯电压是4.41V, 电池包上没有电压保护功能，请问如保实现充电过压功能？保护参数是多少？确保充电过种中电池的电压不会超过电芯允许电压4.25V。</t>
  </si>
  <si>
    <t>1.充电器的充电电压26.5V/0.6A，与规格要求CC 2A不对应，请问如保实现此功能？
2.温度5-45度是通常充电器来实现的吗？
3.请问最大持续充电电流是多少？
4.电池包上没有充电过流保护功能，充电器或整机上的充电过流参数是怎样的？</t>
  </si>
  <si>
    <t>1..电池包上没有电压保护功能，无法实现在cut off at 2.7V/CELL ，请问是否在整机上实现此功能？
2.电池包上没有放电过流保护功能，请问是否在整机上实现此功能，放电过流参数是怎样的？</t>
  </si>
  <si>
    <t>NA</t>
  </si>
  <si>
    <t>MP时的运输方式/Transportation是陆运，海运，空运？</t>
  </si>
  <si>
    <t xml:space="preserve">建议PCBA要涂上三防漆？
建议连接器处要打上黄胶进行固定？
</t>
  </si>
  <si>
    <t>Time</t>
  </si>
  <si>
    <t>U1-13</t>
  </si>
  <si>
    <t>U1-14</t>
  </si>
  <si>
    <t>TH1</t>
  </si>
  <si>
    <t>TH2</t>
  </si>
  <si>
    <t>'23-09-07 18:42:13.991</t>
  </si>
  <si>
    <t>'23-09-07 18:42:53.991</t>
  </si>
  <si>
    <t>'23-09-07 18:43:31.991</t>
  </si>
  <si>
    <t>'23-09-07 18:44:31.991</t>
  </si>
  <si>
    <t>'23-09-07 18:45:31.991</t>
  </si>
  <si>
    <t>'23-09-07 18:46:31.991</t>
  </si>
  <si>
    <t>'23-09-07 18:47:31.991</t>
  </si>
  <si>
    <t>'23-09-07 18:48:31.991</t>
  </si>
  <si>
    <t>'23-09-07 18:50:01.991</t>
  </si>
  <si>
    <t>'23-09-07 18:52:01.991</t>
  </si>
  <si>
    <t>'23-09-07 18:54:03.991</t>
  </si>
  <si>
    <t>'23-09-07 18:56:01.991</t>
  </si>
  <si>
    <t>9MM</t>
  </si>
  <si>
    <t>1 4 到底，</t>
  </si>
  <si>
    <t>8MM</t>
  </si>
  <si>
    <t>2 3 中间</t>
  </si>
  <si>
    <t>6S1P</t>
  </si>
  <si>
    <t>要消耗的容量</t>
  </si>
  <si>
    <t>60PCS试产问题点</t>
  </si>
  <si>
    <t>BQ34Z100-R2: 电压校准问题及与G1版本对比区别 - 电源管理论坛 - 电源管理 - E2E™ 设计支持 (ti.com)</t>
  </si>
  <si>
    <t>https://www.codaca.com.cn/search.aspx?key=220M</t>
  </si>
  <si>
    <t>重量</t>
  </si>
  <si>
    <t>2512 300欧电阻</t>
  </si>
  <si>
    <t>G/PCS</t>
  </si>
  <si>
    <t>最高的电压</t>
  </si>
  <si>
    <t>V</t>
  </si>
  <si>
    <t>功率</t>
  </si>
  <si>
    <t>阻值</t>
  </si>
  <si>
    <t>Sony 8S1P</t>
  </si>
  <si>
    <t>https://e2echina.ti.com/support/power-management/f/power-management-forum/787579/bq34z100-r2-g1/2888687#2888687</t>
  </si>
  <si>
    <t>要消耗的电流</t>
  </si>
  <si>
    <r>
      <rPr>
        <sz val="11"/>
        <color theme="1"/>
        <rFont val="宋体"/>
        <charset val="134"/>
        <scheme val="minor"/>
      </rPr>
      <t>D</t>
    </r>
    <r>
      <rPr>
        <sz val="11"/>
        <color theme="1"/>
        <rFont val="宋体"/>
        <charset val="134"/>
        <scheme val="minor"/>
      </rPr>
      <t>ata</t>
    </r>
    <r>
      <rPr>
        <sz val="11"/>
        <color theme="1"/>
        <rFont val="宋体"/>
        <charset val="134"/>
        <scheme val="minor"/>
      </rPr>
      <t>sheet</t>
    </r>
  </si>
  <si>
    <t>904290-5104mAh-电芯</t>
  </si>
  <si>
    <t>元件规格书</t>
  </si>
  <si>
    <t>消耗的时间</t>
  </si>
  <si>
    <t>小时</t>
  </si>
  <si>
    <t>天</t>
  </si>
  <si>
    <t>0.05C</t>
  </si>
  <si>
    <t>5V LDO电阻配置</t>
  </si>
  <si>
    <t>5000mAh</t>
  </si>
  <si>
    <t>5200mAh</t>
  </si>
  <si>
    <t>实际物料 52.3K</t>
  </si>
  <si>
    <t>电压基准</t>
  </si>
  <si>
    <t>分压电阻</t>
  </si>
  <si>
    <t>.</t>
  </si>
  <si>
    <t>寿命计算</t>
  </si>
  <si>
    <t>比率</t>
  </si>
  <si>
    <t>微安</t>
  </si>
  <si>
    <t>FB分压</t>
  </si>
  <si>
    <t>并机1V的来由</t>
  </si>
  <si>
    <t>80mah</t>
  </si>
  <si>
    <t>FUSE</t>
  </si>
  <si>
    <t>出货容量 30%</t>
  </si>
  <si>
    <t>Rsense</t>
  </si>
  <si>
    <t>MOS</t>
  </si>
  <si>
    <t>Copper</t>
  </si>
  <si>
    <t>保险丝计算</t>
  </si>
  <si>
    <t>连接器</t>
  </si>
  <si>
    <t>工作电流</t>
  </si>
  <si>
    <t>8S的AC内阻</t>
  </si>
  <si>
    <t>电感计算</t>
  </si>
  <si>
    <t>35-</t>
  </si>
  <si>
    <t>镍片</t>
  </si>
  <si>
    <t>规格书</t>
  </si>
  <si>
    <t>8S的DC内阻</t>
  </si>
  <si>
    <t xml:space="preserve">分压后供电给单节保护IC的过压点分析: </t>
  </si>
  <si>
    <t>分压内阻配置(K)</t>
  </si>
  <si>
    <t>Type</t>
  </si>
  <si>
    <t>电阻精度（0.1%）</t>
  </si>
  <si>
    <t>上面电阻1-1</t>
  </si>
  <si>
    <t>下面电阻R2</t>
  </si>
  <si>
    <t>1M电阻对应的总分比</t>
  </si>
  <si>
    <t>电芯截止电压（V）</t>
  </si>
  <si>
    <t>反推得到总电压（V）</t>
  </si>
  <si>
    <t>分到每节电芯电压(V)</t>
  </si>
  <si>
    <t>分压后对应的电压公差(mV)</t>
  </si>
  <si>
    <t>分压后上限值加IC(MM3511C46YRE)的公差</t>
  </si>
  <si>
    <t>No.</t>
  </si>
  <si>
    <t>Items</t>
  </si>
  <si>
    <t>Customer requirement</t>
  </si>
  <si>
    <t>Battery performance</t>
  </si>
  <si>
    <t>Tolerance</t>
  </si>
  <si>
    <t>Unit</t>
  </si>
  <si>
    <t>Remark</t>
  </si>
  <si>
    <t>公差</t>
  </si>
  <si>
    <t>IC UVP保护的上限加BQ40Z80的公差</t>
  </si>
  <si>
    <t>First Over-Charge Voltage Protection (OVP)</t>
  </si>
  <si>
    <t>≥4.35</t>
  </si>
  <si>
    <t>Protection Delay Time:1~5S</t>
  </si>
  <si>
    <t>Over-Charge Voltage Protection Release (OVPR)</t>
  </si>
  <si>
    <t>Second Over-Charge Voltage Protection (OVP)</t>
  </si>
  <si>
    <t>Protection Delay Time:0.5~2.5S</t>
  </si>
  <si>
    <t>电芯总电压(V)</t>
  </si>
  <si>
    <t>Under-Discharge Voltage Protection (UVP)</t>
  </si>
  <si>
    <t>分压电阻产生的功耗(uA)</t>
  </si>
  <si>
    <t>Under-Discharge Voltage Protection Release (UVPR)</t>
  </si>
  <si>
    <t>≤3.2</t>
  </si>
  <si>
    <t>IC功耗(uA)</t>
  </si>
  <si>
    <t>Over-Current Discharge Protection (OCDP)</t>
  </si>
  <si>
    <t>&gt;15A</t>
  </si>
  <si>
    <t xml:space="preserve">@Cell Tc -10~70℃ </t>
  </si>
  <si>
    <t>总功耗(uA)</t>
  </si>
  <si>
    <t>Over-Current Discharge Protection Delay Time</t>
  </si>
  <si>
    <t>s</t>
  </si>
  <si>
    <t>Over-Current Charge Protection (OCCP)</t>
  </si>
  <si>
    <t>&gt;10A</t>
  </si>
  <si>
    <t>@Cell Tc 20~45℃ *</t>
  </si>
  <si>
    <t>Time(S)</t>
  </si>
  <si>
    <t>Voltage</t>
  </si>
  <si>
    <t>Over-Current Charge Protection Delay Time</t>
  </si>
  <si>
    <t>Short circuit protection</t>
  </si>
  <si>
    <t>&gt;55</t>
  </si>
  <si>
    <t>单节分压</t>
  </si>
  <si>
    <t>Sleep mode</t>
  </si>
  <si>
    <t>&lt;300</t>
  </si>
  <si>
    <t>uA</t>
  </si>
  <si>
    <t>用单节保护IC: CM1003-GAD</t>
  </si>
  <si>
    <t>内阻配置 K</t>
  </si>
  <si>
    <t>Shutdown mode</t>
  </si>
  <si>
    <t>&lt;20</t>
  </si>
  <si>
    <t>Charge Over-temperature protection</t>
  </si>
  <si>
    <t xml:space="preserve">Charge -10 ~ 45°C
</t>
  </si>
  <si>
    <t>℃</t>
  </si>
  <si>
    <t xml:space="preserve">@Cell Tc </t>
  </si>
  <si>
    <t>可变量</t>
  </si>
  <si>
    <t>Charge Over-temperature protection Release</t>
  </si>
  <si>
    <t>1M电阻上的分压</t>
  </si>
  <si>
    <t>Charge Low-temperature protection</t>
  </si>
  <si>
    <t>Charge Low-temperature protection Release</t>
  </si>
  <si>
    <t>Discharge Over-temperature protection</t>
  </si>
  <si>
    <t>Discharge -20 ~ 70℃</t>
  </si>
  <si>
    <t>Discharge Over-temperature protection Release</t>
  </si>
  <si>
    <t>反推得到总电压</t>
  </si>
  <si>
    <t>Discharge low temperature protection</t>
  </si>
  <si>
    <t>Discharge low temperature protection Release</t>
  </si>
  <si>
    <t>分到每节电芯电压</t>
  </si>
  <si>
    <t>Temperature protection Delay Time</t>
  </si>
  <si>
    <t>1~5</t>
  </si>
  <si>
    <t>打折22%后的I2C</t>
  </si>
  <si>
    <t>功耗</t>
  </si>
  <si>
    <t>实测 I2C</t>
  </si>
  <si>
    <t>则剩下的容量40mAh将保持DC 5V持续供电20分种</t>
  </si>
  <si>
    <t>40MAH</t>
  </si>
  <si>
    <t>精度计算</t>
  </si>
  <si>
    <t>16位</t>
  </si>
  <si>
    <t>LSB 7.82 uV</t>
  </si>
  <si>
    <t>30A对应的压差</t>
  </si>
  <si>
    <t>30A对应的数字</t>
  </si>
  <si>
    <t>电压分辨率</t>
  </si>
  <si>
    <t>偏22.3LSB(uV)</t>
  </si>
  <si>
    <t>1LSB (uV)</t>
  </si>
  <si>
    <t>电流分辨率</t>
  </si>
  <si>
    <t>70度对应的值</t>
  </si>
  <si>
    <t>(mV)</t>
  </si>
  <si>
    <t>磁珠2PCS</t>
  </si>
  <si>
    <t>NTC 1PCS</t>
  </si>
  <si>
    <t>上电瞬间，电容充电</t>
  </si>
  <si>
    <t>RC</t>
  </si>
  <si>
    <t>Battery Status</t>
  </si>
  <si>
    <t>RSOC</t>
  </si>
  <si>
    <t>LED4</t>
  </si>
  <si>
    <t>Not Charging/Discharging</t>
  </si>
  <si>
    <t>LED-LIGHT OFF</t>
  </si>
  <si>
    <t>Charging</t>
  </si>
  <si>
    <t>0%~25%</t>
  </si>
  <si>
    <t>BLINKING</t>
  </si>
  <si>
    <t>OFF</t>
  </si>
  <si>
    <t>26%~50%</t>
  </si>
  <si>
    <t>LIGHT</t>
  </si>
  <si>
    <t>51%~75%</t>
  </si>
  <si>
    <t>76%~99%</t>
  </si>
  <si>
    <t>Pressing the key switch button</t>
  </si>
  <si>
    <t>1%~10%</t>
  </si>
  <si>
    <t>11%~25%</t>
  </si>
  <si>
    <t>76%~100%</t>
  </si>
  <si>
    <t>Discharging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</si>
  <si>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Q34Z100 BAT</t>
    </r>
    <r>
      <rPr>
        <sz val="11"/>
        <color theme="1"/>
        <rFont val="宋体"/>
        <charset val="134"/>
        <scheme val="minor"/>
      </rPr>
      <t>计算</t>
    </r>
  </si>
  <si>
    <r>
      <rPr>
        <sz val="11"/>
        <color theme="1"/>
        <rFont val="宋体"/>
        <charset val="134"/>
        <scheme val="minor"/>
      </rPr>
      <t>分压后的B</t>
    </r>
    <r>
      <rPr>
        <sz val="11"/>
        <color theme="1"/>
        <rFont val="宋体"/>
        <charset val="134"/>
        <scheme val="minor"/>
      </rPr>
      <t>AT</t>
    </r>
  </si>
  <si>
    <t>比例</t>
  </si>
  <si>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83</t>
    </r>
  </si>
  <si>
    <t>R87</t>
  </si>
  <si>
    <r>
      <rPr>
        <sz val="11"/>
        <color theme="1"/>
        <rFont val="宋体"/>
        <charset val="134"/>
        <scheme val="minor"/>
      </rPr>
      <t>R</t>
    </r>
    <r>
      <rPr>
        <sz val="11"/>
        <color theme="1"/>
        <rFont val="宋体"/>
        <charset val="134"/>
        <scheme val="minor"/>
      </rPr>
      <t>92</t>
    </r>
  </si>
  <si>
    <t>放电过流保护</t>
  </si>
  <si>
    <t>LED1、LED2 1HZ 闪烁10次自动关闭</t>
  </si>
  <si>
    <t>电阻电流</t>
  </si>
  <si>
    <t>充电过流保护</t>
  </si>
  <si>
    <t>LED1、LED2 2HZ 闪烁10次自动关闭</t>
  </si>
  <si>
    <t>电阻阻值</t>
  </si>
  <si>
    <t>充电高压保护</t>
  </si>
  <si>
    <t>LED3、LED4 1HZ 闪烁10次自动关闭</t>
  </si>
  <si>
    <t>电阻功率</t>
  </si>
  <si>
    <t>放电低压保护</t>
  </si>
  <si>
    <t>LED3、LED4 2HZ 闪烁10次自动关闭</t>
  </si>
  <si>
    <t>低电量</t>
  </si>
  <si>
    <t>LED1 1HZ 闪烁10次自动关闭</t>
  </si>
  <si>
    <t>MOS 过温保护</t>
  </si>
  <si>
    <t>LED1、LED3 1HZ 闪烁10次自动关闭</t>
  </si>
  <si>
    <t>电芯 过温保护</t>
  </si>
  <si>
    <t>LED1、LED3 2HZ 闪烁10次自动关闭</t>
  </si>
  <si>
    <t>NTC 断开或短路故障</t>
  </si>
  <si>
    <t>LED2、LED4 1HZ 闪烁10次自动关闭</t>
  </si>
  <si>
    <t>均衡功能</t>
  </si>
  <si>
    <t>电流</t>
  </si>
  <si>
    <t>LED2、LED4 2HZ 闪烁10次自动关闭</t>
  </si>
  <si>
    <t>中心值</t>
  </si>
  <si>
    <t>最大值</t>
  </si>
  <si>
    <t>最小值</t>
  </si>
  <si>
    <t>平均均衡电流</t>
  </si>
  <si>
    <t>均衡电流差</t>
  </si>
  <si>
    <t>加热电阻计算</t>
  </si>
  <si>
    <r>
      <rPr>
        <sz val="10.5"/>
        <color rgb="FF000000"/>
        <rFont val="宋体"/>
        <charset val="134"/>
      </rPr>
      <t>建议如下：当电芯满电状态存储进行放电的功能，放电电流可以设计为</t>
    </r>
    <r>
      <rPr>
        <sz val="10.5"/>
        <color rgb="FF000000"/>
        <rFont val="Segoe UI"/>
        <charset val="134"/>
      </rPr>
      <t>20~30mA,</t>
    </r>
    <r>
      <rPr>
        <sz val="10.5"/>
        <color rgb="FF000000"/>
        <rFont val="宋体"/>
        <charset val="134"/>
      </rPr>
      <t>放电时间约</t>
    </r>
    <r>
      <rPr>
        <sz val="10.5"/>
        <color rgb="FF000000"/>
        <rFont val="Segoe UI"/>
        <charset val="134"/>
      </rPr>
      <t>3~4</t>
    </r>
    <r>
      <rPr>
        <sz val="10.5"/>
        <color rgb="FF000000"/>
        <rFont val="宋体"/>
        <charset val="134"/>
      </rPr>
      <t>天，常温下，估计温升</t>
    </r>
    <r>
      <rPr>
        <sz val="10.5"/>
        <color rgb="FF000000"/>
        <rFont val="Segoe UI"/>
        <charset val="134"/>
      </rPr>
      <t>5~10</t>
    </r>
    <r>
      <rPr>
        <sz val="10.5"/>
        <color rgb="FF000000"/>
        <rFont val="宋体"/>
        <charset val="134"/>
      </rPr>
      <t>度，此设计根据测试结果进行调整。</t>
    </r>
  </si>
  <si>
    <t>6PIN 立式连接器无法机器贴片</t>
  </si>
  <si>
    <t>mA</t>
  </si>
  <si>
    <t>K</t>
  </si>
  <si>
    <t>6个1K 3并2串</t>
  </si>
  <si>
    <t>R2</t>
  </si>
  <si>
    <t>加热电阻的平均电流 mA</t>
  </si>
  <si>
    <t>放电到50%时间小时</t>
  </si>
  <si>
    <t>0603</t>
  </si>
  <si>
    <t>0805</t>
  </si>
  <si>
    <t>1206</t>
  </si>
  <si>
    <t>1210</t>
  </si>
  <si>
    <t>2512</t>
  </si>
  <si>
    <t>ua</t>
  </si>
  <si>
    <t>REGIN的产生的功率计算</t>
  </si>
  <si>
    <t>LDO</t>
  </si>
  <si>
    <t>总电流 A</t>
  </si>
  <si>
    <t>总电阻功率</t>
  </si>
  <si>
    <t>按键激活电压 计算</t>
  </si>
  <si>
    <t>偏置电阻R68</t>
  </si>
  <si>
    <t>电阻分压</t>
  </si>
  <si>
    <t>DC-DC启动电压</t>
  </si>
  <si>
    <t>M</t>
  </si>
  <si>
    <t>Q18分压</t>
  </si>
  <si>
    <t>实测</t>
  </si>
  <si>
    <t>理论值</t>
  </si>
  <si>
    <t>功率uA</t>
  </si>
  <si>
    <t>R86</t>
  </si>
  <si>
    <t>分压所得</t>
  </si>
  <si>
    <t>r88</t>
  </si>
  <si>
    <t>三极管</t>
  </si>
  <si>
    <t>R76</t>
  </si>
  <si>
    <t>R83</t>
  </si>
  <si>
    <t>R89</t>
  </si>
  <si>
    <t>RSOC 为34.6%对应的电压为29.2V</t>
  </si>
  <si>
    <t>放电测试1311MAH</t>
  </si>
  <si>
    <t>带载15MA对应的三极管前的100欧电阻过电流为12MA</t>
  </si>
  <si>
    <t>带载8MA对应的三极管前的100欧电阻过电流为4MA</t>
  </si>
  <si>
    <t>#36</t>
  </si>
  <si>
    <t>MCU复位</t>
  </si>
  <si>
    <t>BQ76952的LDO前的电阻限流</t>
  </si>
  <si>
    <t>一起工作时</t>
  </si>
  <si>
    <t>假如限流100</t>
  </si>
  <si>
    <t>带载电流</t>
  </si>
  <si>
    <t>REG2 3.3V的电压</t>
  </si>
  <si>
    <t>REG1 3.3V的电压</t>
  </si>
  <si>
    <t>100欧对应的输入电流</t>
  </si>
  <si>
    <t>输入电流</t>
  </si>
  <si>
    <t>8MA</t>
  </si>
  <si>
    <t>15MA</t>
  </si>
  <si>
    <t>24MA</t>
  </si>
  <si>
    <t>32MA</t>
  </si>
  <si>
    <t>80MA</t>
  </si>
  <si>
    <t>单个工作REG2工作时</t>
  </si>
  <si>
    <t>p</t>
  </si>
  <si>
    <t>假如限流700</t>
  </si>
  <si>
    <t>经过100后的压降</t>
  </si>
  <si>
    <t>30MA</t>
  </si>
  <si>
    <t>流过20MA的功率</t>
  </si>
  <si>
    <t>0402电阻的功率</t>
  </si>
  <si>
    <t>占比%</t>
  </si>
  <si>
    <t>100欧的电阻压降</t>
  </si>
  <si>
    <t>100欧的电流(A)</t>
  </si>
  <si>
    <t>电流 MA</t>
  </si>
  <si>
    <t>/</t>
  </si>
  <si>
    <t>BCP56的限流</t>
  </si>
  <si>
    <t>0.03G</t>
  </si>
  <si>
    <t>I0708A增加二次过压</t>
  </si>
  <si>
    <t>I0712A（ L81吸尘器）</t>
  </si>
  <si>
    <t>Fri Jan 05 14:35:09 CST 2024</t>
  </si>
  <si>
    <t>Device Version Info = 0100_0_16</t>
  </si>
  <si>
    <t>BQZ Device Name = bq34z100G1</t>
  </si>
  <si>
    <t>BQZ Firmware Version = 0_16</t>
  </si>
  <si>
    <t>Sample</t>
  </si>
  <si>
    <t>DateTime</t>
  </si>
  <si>
    <t>ElapsedTime</t>
  </si>
  <si>
    <t>Control</t>
  </si>
  <si>
    <t>CtrlStatus</t>
  </si>
  <si>
    <t>StateofCharge</t>
  </si>
  <si>
    <t>MaxError</t>
  </si>
  <si>
    <t>RemCap</t>
  </si>
  <si>
    <t>FullChgCap</t>
  </si>
  <si>
    <t>Current</t>
  </si>
  <si>
    <t>AvgCurrent</t>
  </si>
  <si>
    <t>Temperature</t>
  </si>
  <si>
    <t>AverageTimeToEmpty</t>
  </si>
  <si>
    <t>AverageTimeToFull</t>
  </si>
  <si>
    <t>AvailableEnergy</t>
  </si>
  <si>
    <t>AveragePower</t>
  </si>
  <si>
    <t>InternalTemperature</t>
  </si>
  <si>
    <t>CycleCnt</t>
  </si>
  <si>
    <t>StateofHealth</t>
  </si>
  <si>
    <t>ChargeVoltage</t>
  </si>
  <si>
    <t>ChargeCurrent</t>
  </si>
  <si>
    <t>PackConfig</t>
  </si>
  <si>
    <t>Flags</t>
  </si>
  <si>
    <t>Flags B</t>
  </si>
  <si>
    <t>GridNumber</t>
  </si>
  <si>
    <t>LearnedStatus</t>
  </si>
  <si>
    <t>DoDatEOC</t>
  </si>
  <si>
    <t>Qstart</t>
  </si>
  <si>
    <t>TrueRC</t>
  </si>
  <si>
    <t>TrueFCC</t>
  </si>
  <si>
    <t>StateTime</t>
  </si>
  <si>
    <t>DOD0PassedQ</t>
  </si>
  <si>
    <t>DOD0Time</t>
  </si>
  <si>
    <t>DOD0</t>
  </si>
  <si>
    <t>QmaxDOD0</t>
  </si>
  <si>
    <t>QmaxPassedQ</t>
  </si>
  <si>
    <t>QmaxTime</t>
  </si>
  <si>
    <t>LogRowTime(ms)</t>
  </si>
  <si>
    <t>LogStatus</t>
  </si>
  <si>
    <t>0x0016</t>
  </si>
  <si>
    <t>0x000B</t>
  </si>
  <si>
    <t>0x09E1</t>
  </si>
  <si>
    <t>0x2200</t>
  </si>
  <si>
    <t>0x2400</t>
  </si>
  <si>
    <t>SUCCESS</t>
  </si>
  <si>
    <t>0x0201</t>
  </si>
  <si>
    <t>0x0400</t>
  </si>
  <si>
    <t>0x0001</t>
  </si>
  <si>
    <t>0x0101</t>
  </si>
  <si>
    <t>Fri Jan 05 14:45:50 CST 2024</t>
  </si>
  <si>
    <t>SOC variation</t>
  </si>
  <si>
    <t>0x001B</t>
  </si>
  <si>
    <t>0x0100</t>
  </si>
  <si>
    <t>0x8400</t>
  </si>
  <si>
    <t>0x0801</t>
  </si>
  <si>
    <t>0x0805</t>
  </si>
  <si>
    <t>0x0807</t>
  </si>
  <si>
    <t>0x1807</t>
  </si>
  <si>
    <t>0x020B</t>
  </si>
  <si>
    <t>0x5807</t>
  </si>
  <si>
    <t>ERROR : Please check C:\Users\leiyupei\Desktop\12.5A DISCHARGE 1S.log.err</t>
  </si>
</sst>
</file>

<file path=xl/styles.xml><?xml version="1.0" encoding="utf-8"?>
<styleSheet xmlns="http://schemas.openxmlformats.org/spreadsheetml/2006/main" xmlns:xr9="http://schemas.microsoft.com/office/spreadsheetml/2016/revision9">
  <numFmts count="9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0.0000000_ "/>
    <numFmt numFmtId="179" formatCode="dd\-mmm"/>
    <numFmt numFmtId="180" formatCode="0.000000_ "/>
    <numFmt numFmtId="181" formatCode="0.00_ "/>
    <numFmt numFmtId="182" formatCode="h:mm:ss;@"/>
  </numFmts>
  <fonts count="87">
    <font>
      <sz val="11"/>
      <color theme="1"/>
      <name val="宋体"/>
      <charset val="134"/>
      <scheme val="minor"/>
    </font>
    <font>
      <u/>
      <sz val="11"/>
      <color theme="10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name val="宋体"/>
      <charset val="134"/>
      <scheme val="minor"/>
    </font>
    <font>
      <b/>
      <sz val="18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Arial"/>
      <charset val="134"/>
    </font>
    <font>
      <sz val="12"/>
      <name val="Arial"/>
      <charset val="134"/>
    </font>
    <font>
      <sz val="12"/>
      <color rgb="FF000000"/>
      <name val="Arial"/>
      <charset val="134"/>
    </font>
    <font>
      <b/>
      <sz val="12"/>
      <name val="宋体"/>
      <charset val="134"/>
    </font>
    <font>
      <sz val="11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2"/>
      <name val="宋体"/>
      <charset val="134"/>
    </font>
    <font>
      <sz val="12"/>
      <color rgb="FF0000E6"/>
      <name val="Arial"/>
      <charset val="134"/>
    </font>
    <font>
      <b/>
      <sz val="10.5"/>
      <color rgb="FF000000"/>
      <name val="宋体"/>
      <charset val="134"/>
    </font>
    <font>
      <sz val="10.5"/>
      <color rgb="FF000000"/>
      <name val="宋体"/>
      <charset val="134"/>
    </font>
    <font>
      <sz val="10.5"/>
      <color theme="1"/>
      <name val="Times New Roman"/>
      <charset val="134"/>
    </font>
    <font>
      <b/>
      <sz val="10.5"/>
      <color rgb="FF101214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3.8"/>
      <color rgb="FF000000"/>
      <name val="微软雅黑"/>
      <charset val="134"/>
    </font>
    <font>
      <sz val="11"/>
      <name val="宋体"/>
      <charset val="0"/>
    </font>
    <font>
      <sz val="6"/>
      <color rgb="FF000000"/>
      <name val="Helvetica"/>
      <charset val="134"/>
    </font>
    <font>
      <u/>
      <sz val="11"/>
      <color rgb="FFFF0000"/>
      <name val="宋体"/>
      <charset val="134"/>
      <scheme val="minor"/>
    </font>
    <font>
      <sz val="10.5"/>
      <color rgb="FF000000"/>
      <name val="Microsoft YaHei UI"/>
      <charset val="134"/>
    </font>
    <font>
      <sz val="8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22"/>
      <name val="宋体"/>
      <charset val="134"/>
      <scheme val="minor"/>
    </font>
    <font>
      <sz val="10.5"/>
      <color theme="1"/>
      <name val="宋体"/>
      <charset val="134"/>
    </font>
    <font>
      <sz val="9"/>
      <color theme="1"/>
      <name val="宋体"/>
      <charset val="134"/>
    </font>
    <font>
      <b/>
      <sz val="24"/>
      <color theme="1"/>
      <name val="宋体"/>
      <charset val="134"/>
      <scheme val="minor"/>
    </font>
    <font>
      <b/>
      <sz val="12"/>
      <color theme="1"/>
      <name val="Times New Roman"/>
      <charset val="134"/>
    </font>
    <font>
      <sz val="12"/>
      <color theme="1"/>
      <name val="Times New Roman"/>
      <charset val="134"/>
    </font>
    <font>
      <sz val="9.75"/>
      <color rgb="FF676A6C"/>
      <name val="Helvetica"/>
      <charset val="134"/>
    </font>
    <font>
      <sz val="11"/>
      <color theme="1"/>
      <name val="Tahoma"/>
      <charset val="134"/>
    </font>
    <font>
      <sz val="11"/>
      <color rgb="FF666666"/>
      <name val="Tahoma"/>
      <charset val="134"/>
    </font>
    <font>
      <b/>
      <sz val="10"/>
      <color theme="1"/>
      <name val="Arial"/>
      <charset val="134"/>
    </font>
    <font>
      <sz val="10"/>
      <color theme="1"/>
      <name val="Arial"/>
      <charset val="134"/>
    </font>
    <font>
      <sz val="10"/>
      <color theme="1"/>
      <name val="微软雅黑"/>
      <charset val="134"/>
    </font>
    <font>
      <sz val="10"/>
      <color theme="1"/>
      <name val="Univers"/>
      <charset val="134"/>
    </font>
    <font>
      <sz val="12"/>
      <color theme="1"/>
      <name val="宋体"/>
      <charset val="134"/>
    </font>
    <font>
      <sz val="10"/>
      <color rgb="FF000000"/>
      <name val="Arial"/>
      <charset val="134"/>
    </font>
    <font>
      <b/>
      <sz val="9"/>
      <color rgb="FFE36C0A"/>
      <name val="Arial Narrow"/>
      <charset val="134"/>
    </font>
    <font>
      <sz val="9"/>
      <color theme="1"/>
      <name val="Arial Narrow"/>
      <charset val="134"/>
    </font>
    <font>
      <sz val="9"/>
      <color rgb="FFE36C0A"/>
      <name val="Arial Narrow"/>
      <charset val="134"/>
    </font>
    <font>
      <b/>
      <sz val="9"/>
      <color theme="1"/>
      <name val="Arial Narrow"/>
      <charset val="134"/>
    </font>
    <font>
      <b/>
      <sz val="9"/>
      <color theme="1"/>
      <name val="Arial"/>
      <charset val="134"/>
    </font>
    <font>
      <sz val="10"/>
      <color theme="1"/>
      <name val="宋体"/>
      <charset val="134"/>
    </font>
    <font>
      <sz val="10.5"/>
      <color rgb="FF101214"/>
      <name val="Segoe UI"/>
      <charset val="134"/>
    </font>
    <font>
      <sz val="10.5"/>
      <color rgb="FF101214"/>
      <name val="宋体"/>
      <charset val="134"/>
    </font>
    <font>
      <b/>
      <sz val="10.5"/>
      <color rgb="FF363636"/>
      <name val="Microsoft YaHei"/>
      <charset val="134"/>
    </font>
    <font>
      <sz val="11"/>
      <color rgb="FF000000"/>
      <name val="PingFangSC-Regular"/>
      <charset val="134"/>
    </font>
    <font>
      <sz val="16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0.5"/>
      <color rgb="FF000000"/>
      <name val="微软雅黑"/>
      <charset val="134"/>
    </font>
    <font>
      <sz val="10.5"/>
      <color theme="1"/>
      <name val="Segoe UI"/>
      <charset val="134"/>
    </font>
    <font>
      <sz val="20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000000"/>
      <name val="Segoe UI"/>
      <charset val="134"/>
    </font>
    <font>
      <sz val="9"/>
      <color theme="1"/>
      <name val="Arial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Calibri"/>
      <charset val="134"/>
    </font>
    <font>
      <vertAlign val="superscript"/>
      <sz val="10"/>
      <color theme="1"/>
      <name val="Arial"/>
      <charset val="134"/>
    </font>
    <font>
      <b/>
      <sz val="8.5"/>
      <color rgb="FFE36C0A"/>
      <name val="Arial Narrow"/>
      <charset val="134"/>
    </font>
    <font>
      <vertAlign val="subscript"/>
      <sz val="10"/>
      <color theme="1"/>
      <name val="Arial"/>
      <charset val="134"/>
    </font>
    <font>
      <b/>
      <vertAlign val="superscript"/>
      <sz val="9"/>
      <color theme="1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474B7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9E9EC"/>
        <bgColor indexed="64"/>
      </patternFill>
    </fill>
    <fill>
      <patternFill patternType="solid">
        <fgColor rgb="FFCDE0E8"/>
        <bgColor indexed="64"/>
      </patternFill>
    </fill>
    <fill>
      <patternFill patternType="solid">
        <fgColor rgb="FFE8F0F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rgb="FFFAFAFA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/>
      <right style="medium">
        <color rgb="FFEEEEEE"/>
      </right>
      <top/>
      <bottom style="medium">
        <color rgb="FFEEEEEE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666666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rgb="FFE0E1DC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/>
      <diagonal/>
    </border>
    <border>
      <left style="medium">
        <color rgb="FF666666"/>
      </left>
      <right style="medium">
        <color rgb="FF666666"/>
      </right>
      <top/>
      <bottom style="medium">
        <color rgb="FF666666"/>
      </bottom>
      <diagonal/>
    </border>
    <border>
      <left style="medium">
        <color rgb="FF666666"/>
      </left>
      <right/>
      <top style="medium">
        <color rgb="FF666666"/>
      </top>
      <bottom style="medium">
        <color rgb="FF666666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center"/>
    </xf>
    <xf numFmtId="0" fontId="0" fillId="19" borderId="34" applyNumberFormat="0" applyFon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5" applyNumberFormat="0" applyFill="0" applyAlignment="0" applyProtection="0">
      <alignment vertical="center"/>
    </xf>
    <xf numFmtId="0" fontId="63" fillId="0" borderId="35" applyNumberFormat="0" applyFill="0" applyAlignment="0" applyProtection="0">
      <alignment vertical="center"/>
    </xf>
    <xf numFmtId="0" fontId="64" fillId="0" borderId="36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20" borderId="37" applyNumberFormat="0" applyAlignment="0" applyProtection="0">
      <alignment vertical="center"/>
    </xf>
    <xf numFmtId="0" fontId="66" fillId="21" borderId="38" applyNumberFormat="0" applyAlignment="0" applyProtection="0">
      <alignment vertical="center"/>
    </xf>
    <xf numFmtId="0" fontId="67" fillId="21" borderId="37" applyNumberFormat="0" applyAlignment="0" applyProtection="0">
      <alignment vertical="center"/>
    </xf>
    <xf numFmtId="0" fontId="68" fillId="22" borderId="39" applyNumberFormat="0" applyAlignment="0" applyProtection="0">
      <alignment vertical="center"/>
    </xf>
    <xf numFmtId="0" fontId="69" fillId="0" borderId="40" applyNumberFormat="0" applyFill="0" applyAlignment="0" applyProtection="0">
      <alignment vertical="center"/>
    </xf>
    <xf numFmtId="0" fontId="70" fillId="0" borderId="41" applyNumberFormat="0" applyFill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4" fillId="26" borderId="0" applyNumberFormat="0" applyBorder="0" applyAlignment="0" applyProtection="0">
      <alignment vertical="center"/>
    </xf>
    <xf numFmtId="0" fontId="75" fillId="27" borderId="0" applyNumberFormat="0" applyBorder="0" applyAlignment="0" applyProtection="0">
      <alignment vertical="center"/>
    </xf>
    <xf numFmtId="0" fontId="75" fillId="28" borderId="0" applyNumberFormat="0" applyBorder="0" applyAlignment="0" applyProtection="0">
      <alignment vertical="center"/>
    </xf>
    <xf numFmtId="0" fontId="74" fillId="29" borderId="0" applyNumberFormat="0" applyBorder="0" applyAlignment="0" applyProtection="0">
      <alignment vertical="center"/>
    </xf>
    <xf numFmtId="0" fontId="74" fillId="30" borderId="0" applyNumberFormat="0" applyBorder="0" applyAlignment="0" applyProtection="0">
      <alignment vertical="center"/>
    </xf>
    <xf numFmtId="0" fontId="75" fillId="31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74" fillId="33" borderId="0" applyNumberFormat="0" applyBorder="0" applyAlignment="0" applyProtection="0">
      <alignment vertical="center"/>
    </xf>
    <xf numFmtId="0" fontId="74" fillId="34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6" borderId="0" applyNumberFormat="0" applyBorder="0" applyAlignment="0" applyProtection="0">
      <alignment vertical="center"/>
    </xf>
    <xf numFmtId="0" fontId="74" fillId="37" borderId="0" applyNumberFormat="0" applyBorder="0" applyAlignment="0" applyProtection="0">
      <alignment vertical="center"/>
    </xf>
    <xf numFmtId="0" fontId="74" fillId="38" borderId="0" applyNumberFormat="0" applyBorder="0" applyAlignment="0" applyProtection="0">
      <alignment vertical="center"/>
    </xf>
    <xf numFmtId="0" fontId="75" fillId="39" borderId="0" applyNumberFormat="0" applyBorder="0" applyAlignment="0" applyProtection="0">
      <alignment vertical="center"/>
    </xf>
    <xf numFmtId="0" fontId="75" fillId="40" borderId="0" applyNumberFormat="0" applyBorder="0" applyAlignment="0" applyProtection="0">
      <alignment vertical="center"/>
    </xf>
    <xf numFmtId="0" fontId="74" fillId="41" borderId="0" applyNumberFormat="0" applyBorder="0" applyAlignment="0" applyProtection="0">
      <alignment vertical="center"/>
    </xf>
    <xf numFmtId="0" fontId="74" fillId="42" borderId="0" applyNumberFormat="0" applyBorder="0" applyAlignment="0" applyProtection="0">
      <alignment vertical="center"/>
    </xf>
    <xf numFmtId="0" fontId="75" fillId="43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74" fillId="45" borderId="0" applyNumberFormat="0" applyBorder="0" applyAlignment="0" applyProtection="0">
      <alignment vertical="center"/>
    </xf>
    <xf numFmtId="0" fontId="74" fillId="46" borderId="0" applyNumberFormat="0" applyBorder="0" applyAlignment="0" applyProtection="0">
      <alignment vertical="center"/>
    </xf>
    <xf numFmtId="0" fontId="75" fillId="47" borderId="0" applyNumberFormat="0" applyBorder="0" applyAlignment="0" applyProtection="0">
      <alignment vertical="center"/>
    </xf>
    <xf numFmtId="0" fontId="75" fillId="48" borderId="0" applyNumberFormat="0" applyBorder="0" applyAlignment="0" applyProtection="0">
      <alignment vertical="center"/>
    </xf>
    <xf numFmtId="0" fontId="74" fillId="4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70">
    <xf numFmtId="0" fontId="0" fillId="0" borderId="0" xfId="0"/>
    <xf numFmtId="0" fontId="0" fillId="2" borderId="0" xfId="0" applyFill="1"/>
    <xf numFmtId="22" fontId="0" fillId="0" borderId="0" xfId="0" applyNumberFormat="1"/>
    <xf numFmtId="0" fontId="1" fillId="0" borderId="0" xfId="6"/>
    <xf numFmtId="0" fontId="2" fillId="0" borderId="0" xfId="6" applyFont="1"/>
    <xf numFmtId="178" fontId="0" fillId="0" borderId="0" xfId="0" applyNumberForma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Alignment="1">
      <alignment wrapText="1"/>
    </xf>
    <xf numFmtId="0" fontId="0" fillId="0" borderId="0" xfId="0" applyFill="1" applyAlignment="1">
      <alignment wrapText="1"/>
    </xf>
    <xf numFmtId="0" fontId="2" fillId="3" borderId="0" xfId="6" applyFont="1" applyFill="1" applyAlignment="1">
      <alignment wrapText="1"/>
    </xf>
    <xf numFmtId="0" fontId="1" fillId="3" borderId="0" xfId="6" applyFill="1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179" fontId="0" fillId="0" borderId="0" xfId="0" applyNumberFormat="1"/>
    <xf numFmtId="0" fontId="0" fillId="0" borderId="7" xfId="0" applyBorder="1"/>
    <xf numFmtId="0" fontId="0" fillId="0" borderId="8" xfId="0" applyBorder="1"/>
    <xf numFmtId="0" fontId="0" fillId="0" borderId="0" xfId="0" applyFont="1"/>
    <xf numFmtId="0" fontId="0" fillId="0" borderId="0" xfId="0" applyNumberFormat="1" applyAlignment="1">
      <alignment wrapText="1"/>
    </xf>
    <xf numFmtId="0" fontId="0" fillId="3" borderId="0" xfId="0" applyNumberFormat="1" applyFill="1" applyAlignment="1">
      <alignment wrapText="1"/>
    </xf>
    <xf numFmtId="0" fontId="0" fillId="3" borderId="0" xfId="0" applyFont="1" applyFill="1" applyAlignment="1">
      <alignment wrapText="1"/>
    </xf>
    <xf numFmtId="0" fontId="2" fillId="0" borderId="0" xfId="6" applyFont="1" applyFill="1" applyAlignment="1">
      <alignment wrapText="1"/>
    </xf>
    <xf numFmtId="0" fontId="4" fillId="0" borderId="0" xfId="6" applyFont="1" applyFill="1" applyAlignment="1">
      <alignment wrapText="1"/>
    </xf>
    <xf numFmtId="0" fontId="5" fillId="0" borderId="0" xfId="0" applyFont="1"/>
    <xf numFmtId="0" fontId="0" fillId="0" borderId="3" xfId="0" applyNumberFormat="1" applyBorder="1" applyAlignment="1"/>
    <xf numFmtId="0" fontId="0" fillId="0" borderId="0" xfId="0" applyAlignment="1"/>
    <xf numFmtId="0" fontId="6" fillId="3" borderId="0" xfId="0" applyFont="1" applyFill="1" applyAlignment="1">
      <alignment wrapText="1"/>
    </xf>
    <xf numFmtId="0" fontId="0" fillId="0" borderId="5" xfId="0" applyNumberFormat="1" applyBorder="1" applyAlignment="1"/>
    <xf numFmtId="0" fontId="0" fillId="0" borderId="8" xfId="0" applyBorder="1" applyAlignment="1"/>
    <xf numFmtId="0" fontId="0" fillId="0" borderId="0" xfId="0" applyFill="1"/>
    <xf numFmtId="0" fontId="0" fillId="4" borderId="0" xfId="0" applyFill="1"/>
    <xf numFmtId="0" fontId="6" fillId="3" borderId="0" xfId="0" applyFont="1" applyFill="1"/>
    <xf numFmtId="0" fontId="7" fillId="5" borderId="9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vertical="center" wrapText="1"/>
    </xf>
    <xf numFmtId="0" fontId="8" fillId="7" borderId="9" xfId="0" applyFont="1" applyFill="1" applyBorder="1" applyAlignment="1">
      <alignment vertical="center" wrapText="1"/>
    </xf>
    <xf numFmtId="0" fontId="9" fillId="7" borderId="9" xfId="0" applyFont="1" applyFill="1" applyBorder="1" applyAlignment="1">
      <alignment vertical="center" wrapText="1"/>
    </xf>
    <xf numFmtId="0" fontId="9" fillId="6" borderId="9" xfId="0" applyFont="1" applyFill="1" applyBorder="1" applyAlignment="1">
      <alignment vertical="center" wrapText="1"/>
    </xf>
    <xf numFmtId="0" fontId="10" fillId="5" borderId="9" xfId="0" applyFont="1" applyFill="1" applyBorder="1" applyAlignment="1">
      <alignment vertical="center" wrapText="1"/>
    </xf>
    <xf numFmtId="0" fontId="6" fillId="6" borderId="9" xfId="0" applyFont="1" applyFill="1" applyBorder="1" applyAlignment="1">
      <alignment vertical="center"/>
    </xf>
    <xf numFmtId="0" fontId="8" fillId="6" borderId="9" xfId="0" applyFont="1" applyFill="1" applyBorder="1" applyAlignment="1">
      <alignment horizontal="left" vertical="center" wrapText="1"/>
    </xf>
    <xf numFmtId="0" fontId="6" fillId="6" borderId="9" xfId="0" applyFont="1" applyFill="1" applyBorder="1"/>
    <xf numFmtId="0" fontId="11" fillId="8" borderId="10" xfId="0" applyFont="1" applyFill="1" applyBorder="1" applyAlignment="1">
      <alignment vertical="top" wrapText="1"/>
    </xf>
    <xf numFmtId="0" fontId="8" fillId="7" borderId="9" xfId="0" applyFont="1" applyFill="1" applyBorder="1" applyAlignment="1">
      <alignment horizontal="left" vertical="center" wrapText="1"/>
    </xf>
    <xf numFmtId="0" fontId="11" fillId="9" borderId="10" xfId="0" applyFont="1" applyFill="1" applyBorder="1" applyAlignment="1">
      <alignment vertical="center" wrapText="1"/>
    </xf>
    <xf numFmtId="0" fontId="11" fillId="8" borderId="10" xfId="0" applyFont="1" applyFill="1" applyBorder="1" applyAlignment="1">
      <alignment vertical="center" wrapText="1"/>
    </xf>
    <xf numFmtId="0" fontId="12" fillId="9" borderId="10" xfId="0" applyFont="1" applyFill="1" applyBorder="1" applyAlignment="1">
      <alignment vertical="top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vertical="center" wrapText="1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2" xfId="0" applyFont="1" applyFill="1" applyBorder="1" applyAlignment="1">
      <alignment horizontal="center" vertical="center" wrapText="1"/>
    </xf>
    <xf numFmtId="0" fontId="0" fillId="9" borderId="10" xfId="0" applyFill="1" applyBorder="1"/>
    <xf numFmtId="0" fontId="11" fillId="9" borderId="10" xfId="0" applyFont="1" applyFill="1" applyBorder="1" applyAlignment="1">
      <alignment vertical="top" wrapText="1"/>
    </xf>
    <xf numFmtId="0" fontId="6" fillId="6" borderId="11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vertical="center" wrapText="1"/>
    </xf>
    <xf numFmtId="0" fontId="6" fillId="6" borderId="13" xfId="0" applyFont="1" applyFill="1" applyBorder="1" applyAlignment="1">
      <alignment horizontal="center" vertical="center" wrapText="1"/>
    </xf>
    <xf numFmtId="0" fontId="13" fillId="7" borderId="9" xfId="0" applyFont="1" applyFill="1" applyBorder="1" applyAlignment="1">
      <alignment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11" borderId="11" xfId="0" applyFont="1" applyFill="1" applyBorder="1" applyAlignment="1">
      <alignment horizontal="center" vertical="center"/>
    </xf>
    <xf numFmtId="0" fontId="6" fillId="11" borderId="13" xfId="0" applyFont="1" applyFill="1" applyBorder="1" applyAlignment="1">
      <alignment horizontal="center" vertical="center"/>
    </xf>
    <xf numFmtId="0" fontId="6" fillId="11" borderId="12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wrapText="1"/>
    </xf>
    <xf numFmtId="0" fontId="14" fillId="6" borderId="9" xfId="0" applyFont="1" applyFill="1" applyBorder="1" applyAlignment="1">
      <alignment vertical="center" wrapText="1"/>
    </xf>
    <xf numFmtId="0" fontId="14" fillId="7" borderId="9" xfId="0" applyFont="1" applyFill="1" applyBorder="1" applyAlignment="1">
      <alignment vertical="center" wrapText="1"/>
    </xf>
    <xf numFmtId="0" fontId="0" fillId="6" borderId="9" xfId="0" applyFill="1" applyBorder="1"/>
    <xf numFmtId="0" fontId="0" fillId="12" borderId="0" xfId="0" applyFill="1"/>
    <xf numFmtId="0" fontId="15" fillId="0" borderId="9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 wrapText="1"/>
    </xf>
    <xf numFmtId="9" fontId="16" fillId="0" borderId="15" xfId="0" applyNumberFormat="1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0" fillId="10" borderId="0" xfId="0" applyFill="1"/>
    <xf numFmtId="0" fontId="0" fillId="0" borderId="1" xfId="0" applyFont="1" applyBorder="1"/>
    <xf numFmtId="0" fontId="0" fillId="0" borderId="7" xfId="0" applyFont="1" applyBorder="1"/>
    <xf numFmtId="0" fontId="0" fillId="0" borderId="16" xfId="0" applyFont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0" xfId="0" applyBorder="1"/>
    <xf numFmtId="0" fontId="17" fillId="0" borderId="16" xfId="0" applyFont="1" applyBorder="1" applyAlignment="1">
      <alignment horizontal="center" vertical="center"/>
    </xf>
    <xf numFmtId="0" fontId="0" fillId="10" borderId="16" xfId="0" applyFill="1" applyBorder="1" applyAlignment="1">
      <alignment horizontal="center"/>
    </xf>
    <xf numFmtId="0" fontId="0" fillId="10" borderId="16" xfId="0" applyFont="1" applyFill="1" applyBorder="1" applyAlignment="1">
      <alignment horizontal="center"/>
    </xf>
    <xf numFmtId="0" fontId="0" fillId="10" borderId="16" xfId="0" applyFill="1" applyBorder="1"/>
    <xf numFmtId="0" fontId="18" fillId="0" borderId="16" xfId="0" applyFont="1" applyBorder="1" applyAlignment="1">
      <alignment horizontal="left"/>
    </xf>
    <xf numFmtId="0" fontId="19" fillId="0" borderId="16" xfId="0" applyFont="1" applyBorder="1" applyAlignment="1">
      <alignment horizontal="left"/>
    </xf>
    <xf numFmtId="0" fontId="20" fillId="0" borderId="16" xfId="0" applyFont="1" applyBorder="1" applyAlignment="1">
      <alignment horizontal="left"/>
    </xf>
    <xf numFmtId="0" fontId="0" fillId="0" borderId="0" xfId="0" applyAlignment="1">
      <alignment horizontal="justify" vertical="center"/>
    </xf>
    <xf numFmtId="0" fontId="20" fillId="0" borderId="12" xfId="0" applyFont="1" applyBorder="1" applyAlignment="1">
      <alignment horizontal="left"/>
    </xf>
    <xf numFmtId="0" fontId="20" fillId="0" borderId="15" xfId="0" applyFont="1" applyBorder="1" applyAlignment="1">
      <alignment horizontal="left"/>
    </xf>
    <xf numFmtId="180" fontId="0" fillId="0" borderId="0" xfId="0" applyNumberFormat="1"/>
    <xf numFmtId="0" fontId="16" fillId="0" borderId="0" xfId="0" applyFont="1"/>
    <xf numFmtId="0" fontId="0" fillId="0" borderId="3" xfId="0" applyFont="1" applyBorder="1"/>
    <xf numFmtId="0" fontId="21" fillId="0" borderId="0" xfId="0" applyFont="1"/>
    <xf numFmtId="0" fontId="22" fillId="0" borderId="0" xfId="0" applyFont="1" applyFill="1" applyBorder="1" applyAlignment="1"/>
    <xf numFmtId="0" fontId="12" fillId="0" borderId="0" xfId="0" applyFont="1" applyAlignment="1">
      <alignment horizontal="center" wrapText="1"/>
    </xf>
    <xf numFmtId="0" fontId="23" fillId="0" borderId="16" xfId="0" applyFont="1" applyBorder="1" applyAlignment="1">
      <alignment wrapText="1"/>
    </xf>
    <xf numFmtId="0" fontId="4" fillId="3" borderId="0" xfId="6" applyFont="1" applyFill="1" applyAlignment="1">
      <alignment wrapText="1"/>
    </xf>
    <xf numFmtId="0" fontId="24" fillId="0" borderId="0" xfId="6" applyFont="1" applyAlignment="1">
      <alignment wrapText="1"/>
    </xf>
    <xf numFmtId="0" fontId="2" fillId="0" borderId="0" xfId="6" applyFont="1" applyAlignment="1">
      <alignment wrapText="1"/>
    </xf>
    <xf numFmtId="0" fontId="25" fillId="0" borderId="0" xfId="0" applyFont="1" applyAlignment="1">
      <alignment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wrapText="1"/>
    </xf>
    <xf numFmtId="0" fontId="25" fillId="0" borderId="0" xfId="0" applyFont="1" applyAlignment="1">
      <alignment horizontal="left" wrapText="1" indent="1"/>
    </xf>
    <xf numFmtId="181" fontId="0" fillId="2" borderId="0" xfId="0" applyNumberFormat="1" applyFill="1" applyAlignment="1">
      <alignment vertical="center"/>
    </xf>
    <xf numFmtId="0" fontId="0" fillId="0" borderId="0" xfId="0" applyFill="1" applyBorder="1" applyAlignment="1">
      <alignment vertical="center"/>
    </xf>
    <xf numFmtId="181" fontId="0" fillId="0" borderId="0" xfId="0" applyNumberFormat="1" applyFill="1" applyAlignment="1">
      <alignment vertical="center"/>
    </xf>
    <xf numFmtId="0" fontId="26" fillId="0" borderId="0" xfId="0" applyFont="1"/>
    <xf numFmtId="0" fontId="12" fillId="0" borderId="0" xfId="0" applyFont="1" applyAlignment="1"/>
    <xf numFmtId="0" fontId="26" fillId="0" borderId="0" xfId="0" applyFont="1" applyAlignment="1"/>
    <xf numFmtId="0" fontId="0" fillId="0" borderId="0" xfId="0" applyNumberFormat="1" applyAlignment="1"/>
    <xf numFmtId="0" fontId="0" fillId="0" borderId="0" xfId="0" applyFill="1" applyAlignment="1">
      <alignment vertical="center"/>
    </xf>
    <xf numFmtId="182" fontId="0" fillId="0" borderId="0" xfId="0" applyNumberFormat="1" applyFill="1" applyBorder="1" applyAlignment="1">
      <alignment vertical="center"/>
    </xf>
    <xf numFmtId="0" fontId="27" fillId="0" borderId="0" xfId="0" applyFont="1"/>
    <xf numFmtId="0" fontId="6" fillId="0" borderId="0" xfId="0" applyFont="1" applyAlignment="1">
      <alignment wrapText="1"/>
    </xf>
    <xf numFmtId="0" fontId="4" fillId="0" borderId="0" xfId="6" applyFont="1" applyAlignment="1">
      <alignment wrapText="1"/>
    </xf>
    <xf numFmtId="0" fontId="6" fillId="0" borderId="0" xfId="0" applyFont="1"/>
    <xf numFmtId="0" fontId="6" fillId="0" borderId="0" xfId="0" applyFont="1" applyFill="1"/>
    <xf numFmtId="0" fontId="6" fillId="0" borderId="1" xfId="0" applyFont="1" applyBorder="1"/>
    <xf numFmtId="0" fontId="6" fillId="0" borderId="7" xfId="0" applyFont="1" applyBorder="1"/>
    <xf numFmtId="0" fontId="6" fillId="0" borderId="2" xfId="0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6" xfId="0" applyFont="1" applyBorder="1"/>
    <xf numFmtId="0" fontId="28" fillId="0" borderId="0" xfId="0" applyFont="1"/>
    <xf numFmtId="0" fontId="0" fillId="0" borderId="0" xfId="0" applyNumberFormat="1" applyFill="1" applyAlignment="1">
      <alignment wrapText="1"/>
    </xf>
    <xf numFmtId="0" fontId="4" fillId="13" borderId="0" xfId="6" applyFont="1" applyFill="1" applyAlignment="1">
      <alignment wrapText="1"/>
    </xf>
    <xf numFmtId="0" fontId="0" fillId="0" borderId="0" xfId="0" applyFill="1" applyAlignment="1"/>
    <xf numFmtId="0" fontId="29" fillId="0" borderId="0" xfId="0" applyFont="1" applyAlignment="1">
      <alignment horizontal="justify"/>
    </xf>
    <xf numFmtId="0" fontId="6" fillId="3" borderId="0" xfId="0" applyNumberFormat="1" applyFont="1" applyFill="1" applyAlignment="1">
      <alignment wrapText="1"/>
    </xf>
    <xf numFmtId="0" fontId="30" fillId="0" borderId="16" xfId="49" applyFont="1" applyBorder="1" applyAlignment="1" applyProtection="1">
      <alignment horizontal="center" vertical="center" wrapText="1"/>
      <protection locked="0"/>
    </xf>
    <xf numFmtId="0" fontId="31" fillId="0" borderId="0" xfId="0" applyFont="1" applyAlignment="1"/>
    <xf numFmtId="0" fontId="2" fillId="0" borderId="0" xfId="6" applyFont="1" applyAlignment="1"/>
    <xf numFmtId="181" fontId="0" fillId="0" borderId="0" xfId="0" applyNumberFormat="1"/>
    <xf numFmtId="181" fontId="0" fillId="0" borderId="0" xfId="0" applyNumberFormat="1" applyAlignment="1">
      <alignment vertical="center"/>
    </xf>
    <xf numFmtId="181" fontId="0" fillId="14" borderId="16" xfId="0" applyNumberFormat="1" applyFill="1" applyBorder="1" applyAlignment="1">
      <alignment vertical="center"/>
    </xf>
    <xf numFmtId="181" fontId="0" fillId="14" borderId="16" xfId="0" applyNumberFormat="1" applyFill="1" applyBorder="1"/>
    <xf numFmtId="0" fontId="0" fillId="0" borderId="0" xfId="0" applyAlignment="1">
      <alignment vertical="center"/>
    </xf>
    <xf numFmtId="0" fontId="32" fillId="0" borderId="16" xfId="0" applyFont="1" applyBorder="1" applyAlignment="1">
      <alignment wrapText="1"/>
    </xf>
    <xf numFmtId="0" fontId="33" fillId="0" borderId="16" xfId="0" applyFont="1" applyBorder="1" applyAlignment="1">
      <alignment wrapText="1"/>
    </xf>
    <xf numFmtId="0" fontId="1" fillId="0" borderId="0" xfId="6" applyNumberFormat="1" applyAlignment="1">
      <alignment vertical="center" wrapText="1"/>
    </xf>
    <xf numFmtId="0" fontId="0" fillId="3" borderId="0" xfId="0" applyFill="1" applyAlignment="1"/>
    <xf numFmtId="0" fontId="0" fillId="3" borderId="0" xfId="0" applyNumberFormat="1" applyFill="1" applyAlignment="1"/>
    <xf numFmtId="0" fontId="2" fillId="0" borderId="0" xfId="6" applyNumberFormat="1" applyFont="1" applyAlignment="1">
      <alignment vertical="center" wrapText="1"/>
    </xf>
    <xf numFmtId="0" fontId="2" fillId="6" borderId="17" xfId="6" applyFont="1" applyFill="1" applyBorder="1" applyAlignment="1">
      <alignment horizontal="center" vertical="center" wrapText="1"/>
    </xf>
    <xf numFmtId="0" fontId="3" fillId="0" borderId="0" xfId="0" applyFont="1" applyAlignment="1"/>
    <xf numFmtId="0" fontId="34" fillId="0" borderId="0" xfId="0" applyFont="1"/>
    <xf numFmtId="0" fontId="30" fillId="0" borderId="0" xfId="0" applyFont="1" applyAlignment="1">
      <alignment horizontal="center"/>
    </xf>
    <xf numFmtId="0" fontId="35" fillId="0" borderId="0" xfId="0" applyFont="1"/>
    <xf numFmtId="0" fontId="36" fillId="15" borderId="18" xfId="0" applyFont="1" applyFill="1" applyBorder="1" applyAlignment="1">
      <alignment vertical="center"/>
    </xf>
    <xf numFmtId="0" fontId="36" fillId="15" borderId="18" xfId="0" applyFont="1" applyFill="1" applyBorder="1" applyAlignment="1">
      <alignment vertical="center" wrapText="1"/>
    </xf>
    <xf numFmtId="0" fontId="0" fillId="0" borderId="16" xfId="0" applyFont="1" applyBorder="1"/>
    <xf numFmtId="0" fontId="37" fillId="6" borderId="19" xfId="0" applyFont="1" applyFill="1" applyBorder="1" applyAlignment="1">
      <alignment horizontal="center" wrapText="1"/>
    </xf>
    <xf numFmtId="0" fontId="37" fillId="6" borderId="20" xfId="0" applyFont="1" applyFill="1" applyBorder="1" applyAlignment="1">
      <alignment horizontal="center" wrapText="1"/>
    </xf>
    <xf numFmtId="0" fontId="38" fillId="6" borderId="21" xfId="0" applyFont="1" applyFill="1" applyBorder="1" applyAlignment="1">
      <alignment wrapText="1"/>
    </xf>
    <xf numFmtId="0" fontId="38" fillId="6" borderId="4" xfId="0" applyFont="1" applyFill="1" applyBorder="1" applyAlignment="1">
      <alignment wrapText="1"/>
    </xf>
    <xf numFmtId="0" fontId="38" fillId="6" borderId="6" xfId="0" applyFont="1" applyFill="1" applyBorder="1" applyAlignment="1">
      <alignment wrapText="1"/>
    </xf>
    <xf numFmtId="0" fontId="38" fillId="6" borderId="22" xfId="0" applyFont="1" applyFill="1" applyBorder="1" applyAlignment="1">
      <alignment wrapText="1"/>
    </xf>
    <xf numFmtId="0" fontId="0" fillId="6" borderId="21" xfId="0" applyFill="1" applyBorder="1"/>
    <xf numFmtId="0" fontId="0" fillId="6" borderId="6" xfId="0" applyFill="1" applyBorder="1"/>
    <xf numFmtId="0" fontId="20" fillId="6" borderId="23" xfId="0" applyFont="1" applyFill="1" applyBorder="1" applyAlignment="1">
      <alignment horizontal="center" vertical="center" wrapText="1"/>
    </xf>
    <xf numFmtId="0" fontId="37" fillId="6" borderId="22" xfId="0" applyFont="1" applyFill="1" applyBorder="1" applyAlignment="1">
      <alignment horizontal="center" wrapText="1"/>
    </xf>
    <xf numFmtId="0" fontId="39" fillId="6" borderId="24" xfId="0" applyFont="1" applyFill="1" applyBorder="1" applyAlignment="1">
      <alignment horizontal="center" vertical="center"/>
    </xf>
    <xf numFmtId="0" fontId="39" fillId="6" borderId="24" xfId="0" applyFont="1" applyFill="1" applyBorder="1" applyAlignment="1">
      <alignment horizontal="center" vertical="center" wrapText="1"/>
    </xf>
    <xf numFmtId="0" fontId="40" fillId="6" borderId="21" xfId="0" applyFont="1" applyFill="1" applyBorder="1" applyAlignment="1">
      <alignment wrapText="1"/>
    </xf>
    <xf numFmtId="0" fontId="41" fillId="6" borderId="6" xfId="0" applyFont="1" applyFill="1" applyBorder="1" applyAlignment="1">
      <alignment wrapText="1"/>
    </xf>
    <xf numFmtId="0" fontId="38" fillId="6" borderId="0" xfId="0" applyFont="1" applyFill="1" applyAlignment="1">
      <alignment wrapText="1"/>
    </xf>
    <xf numFmtId="0" fontId="42" fillId="6" borderId="8" xfId="0" applyFont="1" applyFill="1" applyBorder="1" applyAlignment="1">
      <alignment wrapText="1"/>
    </xf>
    <xf numFmtId="0" fontId="43" fillId="16" borderId="25" xfId="0" applyFont="1" applyFill="1" applyBorder="1" applyAlignment="1">
      <alignment wrapText="1"/>
    </xf>
    <xf numFmtId="0" fontId="43" fillId="16" borderId="2" xfId="0" applyFont="1" applyFill="1" applyBorder="1" applyAlignment="1">
      <alignment wrapText="1"/>
    </xf>
    <xf numFmtId="0" fontId="44" fillId="16" borderId="22" xfId="0" applyFont="1" applyFill="1" applyBorder="1" applyAlignment="1">
      <alignment wrapText="1"/>
    </xf>
    <xf numFmtId="0" fontId="43" fillId="16" borderId="7" xfId="0" applyFont="1" applyFill="1" applyBorder="1" applyAlignment="1">
      <alignment wrapText="1"/>
    </xf>
    <xf numFmtId="0" fontId="45" fillId="16" borderId="26" xfId="0" applyFont="1" applyFill="1" applyBorder="1" applyAlignment="1">
      <alignment wrapText="1"/>
    </xf>
    <xf numFmtId="0" fontId="45" fillId="16" borderId="4" xfId="0" applyFont="1" applyFill="1" applyBorder="1" applyAlignment="1">
      <alignment wrapText="1"/>
    </xf>
    <xf numFmtId="0" fontId="45" fillId="16" borderId="0" xfId="0" applyFont="1" applyFill="1" applyAlignment="1">
      <alignment wrapText="1"/>
    </xf>
    <xf numFmtId="0" fontId="0" fillId="0" borderId="21" xfId="0" applyBorder="1"/>
    <xf numFmtId="0" fontId="43" fillId="16" borderId="8" xfId="0" applyFont="1" applyFill="1" applyBorder="1" applyAlignment="1">
      <alignment wrapText="1"/>
    </xf>
    <xf numFmtId="0" fontId="43" fillId="16" borderId="6" xfId="0" applyFont="1" applyFill="1" applyBorder="1" applyAlignment="1">
      <alignment wrapText="1"/>
    </xf>
    <xf numFmtId="0" fontId="46" fillId="0" borderId="21" xfId="0" applyFont="1" applyBorder="1" applyAlignment="1">
      <alignment wrapText="1"/>
    </xf>
    <xf numFmtId="0" fontId="46" fillId="0" borderId="4" xfId="0" applyFont="1" applyBorder="1" applyAlignment="1">
      <alignment wrapText="1"/>
    </xf>
    <xf numFmtId="0" fontId="46" fillId="0" borderId="6" xfId="0" applyFont="1" applyBorder="1" applyAlignment="1">
      <alignment wrapText="1"/>
    </xf>
    <xf numFmtId="0" fontId="46" fillId="0" borderId="22" xfId="0" applyFont="1" applyBorder="1" applyAlignment="1">
      <alignment wrapText="1"/>
    </xf>
    <xf numFmtId="0" fontId="38" fillId="0" borderId="21" xfId="0" applyFont="1" applyBorder="1" applyAlignment="1">
      <alignment wrapText="1"/>
    </xf>
    <xf numFmtId="0" fontId="38" fillId="0" borderId="6" xfId="0" applyFont="1" applyBorder="1" applyAlignment="1">
      <alignment wrapText="1"/>
    </xf>
    <xf numFmtId="0" fontId="38" fillId="0" borderId="26" xfId="0" applyFont="1" applyBorder="1" applyAlignment="1">
      <alignment wrapText="1"/>
    </xf>
    <xf numFmtId="0" fontId="38" fillId="0" borderId="4" xfId="0" applyFont="1" applyBorder="1" applyAlignment="1">
      <alignment wrapText="1"/>
    </xf>
    <xf numFmtId="0" fontId="0" fillId="0" borderId="26" xfId="0" applyBorder="1"/>
    <xf numFmtId="0" fontId="46" fillId="0" borderId="0" xfId="0" applyFont="1"/>
    <xf numFmtId="0" fontId="38" fillId="0" borderId="0" xfId="0" applyFont="1"/>
    <xf numFmtId="0" fontId="47" fillId="17" borderId="16" xfId="0" applyFont="1" applyFill="1" applyBorder="1" applyAlignment="1">
      <alignment horizontal="center" wrapText="1"/>
    </xf>
    <xf numFmtId="0" fontId="47" fillId="17" borderId="27" xfId="0" applyFont="1" applyFill="1" applyBorder="1" applyAlignment="1">
      <alignment horizontal="center" wrapText="1"/>
    </xf>
    <xf numFmtId="0" fontId="47" fillId="17" borderId="28" xfId="0" applyFont="1" applyFill="1" applyBorder="1" applyAlignment="1">
      <alignment horizontal="center" wrapText="1"/>
    </xf>
    <xf numFmtId="0" fontId="38" fillId="0" borderId="16" xfId="0" applyFont="1" applyBorder="1" applyAlignment="1">
      <alignment horizontal="center" wrapText="1"/>
    </xf>
    <xf numFmtId="0" fontId="41" fillId="0" borderId="16" xfId="0" applyFont="1" applyBorder="1" applyAlignment="1">
      <alignment horizontal="center" wrapText="1"/>
    </xf>
    <xf numFmtId="0" fontId="48" fillId="18" borderId="16" xfId="0" applyFont="1" applyFill="1" applyBorder="1" applyAlignment="1">
      <alignment horizontal="center" wrapText="1"/>
    </xf>
    <xf numFmtId="0" fontId="38" fillId="18" borderId="16" xfId="0" applyFont="1" applyFill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0" fillId="0" borderId="0" xfId="0" applyFont="1" applyAlignment="1"/>
    <xf numFmtId="0" fontId="49" fillId="0" borderId="0" xfId="0" applyFont="1" applyAlignment="1"/>
    <xf numFmtId="0" fontId="25" fillId="0" borderId="0" xfId="0" applyFont="1" applyAlignment="1"/>
    <xf numFmtId="0" fontId="20" fillId="0" borderId="0" xfId="0" applyFont="1" applyAlignment="1"/>
    <xf numFmtId="0" fontId="0" fillId="6" borderId="0" xfId="0" applyFill="1" applyAlignment="1"/>
    <xf numFmtId="0" fontId="42" fillId="6" borderId="6" xfId="0" applyFont="1" applyFill="1" applyBorder="1" applyAlignment="1">
      <alignment wrapText="1"/>
    </xf>
    <xf numFmtId="0" fontId="0" fillId="0" borderId="16" xfId="0" applyBorder="1"/>
    <xf numFmtId="181" fontId="0" fillId="0" borderId="16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181" fontId="0" fillId="2" borderId="16" xfId="0" applyNumberFormat="1" applyFill="1" applyBorder="1" applyAlignment="1">
      <alignment horizontal="center"/>
    </xf>
    <xf numFmtId="181" fontId="0" fillId="0" borderId="16" xfId="0" applyNumberFormat="1" applyFill="1" applyBorder="1" applyAlignment="1">
      <alignment horizontal="center"/>
    </xf>
    <xf numFmtId="181" fontId="0" fillId="0" borderId="28" xfId="0" applyNumberFormat="1" applyBorder="1" applyAlignment="1">
      <alignment horizontal="center"/>
    </xf>
    <xf numFmtId="0" fontId="49" fillId="0" borderId="0" xfId="0" applyFont="1"/>
    <xf numFmtId="0" fontId="50" fillId="0" borderId="0" xfId="0" applyFont="1"/>
    <xf numFmtId="0" fontId="50" fillId="0" borderId="16" xfId="0" applyFont="1" applyBorder="1"/>
    <xf numFmtId="0" fontId="0" fillId="0" borderId="16" xfId="0" applyBorder="1" applyAlignment="1"/>
    <xf numFmtId="181" fontId="0" fillId="2" borderId="29" xfId="0" applyNumberFormat="1" applyFill="1" applyBorder="1" applyAlignment="1">
      <alignment horizontal="center"/>
    </xf>
    <xf numFmtId="181" fontId="0" fillId="0" borderId="29" xfId="0" applyNumberFormat="1" applyFill="1" applyBorder="1" applyAlignment="1">
      <alignment horizontal="center"/>
    </xf>
    <xf numFmtId="0" fontId="51" fillId="0" borderId="30" xfId="0" applyFont="1" applyBorder="1" applyAlignment="1">
      <alignment horizontal="center" wrapText="1"/>
    </xf>
    <xf numFmtId="0" fontId="20" fillId="6" borderId="17" xfId="0" applyFont="1" applyFill="1" applyBorder="1" applyAlignment="1">
      <alignment horizontal="left" vertical="center"/>
    </xf>
    <xf numFmtId="0" fontId="20" fillId="6" borderId="17" xfId="0" applyFont="1" applyFill="1" applyBorder="1" applyAlignment="1">
      <alignment horizontal="center" vertical="center"/>
    </xf>
    <xf numFmtId="0" fontId="1" fillId="6" borderId="17" xfId="6" applyFill="1" applyBorder="1" applyAlignment="1">
      <alignment horizontal="left" vertical="center"/>
    </xf>
    <xf numFmtId="0" fontId="20" fillId="6" borderId="17" xfId="0" applyFont="1" applyFill="1" applyBorder="1" applyAlignment="1">
      <alignment horizontal="left" vertical="center" wrapText="1"/>
    </xf>
    <xf numFmtId="0" fontId="20" fillId="6" borderId="31" xfId="0" applyFont="1" applyFill="1" applyBorder="1" applyAlignment="1">
      <alignment horizontal="center" vertical="center"/>
    </xf>
    <xf numFmtId="0" fontId="20" fillId="6" borderId="31" xfId="0" applyFont="1" applyFill="1" applyBorder="1" applyAlignment="1">
      <alignment horizontal="center" vertical="center" wrapText="1"/>
    </xf>
    <xf numFmtId="0" fontId="20" fillId="6" borderId="17" xfId="0" applyFont="1" applyFill="1" applyBorder="1" applyAlignment="1">
      <alignment horizontal="center" vertical="center" wrapText="1"/>
    </xf>
    <xf numFmtId="0" fontId="20" fillId="6" borderId="32" xfId="0" applyFont="1" applyFill="1" applyBorder="1" applyAlignment="1">
      <alignment horizontal="center" vertical="center"/>
    </xf>
    <xf numFmtId="0" fontId="20" fillId="6" borderId="32" xfId="0" applyFont="1" applyFill="1" applyBorder="1" applyAlignment="1">
      <alignment horizontal="center" vertical="center" wrapText="1"/>
    </xf>
    <xf numFmtId="0" fontId="52" fillId="0" borderId="0" xfId="0" applyFont="1"/>
    <xf numFmtId="0" fontId="29" fillId="0" borderId="0" xfId="0" applyFont="1" applyAlignment="1">
      <alignment horizontal="center" vertical="center"/>
    </xf>
    <xf numFmtId="0" fontId="53" fillId="2" borderId="0" xfId="0" applyFont="1" applyFill="1"/>
    <xf numFmtId="0" fontId="27" fillId="2" borderId="0" xfId="0" applyFont="1" applyFill="1"/>
    <xf numFmtId="0" fontId="2" fillId="2" borderId="0" xfId="6" applyFont="1" applyFill="1" applyAlignment="1"/>
    <xf numFmtId="0" fontId="54" fillId="2" borderId="0" xfId="0" applyFont="1" applyFill="1"/>
    <xf numFmtId="0" fontId="12" fillId="0" borderId="0" xfId="0" applyFont="1" applyAlignment="1">
      <alignment wrapText="1"/>
    </xf>
    <xf numFmtId="0" fontId="24" fillId="2" borderId="0" xfId="6" applyFont="1" applyFill="1" applyAlignment="1">
      <alignment wrapText="1"/>
    </xf>
    <xf numFmtId="0" fontId="55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20" fillId="2" borderId="17" xfId="0" applyFont="1" applyFill="1" applyBorder="1" applyAlignment="1">
      <alignment horizontal="left" vertical="center"/>
    </xf>
    <xf numFmtId="0" fontId="20" fillId="6" borderId="0" xfId="0" applyFont="1" applyFill="1" applyAlignment="1">
      <alignment horizontal="center" vertical="center" wrapText="1"/>
    </xf>
    <xf numFmtId="0" fontId="0" fillId="3" borderId="0" xfId="0" applyFill="1"/>
    <xf numFmtId="0" fontId="2" fillId="0" borderId="16" xfId="6" applyFont="1" applyBorder="1" applyAlignment="1">
      <alignment horizontal="center" vertical="center"/>
    </xf>
    <xf numFmtId="0" fontId="2" fillId="2" borderId="0" xfId="6" applyNumberFormat="1" applyFont="1" applyFill="1" applyAlignment="1">
      <alignment vertical="center" wrapText="1"/>
    </xf>
    <xf numFmtId="0" fontId="2" fillId="2" borderId="17" xfId="6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17" fontId="0" fillId="0" borderId="0" xfId="0" applyNumberFormat="1"/>
    <xf numFmtId="0" fontId="2" fillId="0" borderId="16" xfId="6" applyFont="1" applyBorder="1" applyAlignment="1"/>
    <xf numFmtId="0" fontId="2" fillId="0" borderId="16" xfId="6" applyNumberFormat="1" applyFont="1" applyBorder="1" applyAlignment="1">
      <alignment vertical="center" wrapText="1"/>
    </xf>
    <xf numFmtId="9" fontId="0" fillId="0" borderId="0" xfId="0" applyNumberFormat="1"/>
    <xf numFmtId="58" fontId="0" fillId="0" borderId="1" xfId="0" applyNumberFormat="1" applyBorder="1"/>
    <xf numFmtId="17" fontId="0" fillId="0" borderId="4" xfId="0" applyNumberFormat="1" applyBorder="1"/>
    <xf numFmtId="16" fontId="0" fillId="0" borderId="7" xfId="0" applyNumberFormat="1" applyBorder="1"/>
    <xf numFmtId="0" fontId="0" fillId="3" borderId="8" xfId="0" applyFill="1" applyBorder="1"/>
    <xf numFmtId="0" fontId="56" fillId="0" borderId="0" xfId="0" applyFont="1"/>
    <xf numFmtId="0" fontId="2" fillId="2" borderId="0" xfId="6" applyFont="1" applyFill="1"/>
    <xf numFmtId="0" fontId="25" fillId="0" borderId="0" xfId="0" applyFont="1"/>
    <xf numFmtId="0" fontId="57" fillId="0" borderId="0" xfId="0" applyFont="1"/>
    <xf numFmtId="0" fontId="2" fillId="3" borderId="0" xfId="6" applyFont="1" applyFill="1" applyAlignment="1"/>
    <xf numFmtId="0" fontId="2" fillId="3" borderId="17" xfId="6" applyFont="1" applyFill="1" applyBorder="1" applyAlignment="1">
      <alignment horizontal="center" vertical="center" wrapText="1"/>
    </xf>
    <xf numFmtId="0" fontId="26" fillId="0" borderId="3" xfId="0" applyFont="1" applyBorder="1"/>
    <xf numFmtId="0" fontId="26" fillId="0" borderId="3" xfId="0" applyFont="1" applyBorder="1" applyAlignment="1"/>
    <xf numFmtId="0" fontId="29" fillId="0" borderId="3" xfId="0" applyFont="1" applyBorder="1" applyAlignment="1">
      <alignment horizontal="justify"/>
    </xf>
    <xf numFmtId="49" fontId="0" fillId="0" borderId="0" xfId="0" applyNumberFormat="1" applyFont="1" applyFill="1" applyAlignment="1"/>
    <xf numFmtId="0" fontId="0" fillId="0" borderId="0" xfId="0" applyNumberFormat="1" applyFont="1" applyFill="1" applyAlignment="1"/>
    <xf numFmtId="0" fontId="0" fillId="0" borderId="0" xfId="0" applyNumberFormat="1" applyFill="1" applyAlignment="1"/>
    <xf numFmtId="0" fontId="2" fillId="6" borderId="33" xfId="6" applyFont="1" applyFill="1" applyBorder="1" applyAlignment="1">
      <alignment horizontal="center" vertical="center" wrapText="1"/>
    </xf>
    <xf numFmtId="0" fontId="0" fillId="2" borderId="0" xfId="0" applyNumberFormat="1" applyFont="1" applyFill="1" applyAlignment="1"/>
    <xf numFmtId="0" fontId="0" fillId="0" borderId="0" xfId="0" quotePrefix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'I0380A 6S'!$D$61</c:f>
              <c:strCache>
                <c:ptCount val="1"/>
                <c:pt idx="0">
                  <c:v>U1-13</c:v>
                </c:pt>
              </c:strCache>
            </c:strRef>
          </c:tx>
          <c:spPr>
            <a:ln w="28575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'I0380A 6S'!$C$62:$C$73</c:f>
              <c:strCache>
                <c:ptCount val="12"/>
                <c:pt idx="0" c:formatCode="0.00_ ">
                  <c:v>'23-09-07 18:42:13.991</c:v>
                </c:pt>
                <c:pt idx="1" c:formatCode="0.00_ ">
                  <c:v>'23-09-07 18:42:53.991</c:v>
                </c:pt>
                <c:pt idx="2" c:formatCode="0.00_ ">
                  <c:v>'23-09-07 18:43:31.991</c:v>
                </c:pt>
                <c:pt idx="3" c:formatCode="0.00_ ">
                  <c:v>'23-09-07 18:44:31.991</c:v>
                </c:pt>
                <c:pt idx="4" c:formatCode="0.00_ ">
                  <c:v>'23-09-07 18:45:31.991</c:v>
                </c:pt>
                <c:pt idx="5" c:formatCode="0.00_ ">
                  <c:v>'23-09-07 18:46:31.991</c:v>
                </c:pt>
                <c:pt idx="6" c:formatCode="0.00_ ">
                  <c:v>'23-09-07 18:47:31.991</c:v>
                </c:pt>
                <c:pt idx="7" c:formatCode="0.00_ ">
                  <c:v>'23-09-07 18:48:31.991</c:v>
                </c:pt>
                <c:pt idx="8" c:formatCode="0.00_ ">
                  <c:v>'23-09-07 18:50:01.991</c:v>
                </c:pt>
                <c:pt idx="9" c:formatCode="0.00_ ">
                  <c:v>'23-09-07 18:52:01.991</c:v>
                </c:pt>
                <c:pt idx="10" c:formatCode="0.00_ ">
                  <c:v>'23-09-07 18:54:03.991</c:v>
                </c:pt>
                <c:pt idx="11" c:formatCode="0.00_ ">
                  <c:v>'23-09-07 18:56:01.991</c:v>
                </c:pt>
              </c:strCache>
            </c:strRef>
          </c:cat>
          <c:val>
            <c:numRef>
              <c:f>'I0380A 6S'!$D$62:$D$73</c:f>
              <c:numCache>
                <c:formatCode>0.00_ </c:formatCode>
                <c:ptCount val="12"/>
                <c:pt idx="0">
                  <c:v>88.85</c:v>
                </c:pt>
                <c:pt idx="1">
                  <c:v>88.35</c:v>
                </c:pt>
                <c:pt idx="2">
                  <c:v>87.25</c:v>
                </c:pt>
                <c:pt idx="3">
                  <c:v>85.15</c:v>
                </c:pt>
                <c:pt idx="4">
                  <c:v>82.9</c:v>
                </c:pt>
                <c:pt idx="5">
                  <c:v>80.75</c:v>
                </c:pt>
                <c:pt idx="6">
                  <c:v>78.65</c:v>
                </c:pt>
                <c:pt idx="7">
                  <c:v>76.7</c:v>
                </c:pt>
                <c:pt idx="8">
                  <c:v>73.85</c:v>
                </c:pt>
                <c:pt idx="9">
                  <c:v>70.35</c:v>
                </c:pt>
                <c:pt idx="10">
                  <c:v>67</c:v>
                </c:pt>
                <c:pt idx="11">
                  <c:v>64.1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'I0380A 6S'!$E$61</c:f>
              <c:strCache>
                <c:ptCount val="1"/>
                <c:pt idx="0">
                  <c:v>U1-14</c:v>
                </c:pt>
              </c:strCache>
            </c:strRef>
          </c:tx>
          <c:spPr>
            <a:ln w="28575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'I0380A 6S'!$C$62:$C$73</c:f>
              <c:strCache>
                <c:ptCount val="12"/>
                <c:pt idx="0" c:formatCode="0.00_ ">
                  <c:v>'23-09-07 18:42:13.991</c:v>
                </c:pt>
                <c:pt idx="1" c:formatCode="0.00_ ">
                  <c:v>'23-09-07 18:42:53.991</c:v>
                </c:pt>
                <c:pt idx="2" c:formatCode="0.00_ ">
                  <c:v>'23-09-07 18:43:31.991</c:v>
                </c:pt>
                <c:pt idx="3" c:formatCode="0.00_ ">
                  <c:v>'23-09-07 18:44:31.991</c:v>
                </c:pt>
                <c:pt idx="4" c:formatCode="0.00_ ">
                  <c:v>'23-09-07 18:45:31.991</c:v>
                </c:pt>
                <c:pt idx="5" c:formatCode="0.00_ ">
                  <c:v>'23-09-07 18:46:31.991</c:v>
                </c:pt>
                <c:pt idx="6" c:formatCode="0.00_ ">
                  <c:v>'23-09-07 18:47:31.991</c:v>
                </c:pt>
                <c:pt idx="7" c:formatCode="0.00_ ">
                  <c:v>'23-09-07 18:48:31.991</c:v>
                </c:pt>
                <c:pt idx="8" c:formatCode="0.00_ ">
                  <c:v>'23-09-07 18:50:01.991</c:v>
                </c:pt>
                <c:pt idx="9" c:formatCode="0.00_ ">
                  <c:v>'23-09-07 18:52:01.991</c:v>
                </c:pt>
                <c:pt idx="10" c:formatCode="0.00_ ">
                  <c:v>'23-09-07 18:54:03.991</c:v>
                </c:pt>
                <c:pt idx="11" c:formatCode="0.00_ ">
                  <c:v>'23-09-07 18:56:01.991</c:v>
                </c:pt>
              </c:strCache>
            </c:strRef>
          </c:cat>
          <c:val>
            <c:numRef>
              <c:f>'I0380A 6S'!$E$62:$E$73</c:f>
              <c:numCache>
                <c:formatCode>0.00_ </c:formatCode>
                <c:ptCount val="12"/>
                <c:pt idx="0">
                  <c:v>67.85</c:v>
                </c:pt>
                <c:pt idx="1">
                  <c:v>68.05</c:v>
                </c:pt>
                <c:pt idx="2">
                  <c:v>67.65</c:v>
                </c:pt>
                <c:pt idx="3">
                  <c:v>66.7</c:v>
                </c:pt>
                <c:pt idx="4">
                  <c:v>65.5</c:v>
                </c:pt>
                <c:pt idx="5">
                  <c:v>64.35</c:v>
                </c:pt>
                <c:pt idx="6">
                  <c:v>63.2</c:v>
                </c:pt>
                <c:pt idx="7">
                  <c:v>62.05</c:v>
                </c:pt>
                <c:pt idx="8">
                  <c:v>60.35</c:v>
                </c:pt>
                <c:pt idx="9">
                  <c:v>58.2</c:v>
                </c:pt>
                <c:pt idx="10">
                  <c:v>56.05</c:v>
                </c:pt>
                <c:pt idx="11">
                  <c:v>54.1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'I0380A 6S'!$F$61</c:f>
              <c:strCache>
                <c:ptCount val="1"/>
                <c:pt idx="0">
                  <c:v>TH1</c:v>
                </c:pt>
              </c:strCache>
            </c:strRef>
          </c:tx>
          <c:spPr>
            <a:ln w="28575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'I0380A 6S'!$C$62:$C$73</c:f>
              <c:strCache>
                <c:ptCount val="12"/>
                <c:pt idx="0" c:formatCode="0.00_ ">
                  <c:v>'23-09-07 18:42:13.991</c:v>
                </c:pt>
                <c:pt idx="1" c:formatCode="0.00_ ">
                  <c:v>'23-09-07 18:42:53.991</c:v>
                </c:pt>
                <c:pt idx="2" c:formatCode="0.00_ ">
                  <c:v>'23-09-07 18:43:31.991</c:v>
                </c:pt>
                <c:pt idx="3" c:formatCode="0.00_ ">
                  <c:v>'23-09-07 18:44:31.991</c:v>
                </c:pt>
                <c:pt idx="4" c:formatCode="0.00_ ">
                  <c:v>'23-09-07 18:45:31.991</c:v>
                </c:pt>
                <c:pt idx="5" c:formatCode="0.00_ ">
                  <c:v>'23-09-07 18:46:31.991</c:v>
                </c:pt>
                <c:pt idx="6" c:formatCode="0.00_ ">
                  <c:v>'23-09-07 18:47:31.991</c:v>
                </c:pt>
                <c:pt idx="7" c:formatCode="0.00_ ">
                  <c:v>'23-09-07 18:48:31.991</c:v>
                </c:pt>
                <c:pt idx="8" c:formatCode="0.00_ ">
                  <c:v>'23-09-07 18:50:01.991</c:v>
                </c:pt>
                <c:pt idx="9" c:formatCode="0.00_ ">
                  <c:v>'23-09-07 18:52:01.991</c:v>
                </c:pt>
                <c:pt idx="10" c:formatCode="0.00_ ">
                  <c:v>'23-09-07 18:54:03.991</c:v>
                </c:pt>
                <c:pt idx="11" c:formatCode="0.00_ ">
                  <c:v>'23-09-07 18:56:01.991</c:v>
                </c:pt>
              </c:strCache>
            </c:strRef>
          </c:cat>
          <c:val>
            <c:numRef>
              <c:f>'I0380A 6S'!$F$62:$F$73</c:f>
              <c:numCache>
                <c:formatCode>General</c:formatCode>
                <c:ptCount val="12"/>
                <c:pt idx="0">
                  <c:v>44.3</c:v>
                </c:pt>
                <c:pt idx="1">
                  <c:v>49.6</c:v>
                </c:pt>
                <c:pt idx="2">
                  <c:v>51.9</c:v>
                </c:pt>
                <c:pt idx="3">
                  <c:v>56.5</c:v>
                </c:pt>
                <c:pt idx="4">
                  <c:v>59.6</c:v>
                </c:pt>
                <c:pt idx="5">
                  <c:v>60.5</c:v>
                </c:pt>
                <c:pt idx="6">
                  <c:v>60.7</c:v>
                </c:pt>
                <c:pt idx="7">
                  <c:v>60.4</c:v>
                </c:pt>
                <c:pt idx="8">
                  <c:v>59.6</c:v>
                </c:pt>
                <c:pt idx="9">
                  <c:v>58.3</c:v>
                </c:pt>
                <c:pt idx="10">
                  <c:v>56.7</c:v>
                </c:pt>
                <c:pt idx="11">
                  <c:v>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'I0380A 6S'!$G$61</c:f>
              <c:strCache>
                <c:ptCount val="1"/>
                <c:pt idx="0">
                  <c:v>TH2</c:v>
                </c:pt>
              </c:strCache>
            </c:strRef>
          </c:tx>
          <c:spPr>
            <a:ln w="28575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'I0380A 6S'!$C$62:$C$73</c:f>
              <c:strCache>
                <c:ptCount val="12"/>
                <c:pt idx="0" c:formatCode="0.00_ ">
                  <c:v>'23-09-07 18:42:13.991</c:v>
                </c:pt>
                <c:pt idx="1" c:formatCode="0.00_ ">
                  <c:v>'23-09-07 18:42:53.991</c:v>
                </c:pt>
                <c:pt idx="2" c:formatCode="0.00_ ">
                  <c:v>'23-09-07 18:43:31.991</c:v>
                </c:pt>
                <c:pt idx="3" c:formatCode="0.00_ ">
                  <c:v>'23-09-07 18:44:31.991</c:v>
                </c:pt>
                <c:pt idx="4" c:formatCode="0.00_ ">
                  <c:v>'23-09-07 18:45:31.991</c:v>
                </c:pt>
                <c:pt idx="5" c:formatCode="0.00_ ">
                  <c:v>'23-09-07 18:46:31.991</c:v>
                </c:pt>
                <c:pt idx="6" c:formatCode="0.00_ ">
                  <c:v>'23-09-07 18:47:31.991</c:v>
                </c:pt>
                <c:pt idx="7" c:formatCode="0.00_ ">
                  <c:v>'23-09-07 18:48:31.991</c:v>
                </c:pt>
                <c:pt idx="8" c:formatCode="0.00_ ">
                  <c:v>'23-09-07 18:50:01.991</c:v>
                </c:pt>
                <c:pt idx="9" c:formatCode="0.00_ ">
                  <c:v>'23-09-07 18:52:01.991</c:v>
                </c:pt>
                <c:pt idx="10" c:formatCode="0.00_ ">
                  <c:v>'23-09-07 18:54:03.991</c:v>
                </c:pt>
                <c:pt idx="11" c:formatCode="0.00_ ">
                  <c:v>'23-09-07 18:56:01.991</c:v>
                </c:pt>
              </c:strCache>
            </c:strRef>
          </c:cat>
          <c:val>
            <c:numRef>
              <c:f>'I0380A 6S'!$G$62:$G$73</c:f>
              <c:numCache>
                <c:formatCode>General</c:formatCode>
                <c:ptCount val="12"/>
                <c:pt idx="0">
                  <c:v>58.4</c:v>
                </c:pt>
                <c:pt idx="1">
                  <c:v>66.6</c:v>
                </c:pt>
                <c:pt idx="2">
                  <c:v>70</c:v>
                </c:pt>
                <c:pt idx="3">
                  <c:v>77.7</c:v>
                </c:pt>
                <c:pt idx="4">
                  <c:v>80</c:v>
                </c:pt>
                <c:pt idx="5">
                  <c:v>80</c:v>
                </c:pt>
                <c:pt idx="6">
                  <c:v>78.9</c:v>
                </c:pt>
                <c:pt idx="7">
                  <c:v>77</c:v>
                </c:pt>
                <c:pt idx="8">
                  <c:v>74.1</c:v>
                </c:pt>
                <c:pt idx="9">
                  <c:v>70.7</c:v>
                </c:pt>
                <c:pt idx="10">
                  <c:v>67.5</c:v>
                </c:pt>
                <c:pt idx="11">
                  <c:v>64.1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262244992"/>
        <c:axId val="262267648"/>
      </c:lineChart>
      <c:catAx>
        <c:axId val="262244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62267648"/>
        <c:crosses val="autoZero"/>
        <c:auto val="1"/>
        <c:lblAlgn val="ctr"/>
        <c:lblOffset val="100"/>
        <c:noMultiLvlLbl val="0"/>
      </c:catAx>
      <c:valAx>
        <c:axId val="26226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6224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prstDash val="solid"/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Sheet3!$F$1:$F$7</c:f>
              <c:strCache>
                <c:ptCount val="1"/>
                <c:pt idx="0">
                  <c:v/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Sheet3!$F$8:$F$137</c:f>
              <c:numCache>
                <c:formatCode>General</c:formatCode>
                <c:ptCount val="130"/>
                <c:pt idx="0">
                  <c:v>0</c:v>
                </c:pt>
                <c:pt idx="1">
                  <c:v>99</c:v>
                </c:pt>
                <c:pt idx="2">
                  <c:v>99</c:v>
                </c:pt>
                <c:pt idx="3">
                  <c:v>98</c:v>
                </c:pt>
                <c:pt idx="4">
                  <c:v>98</c:v>
                </c:pt>
                <c:pt idx="5">
                  <c:v>98</c:v>
                </c:pt>
                <c:pt idx="6">
                  <c:v>98</c:v>
                </c:pt>
                <c:pt idx="7">
                  <c:v>97</c:v>
                </c:pt>
                <c:pt idx="8">
                  <c:v>97</c:v>
                </c:pt>
                <c:pt idx="9">
                  <c:v>97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94</c:v>
                </c:pt>
                <c:pt idx="19">
                  <c:v>94</c:v>
                </c:pt>
                <c:pt idx="20">
                  <c:v>94</c:v>
                </c:pt>
                <c:pt idx="21">
                  <c:v>94</c:v>
                </c:pt>
                <c:pt idx="22">
                  <c:v>93</c:v>
                </c:pt>
                <c:pt idx="23">
                  <c:v>93</c:v>
                </c:pt>
                <c:pt idx="24">
                  <c:v>93</c:v>
                </c:pt>
                <c:pt idx="25">
                  <c:v>92</c:v>
                </c:pt>
                <c:pt idx="26">
                  <c:v>92</c:v>
                </c:pt>
                <c:pt idx="27">
                  <c:v>92</c:v>
                </c:pt>
                <c:pt idx="28">
                  <c:v>92</c:v>
                </c:pt>
                <c:pt idx="29">
                  <c:v>91</c:v>
                </c:pt>
                <c:pt idx="30">
                  <c:v>91</c:v>
                </c:pt>
                <c:pt idx="31">
                  <c:v>91</c:v>
                </c:pt>
                <c:pt idx="32">
                  <c:v>90</c:v>
                </c:pt>
                <c:pt idx="33">
                  <c:v>90</c:v>
                </c:pt>
                <c:pt idx="34">
                  <c:v>90</c:v>
                </c:pt>
                <c:pt idx="35">
                  <c:v>90</c:v>
                </c:pt>
                <c:pt idx="36">
                  <c:v>89</c:v>
                </c:pt>
                <c:pt idx="37">
                  <c:v>89</c:v>
                </c:pt>
                <c:pt idx="38">
                  <c:v>89</c:v>
                </c:pt>
                <c:pt idx="39">
                  <c:v>89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87</c:v>
                </c:pt>
                <c:pt idx="44">
                  <c:v>87</c:v>
                </c:pt>
                <c:pt idx="45">
                  <c:v>87</c:v>
                </c:pt>
                <c:pt idx="46">
                  <c:v>87</c:v>
                </c:pt>
                <c:pt idx="47">
                  <c:v>86</c:v>
                </c:pt>
                <c:pt idx="48">
                  <c:v>86</c:v>
                </c:pt>
                <c:pt idx="49">
                  <c:v>86</c:v>
                </c:pt>
                <c:pt idx="50">
                  <c:v>86</c:v>
                </c:pt>
                <c:pt idx="51">
                  <c:v>85</c:v>
                </c:pt>
                <c:pt idx="52">
                  <c:v>85</c:v>
                </c:pt>
                <c:pt idx="53">
                  <c:v>85</c:v>
                </c:pt>
                <c:pt idx="54">
                  <c:v>84</c:v>
                </c:pt>
                <c:pt idx="55">
                  <c:v>84</c:v>
                </c:pt>
                <c:pt idx="56">
                  <c:v>84</c:v>
                </c:pt>
                <c:pt idx="57">
                  <c:v>84</c:v>
                </c:pt>
                <c:pt idx="58">
                  <c:v>83</c:v>
                </c:pt>
                <c:pt idx="59">
                  <c:v>83</c:v>
                </c:pt>
                <c:pt idx="60">
                  <c:v>83</c:v>
                </c:pt>
                <c:pt idx="61">
                  <c:v>83</c:v>
                </c:pt>
                <c:pt idx="62">
                  <c:v>82</c:v>
                </c:pt>
                <c:pt idx="63">
                  <c:v>82</c:v>
                </c:pt>
                <c:pt idx="64">
                  <c:v>82</c:v>
                </c:pt>
                <c:pt idx="65">
                  <c:v>81</c:v>
                </c:pt>
                <c:pt idx="66">
                  <c:v>81</c:v>
                </c:pt>
                <c:pt idx="67">
                  <c:v>81</c:v>
                </c:pt>
                <c:pt idx="68">
                  <c:v>81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79</c:v>
                </c:pt>
                <c:pt idx="74">
                  <c:v>79</c:v>
                </c:pt>
                <c:pt idx="75">
                  <c:v>79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77</c:v>
                </c:pt>
                <c:pt idx="81">
                  <c:v>77</c:v>
                </c:pt>
                <c:pt idx="82">
                  <c:v>77</c:v>
                </c:pt>
                <c:pt idx="83">
                  <c:v>77</c:v>
                </c:pt>
                <c:pt idx="84">
                  <c:v>76</c:v>
                </c:pt>
                <c:pt idx="85">
                  <c:v>76</c:v>
                </c:pt>
                <c:pt idx="86">
                  <c:v>76</c:v>
                </c:pt>
                <c:pt idx="87">
                  <c:v>75</c:v>
                </c:pt>
                <c:pt idx="88">
                  <c:v>75</c:v>
                </c:pt>
                <c:pt idx="89">
                  <c:v>75</c:v>
                </c:pt>
                <c:pt idx="90">
                  <c:v>75</c:v>
                </c:pt>
                <c:pt idx="91">
                  <c:v>74</c:v>
                </c:pt>
                <c:pt idx="92">
                  <c:v>74</c:v>
                </c:pt>
                <c:pt idx="93">
                  <c:v>74</c:v>
                </c:pt>
                <c:pt idx="94">
                  <c:v>74</c:v>
                </c:pt>
                <c:pt idx="95">
                  <c:v>73</c:v>
                </c:pt>
                <c:pt idx="96">
                  <c:v>73</c:v>
                </c:pt>
                <c:pt idx="97">
                  <c:v>73</c:v>
                </c:pt>
                <c:pt idx="98">
                  <c:v>72</c:v>
                </c:pt>
                <c:pt idx="99">
                  <c:v>72</c:v>
                </c:pt>
                <c:pt idx="100">
                  <c:v>72</c:v>
                </c:pt>
                <c:pt idx="101">
                  <c:v>72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70</c:v>
                </c:pt>
                <c:pt idx="107">
                  <c:v>70</c:v>
                </c:pt>
                <c:pt idx="108">
                  <c:v>70</c:v>
                </c:pt>
                <c:pt idx="109">
                  <c:v>69</c:v>
                </c:pt>
                <c:pt idx="110">
                  <c:v>68</c:v>
                </c:pt>
                <c:pt idx="111">
                  <c:v>68</c:v>
                </c:pt>
                <c:pt idx="112">
                  <c:v>68</c:v>
                </c:pt>
                <c:pt idx="113">
                  <c:v>68</c:v>
                </c:pt>
                <c:pt idx="114">
                  <c:v>67</c:v>
                </c:pt>
                <c:pt idx="115">
                  <c:v>67</c:v>
                </c:pt>
                <c:pt idx="116">
                  <c:v>67</c:v>
                </c:pt>
                <c:pt idx="117">
                  <c:v>66</c:v>
                </c:pt>
                <c:pt idx="118">
                  <c:v>66</c:v>
                </c:pt>
                <c:pt idx="119">
                  <c:v>66</c:v>
                </c:pt>
                <c:pt idx="120">
                  <c:v>66</c:v>
                </c:pt>
                <c:pt idx="121">
                  <c:v>65</c:v>
                </c:pt>
                <c:pt idx="122">
                  <c:v>65</c:v>
                </c:pt>
                <c:pt idx="123">
                  <c:v>65</c:v>
                </c:pt>
                <c:pt idx="124">
                  <c:v>64</c:v>
                </c:pt>
                <c:pt idx="125">
                  <c:v>64</c:v>
                </c:pt>
                <c:pt idx="126">
                  <c:v>64</c:v>
                </c:pt>
                <c:pt idx="127">
                  <c:v>63</c:v>
                </c:pt>
                <c:pt idx="128">
                  <c:v>63</c:v>
                </c:pt>
                <c:pt idx="12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747572483"/>
        <c:axId val="51526664"/>
      </c:lineChart>
      <c:catAx>
        <c:axId val="7475724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1526664"/>
        <c:crosses val="autoZero"/>
        <c:auto val="1"/>
        <c:lblAlgn val="ctr"/>
        <c:lblOffset val="100"/>
        <c:noMultiLvlLbl val="0"/>
      </c:catAx>
      <c:valAx>
        <c:axId val="51526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475724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altLang="en-US"/>
              <a:t>SOC variation</a:t>
            </a:r>
            <a:endParaRPr altLang="en-US"/>
          </a:p>
          <a:p>
            <a:pPr defTabSz="914400">
              <a:defRPr lang="zh-CN"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altLang="en-US"/>
              <a:t>放电时的</a:t>
            </a:r>
            <a:r>
              <a:rPr lang="en-US" altLang="zh-CN"/>
              <a:t>SOC</a:t>
            </a:r>
            <a:r>
              <a:rPr altLang="en-US"/>
              <a:t>变化，前一个</a:t>
            </a:r>
            <a:r>
              <a:rPr lang="en-US" altLang="zh-CN"/>
              <a:t>SOC</a:t>
            </a:r>
            <a:r>
              <a:rPr altLang="en-US"/>
              <a:t>减后一个</a:t>
            </a:r>
            <a:r>
              <a:rPr lang="en-US" altLang="zh-CN"/>
              <a:t>SOC</a:t>
            </a:r>
            <a:r>
              <a:rPr altLang="en-US"/>
              <a:t>的值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Sheet4!$G$1:$G$9</c:f>
              <c:strCache>
                <c:ptCount val="1"/>
                <c:pt idx="0">
                  <c:v>SOC variation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Sheet4!$G$10:$G$721</c:f>
              <c:numCache>
                <c:formatCode>General</c:formatCode>
                <c:ptCount val="7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1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1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1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1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1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2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1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1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1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1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1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1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1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1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1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-1</c:v>
                </c:pt>
                <c:pt idx="499">
                  <c:v>1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1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1</c:v>
                </c:pt>
                <c:pt idx="529">
                  <c:v>0</c:v>
                </c:pt>
                <c:pt idx="530">
                  <c:v>2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1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-1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1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-1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1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1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-1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1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1</c:v>
                </c:pt>
                <c:pt idx="611">
                  <c:v>0</c:v>
                </c:pt>
                <c:pt idx="612">
                  <c:v>1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1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754060899"/>
        <c:axId val="222809218"/>
      </c:lineChart>
      <c:catAx>
        <c:axId val="75406089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22809218"/>
        <c:crosses val="autoZero"/>
        <c:auto val="1"/>
        <c:lblAlgn val="ctr"/>
        <c:lblOffset val="100"/>
        <c:noMultiLvlLbl val="0"/>
      </c:catAx>
      <c:valAx>
        <c:axId val="2228092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540608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bg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12.bmp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20.png"/><Relationship Id="rId8" Type="http://schemas.openxmlformats.org/officeDocument/2006/relationships/image" Target="../media/image19.png"/><Relationship Id="rId7" Type="http://schemas.openxmlformats.org/officeDocument/2006/relationships/image" Target="../media/image18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0.png"/><Relationship Id="rId3" Type="http://schemas.openxmlformats.org/officeDocument/2006/relationships/image" Target="../media/image9.png"/><Relationship Id="rId2" Type="http://schemas.openxmlformats.org/officeDocument/2006/relationships/image" Target="../media/image15.png"/><Relationship Id="rId10" Type="http://schemas.openxmlformats.org/officeDocument/2006/relationships/image" Target="../media/image21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30.png"/><Relationship Id="rId8" Type="http://schemas.openxmlformats.org/officeDocument/2006/relationships/image" Target="../media/image29.png"/><Relationship Id="rId7" Type="http://schemas.openxmlformats.org/officeDocument/2006/relationships/image" Target="../media/image28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4" Type="http://schemas.openxmlformats.org/officeDocument/2006/relationships/image" Target="../media/image35.png"/><Relationship Id="rId13" Type="http://schemas.openxmlformats.org/officeDocument/2006/relationships/image" Target="../media/image34.png"/><Relationship Id="rId12" Type="http://schemas.openxmlformats.org/officeDocument/2006/relationships/image" Target="../media/image33.png"/><Relationship Id="rId11" Type="http://schemas.openxmlformats.org/officeDocument/2006/relationships/image" Target="../media/image32.png"/><Relationship Id="rId10" Type="http://schemas.openxmlformats.org/officeDocument/2006/relationships/image" Target="../media/image31.png"/><Relationship Id="rId1" Type="http://schemas.openxmlformats.org/officeDocument/2006/relationships/image" Target="../media/image2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461010</xdr:colOff>
      <xdr:row>36</xdr:row>
      <xdr:rowOff>154940</xdr:rowOff>
    </xdr:from>
    <xdr:to>
      <xdr:col>10</xdr:col>
      <xdr:colOff>379095</xdr:colOff>
      <xdr:row>47</xdr:row>
      <xdr:rowOff>20955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59575" y="9119870"/>
          <a:ext cx="6927215" cy="1837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288290</xdr:colOff>
      <xdr:row>79</xdr:row>
      <xdr:rowOff>15875</xdr:rowOff>
    </xdr:from>
    <xdr:to>
      <xdr:col>7</xdr:col>
      <xdr:colOff>518160</xdr:colOff>
      <xdr:row>88</xdr:row>
      <xdr:rowOff>3810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93965" y="18602960"/>
          <a:ext cx="3328035" cy="2024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353060</xdr:colOff>
      <xdr:row>129</xdr:row>
      <xdr:rowOff>17780</xdr:rowOff>
    </xdr:from>
    <xdr:to>
      <xdr:col>20</xdr:col>
      <xdr:colOff>112395</xdr:colOff>
      <xdr:row>149</xdr:row>
      <xdr:rowOff>54610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030065" y="29166185"/>
          <a:ext cx="3874135" cy="3494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4</xdr:col>
      <xdr:colOff>512445</xdr:colOff>
      <xdr:row>205</xdr:row>
      <xdr:rowOff>114300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571365" y="38616255"/>
          <a:ext cx="3246755" cy="371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628650</xdr:colOff>
      <xdr:row>183</xdr:row>
      <xdr:rowOff>142875</xdr:rowOff>
    </xdr:from>
    <xdr:to>
      <xdr:col>7</xdr:col>
      <xdr:colOff>625475</xdr:colOff>
      <xdr:row>203</xdr:row>
      <xdr:rowOff>47625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934325" y="38587680"/>
          <a:ext cx="3094990" cy="3333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690880</xdr:colOff>
      <xdr:row>184</xdr:row>
      <xdr:rowOff>57150</xdr:rowOff>
    </xdr:from>
    <xdr:to>
      <xdr:col>11</xdr:col>
      <xdr:colOff>118745</xdr:colOff>
      <xdr:row>206</xdr:row>
      <xdr:rowOff>95250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094720" y="38673405"/>
          <a:ext cx="3576320" cy="381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48895</xdr:colOff>
      <xdr:row>4</xdr:row>
      <xdr:rowOff>48895</xdr:rowOff>
    </xdr:from>
    <xdr:to>
      <xdr:col>10</xdr:col>
      <xdr:colOff>539115</xdr:colOff>
      <xdr:row>9</xdr:row>
      <xdr:rowOff>121285</xdr:rowOff>
    </xdr:to>
    <xdr:pic>
      <xdr:nvPicPr>
        <xdr:cNvPr id="6" name="图片 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1367135" y="1772920"/>
          <a:ext cx="2479675" cy="9296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682625</xdr:colOff>
      <xdr:row>30</xdr:row>
      <xdr:rowOff>86360</xdr:rowOff>
    </xdr:from>
    <xdr:to>
      <xdr:col>17</xdr:col>
      <xdr:colOff>67945</xdr:colOff>
      <xdr:row>48</xdr:row>
      <xdr:rowOff>63500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580610" y="7755890"/>
          <a:ext cx="3474720" cy="306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237490</xdr:colOff>
      <xdr:row>44</xdr:row>
      <xdr:rowOff>73660</xdr:rowOff>
    </xdr:from>
    <xdr:to>
      <xdr:col>17</xdr:col>
      <xdr:colOff>443230</xdr:colOff>
      <xdr:row>49</xdr:row>
      <xdr:rowOff>140335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135475" y="10143490"/>
          <a:ext cx="429514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498475</xdr:colOff>
      <xdr:row>0</xdr:row>
      <xdr:rowOff>45085</xdr:rowOff>
    </xdr:from>
    <xdr:to>
      <xdr:col>19</xdr:col>
      <xdr:colOff>275590</xdr:colOff>
      <xdr:row>10</xdr:row>
      <xdr:rowOff>187325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9428460" y="45085"/>
          <a:ext cx="3206115" cy="2856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202565</xdr:colOff>
      <xdr:row>14</xdr:row>
      <xdr:rowOff>19050</xdr:rowOff>
    </xdr:from>
    <xdr:to>
      <xdr:col>23</xdr:col>
      <xdr:colOff>535940</xdr:colOff>
      <xdr:row>20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9132550" y="3659505"/>
          <a:ext cx="6505575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10</xdr:col>
      <xdr:colOff>578485</xdr:colOff>
      <xdr:row>109</xdr:row>
      <xdr:rowOff>27305</xdr:rowOff>
    </xdr:from>
    <xdr:to>
      <xdr:col>10</xdr:col>
      <xdr:colOff>663575</xdr:colOff>
      <xdr:row>113</xdr:row>
      <xdr:rowOff>141605</xdr:rowOff>
    </xdr:to>
    <xdr:sp>
      <xdr:nvSpPr>
        <xdr:cNvPr id="8" name="矩形 7"/>
        <xdr:cNvSpPr/>
      </xdr:nvSpPr>
      <xdr:spPr>
        <a:xfrm>
          <a:off x="11600815" y="22681565"/>
          <a:ext cx="85090" cy="9144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>
    <xdr:from>
      <xdr:col>10</xdr:col>
      <xdr:colOff>603885</xdr:colOff>
      <xdr:row>117</xdr:row>
      <xdr:rowOff>133350</xdr:rowOff>
    </xdr:from>
    <xdr:to>
      <xdr:col>10</xdr:col>
      <xdr:colOff>680085</xdr:colOff>
      <xdr:row>121</xdr:row>
      <xdr:rowOff>119380</xdr:rowOff>
    </xdr:to>
    <xdr:sp>
      <xdr:nvSpPr>
        <xdr:cNvPr id="12" name="矩形 11"/>
        <xdr:cNvSpPr/>
      </xdr:nvSpPr>
      <xdr:spPr>
        <a:xfrm>
          <a:off x="11626215" y="24387810"/>
          <a:ext cx="76200" cy="71945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zh-CN" altLang="en-US" sz="1100"/>
        </a:p>
      </xdr:txBody>
    </xdr:sp>
    <xdr:clientData/>
  </xdr:twoCellAnchor>
  <xdr:twoCellAnchor editAs="oneCell">
    <xdr:from>
      <xdr:col>0</xdr:col>
      <xdr:colOff>635</xdr:colOff>
      <xdr:row>130</xdr:row>
      <xdr:rowOff>6985</xdr:rowOff>
    </xdr:from>
    <xdr:to>
      <xdr:col>3</xdr:col>
      <xdr:colOff>619760</xdr:colOff>
      <xdr:row>148</xdr:row>
      <xdr:rowOff>99060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26680795"/>
          <a:ext cx="3804285" cy="3178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375920</xdr:colOff>
      <xdr:row>13</xdr:row>
      <xdr:rowOff>42545</xdr:rowOff>
    </xdr:from>
    <xdr:to>
      <xdr:col>18</xdr:col>
      <xdr:colOff>269240</xdr:colOff>
      <xdr:row>33</xdr:row>
      <xdr:rowOff>110490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974195" y="2499995"/>
          <a:ext cx="4008120" cy="3725545"/>
        </a:xfrm>
        <a:prstGeom prst="rect">
          <a:avLst/>
        </a:prstGeom>
      </xdr:spPr>
    </xdr:pic>
    <xdr:clientData/>
  </xdr:twoCellAnchor>
  <xdr:twoCellAnchor editAs="oneCell">
    <xdr:from>
      <xdr:col>11</xdr:col>
      <xdr:colOff>57785</xdr:colOff>
      <xdr:row>56</xdr:row>
      <xdr:rowOff>63500</xdr:rowOff>
    </xdr:from>
    <xdr:to>
      <xdr:col>17</xdr:col>
      <xdr:colOff>234950</xdr:colOff>
      <xdr:row>61</xdr:row>
      <xdr:rowOff>130175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970260" y="13208000"/>
          <a:ext cx="4291965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638810</xdr:colOff>
      <xdr:row>1</xdr:row>
      <xdr:rowOff>123190</xdr:rowOff>
    </xdr:from>
    <xdr:to>
      <xdr:col>25</xdr:col>
      <xdr:colOff>194310</xdr:colOff>
      <xdr:row>13</xdr:row>
      <xdr:rowOff>78105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7037685" y="294640"/>
          <a:ext cx="3670300" cy="22409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375285</xdr:colOff>
      <xdr:row>2</xdr:row>
      <xdr:rowOff>318770</xdr:rowOff>
    </xdr:from>
    <xdr:to>
      <xdr:col>17</xdr:col>
      <xdr:colOff>308610</xdr:colOff>
      <xdr:row>8</xdr:row>
      <xdr:rowOff>322690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091795" y="661670"/>
          <a:ext cx="2676525" cy="2061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494030</xdr:colOff>
      <xdr:row>41</xdr:row>
      <xdr:rowOff>85090</xdr:rowOff>
    </xdr:from>
    <xdr:to>
      <xdr:col>10</xdr:col>
      <xdr:colOff>666198</xdr:colOff>
      <xdr:row>57</xdr:row>
      <xdr:rowOff>27305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26885" y="9964420"/>
          <a:ext cx="3143885" cy="26854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307340</xdr:colOff>
      <xdr:row>0</xdr:row>
      <xdr:rowOff>126365</xdr:rowOff>
    </xdr:from>
    <xdr:to>
      <xdr:col>12</xdr:col>
      <xdr:colOff>767080</xdr:colOff>
      <xdr:row>6</xdr:row>
      <xdr:rowOff>310874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12008485" y="-170815"/>
          <a:ext cx="1524000" cy="2118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353060</xdr:colOff>
      <xdr:row>9</xdr:row>
      <xdr:rowOff>577215</xdr:rowOff>
    </xdr:from>
    <xdr:to>
      <xdr:col>20</xdr:col>
      <xdr:colOff>198755</xdr:colOff>
      <xdr:row>23</xdr:row>
      <xdr:rowOff>50579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946880" y="2764155"/>
          <a:ext cx="3274695" cy="2639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76200</xdr:colOff>
      <xdr:row>21</xdr:row>
      <xdr:rowOff>97790</xdr:rowOff>
    </xdr:from>
    <xdr:to>
      <xdr:col>24</xdr:col>
      <xdr:colOff>409575</xdr:colOff>
      <xdr:row>27</xdr:row>
      <xdr:rowOff>78740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670020" y="5107940"/>
          <a:ext cx="6505575" cy="1009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60325</xdr:colOff>
      <xdr:row>50</xdr:row>
      <xdr:rowOff>188595</xdr:rowOff>
    </xdr:from>
    <xdr:to>
      <xdr:col>2</xdr:col>
      <xdr:colOff>398780</xdr:colOff>
      <xdr:row>50</xdr:row>
      <xdr:rowOff>1421130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325" y="11534775"/>
          <a:ext cx="4655820" cy="1232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84455</xdr:colOff>
      <xdr:row>51</xdr:row>
      <xdr:rowOff>62230</xdr:rowOff>
    </xdr:from>
    <xdr:to>
      <xdr:col>2</xdr:col>
      <xdr:colOff>398780</xdr:colOff>
      <xdr:row>51</xdr:row>
      <xdr:rowOff>932815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4455" y="12894310"/>
          <a:ext cx="4631690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52</xdr:row>
      <xdr:rowOff>319405</xdr:rowOff>
    </xdr:from>
    <xdr:to>
      <xdr:col>2</xdr:col>
      <xdr:colOff>398780</xdr:colOff>
      <xdr:row>52</xdr:row>
      <xdr:rowOff>1158875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525" y="14142085"/>
          <a:ext cx="4706620" cy="8394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55</xdr:row>
      <xdr:rowOff>322580</xdr:rowOff>
    </xdr:from>
    <xdr:to>
      <xdr:col>2</xdr:col>
      <xdr:colOff>398780</xdr:colOff>
      <xdr:row>55</xdr:row>
      <xdr:rowOff>1070610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525" y="18172430"/>
          <a:ext cx="4706620" cy="748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262255</xdr:colOff>
      <xdr:row>54</xdr:row>
      <xdr:rowOff>21590</xdr:rowOff>
    </xdr:from>
    <xdr:to>
      <xdr:col>2</xdr:col>
      <xdr:colOff>313690</xdr:colOff>
      <xdr:row>54</xdr:row>
      <xdr:rowOff>528320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rcRect b="75976"/>
        <a:stretch>
          <a:fillRect/>
        </a:stretch>
      </xdr:blipFill>
      <xdr:spPr>
        <a:xfrm>
          <a:off x="262255" y="16423640"/>
          <a:ext cx="436880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287655</xdr:colOff>
      <xdr:row>54</xdr:row>
      <xdr:rowOff>442595</xdr:rowOff>
    </xdr:from>
    <xdr:to>
      <xdr:col>2</xdr:col>
      <xdr:colOff>134620</xdr:colOff>
      <xdr:row>54</xdr:row>
      <xdr:rowOff>788035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rcRect t="82836"/>
        <a:stretch>
          <a:fillRect/>
        </a:stretch>
      </xdr:blipFill>
      <xdr:spPr>
        <a:xfrm>
          <a:off x="287655" y="16844645"/>
          <a:ext cx="4164330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544830</xdr:colOff>
      <xdr:row>29</xdr:row>
      <xdr:rowOff>103505</xdr:rowOff>
    </xdr:from>
    <xdr:to>
      <xdr:col>20</xdr:col>
      <xdr:colOff>311150</xdr:colOff>
      <xdr:row>33</xdr:row>
      <xdr:rowOff>83819</xdr:rowOff>
    </xdr:to>
    <xdr:pic>
      <xdr:nvPicPr>
        <xdr:cNvPr id="3" name="图片 2"/>
        <xdr:cNvPicPr>
          <a:picLocks noChangeAspect="1"/>
        </xdr:cNvPicPr>
      </xdr:nvPicPr>
      <xdr:blipFill>
        <a:blip r:embed="rId3"/>
        <a:srcRect b="75195"/>
        <a:stretch>
          <a:fillRect/>
        </a:stretch>
      </xdr:blipFill>
      <xdr:spPr>
        <a:xfrm>
          <a:off x="17138650" y="6485255"/>
          <a:ext cx="3195320" cy="665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726440</xdr:colOff>
      <xdr:row>36</xdr:row>
      <xdr:rowOff>21590</xdr:rowOff>
    </xdr:from>
    <xdr:to>
      <xdr:col>26</xdr:col>
      <xdr:colOff>0</xdr:colOff>
      <xdr:row>50</xdr:row>
      <xdr:rowOff>46990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5669260" y="7603490"/>
          <a:ext cx="8468360" cy="3789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49530</xdr:colOff>
      <xdr:row>67</xdr:row>
      <xdr:rowOff>95250</xdr:rowOff>
    </xdr:from>
    <xdr:to>
      <xdr:col>10</xdr:col>
      <xdr:colOff>173355</xdr:colOff>
      <xdr:row>83</xdr:row>
      <xdr:rowOff>95250</xdr:rowOff>
    </xdr:to>
    <xdr:graphicFrame>
      <xdr:nvGraphicFramePr>
        <xdr:cNvPr id="5" name="图表 4"/>
        <xdr:cNvGraphicFramePr/>
      </xdr:nvGraphicFramePr>
      <xdr:xfrm>
        <a:off x="7008495" y="23105745"/>
        <a:ext cx="4568825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386080</xdr:colOff>
      <xdr:row>29</xdr:row>
      <xdr:rowOff>43180</xdr:rowOff>
    </xdr:from>
    <xdr:to>
      <xdr:col>20</xdr:col>
      <xdr:colOff>50165</xdr:colOff>
      <xdr:row>48</xdr:row>
      <xdr:rowOff>149225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9840575" y="5961380"/>
          <a:ext cx="9478645" cy="4973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119</xdr:row>
      <xdr:rowOff>91440</xdr:rowOff>
    </xdr:from>
    <xdr:to>
      <xdr:col>8</xdr:col>
      <xdr:colOff>0</xdr:colOff>
      <xdr:row>124</xdr:row>
      <xdr:rowOff>114300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05320" y="25522555"/>
          <a:ext cx="6196965" cy="10229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885190</xdr:colOff>
      <xdr:row>125</xdr:row>
      <xdr:rowOff>4445</xdr:rowOff>
    </xdr:from>
    <xdr:to>
      <xdr:col>9</xdr:col>
      <xdr:colOff>1002030</xdr:colOff>
      <xdr:row>132</xdr:row>
      <xdr:rowOff>28575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69355" y="26607135"/>
          <a:ext cx="8900160" cy="1224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936625</xdr:colOff>
      <xdr:row>132</xdr:row>
      <xdr:rowOff>141605</xdr:rowOff>
    </xdr:from>
    <xdr:to>
      <xdr:col>8</xdr:col>
      <xdr:colOff>0</xdr:colOff>
      <xdr:row>147</xdr:row>
      <xdr:rowOff>136525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20790" y="27944445"/>
          <a:ext cx="6881495" cy="2566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12</xdr:col>
      <xdr:colOff>523875</xdr:colOff>
      <xdr:row>149</xdr:row>
      <xdr:rowOff>123825</xdr:rowOff>
    </xdr:from>
    <xdr:to>
      <xdr:col>15</xdr:col>
      <xdr:colOff>2009775</xdr:colOff>
      <xdr:row>149</xdr:row>
      <xdr:rowOff>123825</xdr:rowOff>
    </xdr:to>
    <xdr:cxnSp>
      <xdr:nvCxnSpPr>
        <xdr:cNvPr id="12" name="直接箭头连接符 11"/>
        <xdr:cNvCxnSpPr/>
      </xdr:nvCxnSpPr>
      <xdr:spPr>
        <a:xfrm>
          <a:off x="17536160" y="30841315"/>
          <a:ext cx="5198110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533400</xdr:colOff>
      <xdr:row>132</xdr:row>
      <xdr:rowOff>161925</xdr:rowOff>
    </xdr:from>
    <xdr:to>
      <xdr:col>12</xdr:col>
      <xdr:colOff>536575</xdr:colOff>
      <xdr:row>149</xdr:row>
      <xdr:rowOff>98425</xdr:rowOff>
    </xdr:to>
    <xdr:cxnSp>
      <xdr:nvCxnSpPr>
        <xdr:cNvPr id="13" name="直接箭头连接符 12"/>
        <xdr:cNvCxnSpPr/>
      </xdr:nvCxnSpPr>
      <xdr:spPr>
        <a:xfrm flipH="1" flipV="1">
          <a:off x="17545685" y="27964765"/>
          <a:ext cx="3175" cy="28511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532765</xdr:colOff>
      <xdr:row>138</xdr:row>
      <xdr:rowOff>1905</xdr:rowOff>
    </xdr:from>
    <xdr:to>
      <xdr:col>15</xdr:col>
      <xdr:colOff>2038985</xdr:colOff>
      <xdr:row>138</xdr:row>
      <xdr:rowOff>15240</xdr:rowOff>
    </xdr:to>
    <xdr:cxnSp>
      <xdr:nvCxnSpPr>
        <xdr:cNvPr id="14" name="直接连接符 13"/>
        <xdr:cNvCxnSpPr/>
      </xdr:nvCxnSpPr>
      <xdr:spPr>
        <a:xfrm flipV="1">
          <a:off x="17545050" y="28833445"/>
          <a:ext cx="5218430" cy="1333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548005</xdr:colOff>
      <xdr:row>138</xdr:row>
      <xdr:rowOff>35560</xdr:rowOff>
    </xdr:from>
    <xdr:to>
      <xdr:col>13</xdr:col>
      <xdr:colOff>206375</xdr:colOff>
      <xdr:row>144</xdr:row>
      <xdr:rowOff>1905</xdr:rowOff>
    </xdr:to>
    <xdr:cxnSp>
      <xdr:nvCxnSpPr>
        <xdr:cNvPr id="15" name="直接连接符 14"/>
        <xdr:cNvCxnSpPr/>
      </xdr:nvCxnSpPr>
      <xdr:spPr>
        <a:xfrm>
          <a:off x="17560290" y="28867100"/>
          <a:ext cx="1135380" cy="99504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215350</xdr:colOff>
      <xdr:row>186</xdr:row>
      <xdr:rowOff>140806</xdr:rowOff>
    </xdr:from>
    <xdr:to>
      <xdr:col>11</xdr:col>
      <xdr:colOff>488675</xdr:colOff>
      <xdr:row>192</xdr:row>
      <xdr:rowOff>162341</xdr:rowOff>
    </xdr:to>
    <xdr:pic>
      <xdr:nvPicPr>
        <xdr:cNvPr id="24" name="图片 23" descr="C:\Users\leiyupei\AppData\Local\Temp\ksohtml14124\wps1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421"/>
        <a:stretch>
          <a:fillRect/>
        </a:stretch>
      </xdr:blipFill>
      <xdr:spPr>
        <a:xfrm>
          <a:off x="15754350" y="37694870"/>
          <a:ext cx="1060450" cy="106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538383</xdr:colOff>
      <xdr:row>186</xdr:row>
      <xdr:rowOff>144119</xdr:rowOff>
    </xdr:from>
    <xdr:to>
      <xdr:col>13</xdr:col>
      <xdr:colOff>0</xdr:colOff>
      <xdr:row>192</xdr:row>
      <xdr:rowOff>165654</xdr:rowOff>
    </xdr:to>
    <xdr:pic>
      <xdr:nvPicPr>
        <xdr:cNvPr id="25" name="图片 24" descr="C:\Users\leiyupei\AppData\Local\Temp\ksohtml14124\wps1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14"/>
        <a:stretch>
          <a:fillRect/>
        </a:stretch>
      </xdr:blipFill>
      <xdr:spPr>
        <a:xfrm>
          <a:off x="16864330" y="37698045"/>
          <a:ext cx="1624965" cy="106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160683</xdr:colOff>
      <xdr:row>186</xdr:row>
      <xdr:rowOff>147432</xdr:rowOff>
    </xdr:from>
    <xdr:to>
      <xdr:col>11</xdr:col>
      <xdr:colOff>588066</xdr:colOff>
      <xdr:row>192</xdr:row>
      <xdr:rowOff>168967</xdr:rowOff>
    </xdr:to>
    <xdr:pic>
      <xdr:nvPicPr>
        <xdr:cNvPr id="26" name="图片 25" descr="C:\Users\leiyupei\AppData\Local\Temp\ksohtml14124\wps1.png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14" r="32716"/>
        <a:stretch>
          <a:fillRect/>
        </a:stretch>
      </xdr:blipFill>
      <xdr:spPr>
        <a:xfrm>
          <a:off x="16487140" y="37701855"/>
          <a:ext cx="427355" cy="1069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132715</xdr:colOff>
      <xdr:row>57</xdr:row>
      <xdr:rowOff>12700</xdr:rowOff>
    </xdr:from>
    <xdr:to>
      <xdr:col>15</xdr:col>
      <xdr:colOff>756285</xdr:colOff>
      <xdr:row>80</xdr:row>
      <xdr:rowOff>238125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925300" y="12661265"/>
          <a:ext cx="9555480" cy="4216400"/>
        </a:xfrm>
        <a:prstGeom prst="rect">
          <a:avLst/>
        </a:prstGeom>
      </xdr:spPr>
    </xdr:pic>
    <xdr:clientData/>
  </xdr:twoCellAnchor>
  <xdr:twoCellAnchor>
    <xdr:from>
      <xdr:col>7</xdr:col>
      <xdr:colOff>774065</xdr:colOff>
      <xdr:row>57</xdr:row>
      <xdr:rowOff>5715</xdr:rowOff>
    </xdr:from>
    <xdr:to>
      <xdr:col>8</xdr:col>
      <xdr:colOff>261620</xdr:colOff>
      <xdr:row>80</xdr:row>
      <xdr:rowOff>231775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rcRect r="81787"/>
        <a:stretch>
          <a:fillRect/>
        </a:stretch>
      </xdr:blipFill>
      <xdr:spPr>
        <a:xfrm>
          <a:off x="12566650" y="12654280"/>
          <a:ext cx="897255" cy="4217035"/>
        </a:xfrm>
        <a:prstGeom prst="rect">
          <a:avLst/>
        </a:prstGeom>
      </xdr:spPr>
    </xdr:pic>
    <xdr:clientData/>
  </xdr:twoCellAnchor>
  <xdr:twoCellAnchor>
    <xdr:from>
      <xdr:col>7</xdr:col>
      <xdr:colOff>2078355</xdr:colOff>
      <xdr:row>65</xdr:row>
      <xdr:rowOff>0</xdr:rowOff>
    </xdr:from>
    <xdr:to>
      <xdr:col>15</xdr:col>
      <xdr:colOff>2702560</xdr:colOff>
      <xdr:row>68</xdr:row>
      <xdr:rowOff>55880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rcRect t="88350"/>
        <a:stretch>
          <a:fillRect/>
        </a:stretch>
      </xdr:blipFill>
      <xdr:spPr>
        <a:xfrm>
          <a:off x="13202285" y="14020165"/>
          <a:ext cx="10224770" cy="579755"/>
        </a:xfrm>
        <a:prstGeom prst="rect">
          <a:avLst/>
        </a:prstGeom>
      </xdr:spPr>
    </xdr:pic>
    <xdr:clientData/>
  </xdr:twoCellAnchor>
  <xdr:twoCellAnchor>
    <xdr:from>
      <xdr:col>8</xdr:col>
      <xdr:colOff>41910</xdr:colOff>
      <xdr:row>70</xdr:row>
      <xdr:rowOff>88900</xdr:rowOff>
    </xdr:from>
    <xdr:to>
      <xdr:col>15</xdr:col>
      <xdr:colOff>2990215</xdr:colOff>
      <xdr:row>74</xdr:row>
      <xdr:rowOff>125730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rcRect t="88350"/>
        <a:stretch>
          <a:fillRect/>
        </a:stretch>
      </xdr:blipFill>
      <xdr:spPr>
        <a:xfrm>
          <a:off x="13244195" y="14985365"/>
          <a:ext cx="10470515" cy="741680"/>
        </a:xfrm>
        <a:prstGeom prst="rect">
          <a:avLst/>
        </a:prstGeom>
      </xdr:spPr>
    </xdr:pic>
    <xdr:clientData/>
  </xdr:twoCellAnchor>
  <xdr:twoCellAnchor>
    <xdr:from>
      <xdr:col>13</xdr:col>
      <xdr:colOff>702945</xdr:colOff>
      <xdr:row>60</xdr:row>
      <xdr:rowOff>149225</xdr:rowOff>
    </xdr:from>
    <xdr:to>
      <xdr:col>14</xdr:col>
      <xdr:colOff>765810</xdr:colOff>
      <xdr:row>65</xdr:row>
      <xdr:rowOff>56515</xdr:rowOff>
    </xdr:to>
    <xdr:sp>
      <xdr:nvSpPr>
        <xdr:cNvPr id="9" name="椭圆形标注 8"/>
        <xdr:cNvSpPr/>
      </xdr:nvSpPr>
      <xdr:spPr>
        <a:xfrm>
          <a:off x="19192240" y="13312140"/>
          <a:ext cx="1028065" cy="764540"/>
        </a:xfrm>
        <a:prstGeom prst="wedgeEllipseCallout">
          <a:avLst>
            <a:gd name="adj1" fmla="val -1425"/>
            <a:gd name="adj2" fmla="val 13089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/>
        <a:lstStyle/>
        <a:p>
          <a:pPr algn="l"/>
          <a:r>
            <a:rPr lang="en-US" altLang="zh-CN" sz="1400" b="1"/>
            <a:t>2023-3</a:t>
          </a:r>
          <a:endParaRPr lang="en-US" altLang="zh-CN" sz="1400" b="1"/>
        </a:p>
      </xdr:txBody>
    </xdr:sp>
    <xdr:clientData/>
  </xdr:twoCellAnchor>
  <xdr:twoCellAnchor>
    <xdr:from>
      <xdr:col>9</xdr:col>
      <xdr:colOff>906145</xdr:colOff>
      <xdr:row>61</xdr:row>
      <xdr:rowOff>9525</xdr:rowOff>
    </xdr:from>
    <xdr:to>
      <xdr:col>10</xdr:col>
      <xdr:colOff>559435</xdr:colOff>
      <xdr:row>65</xdr:row>
      <xdr:rowOff>88265</xdr:rowOff>
    </xdr:to>
    <xdr:sp>
      <xdr:nvSpPr>
        <xdr:cNvPr id="27" name="椭圆形标注 26"/>
        <xdr:cNvSpPr/>
      </xdr:nvSpPr>
      <xdr:spPr>
        <a:xfrm>
          <a:off x="15073630" y="13343890"/>
          <a:ext cx="1024890" cy="764540"/>
        </a:xfrm>
        <a:prstGeom prst="wedgeEllipseCallout">
          <a:avLst>
            <a:gd name="adj1" fmla="val -1425"/>
            <a:gd name="adj2" fmla="val 13089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2018-4</a:t>
          </a:r>
          <a:endParaRPr lang="en-US" altLang="zh-CN" sz="1400" b="1"/>
        </a:p>
      </xdr:txBody>
    </xdr:sp>
    <xdr:clientData/>
  </xdr:twoCellAnchor>
  <xdr:twoCellAnchor>
    <xdr:from>
      <xdr:col>8</xdr:col>
      <xdr:colOff>78105</xdr:colOff>
      <xdr:row>73</xdr:row>
      <xdr:rowOff>77470</xdr:rowOff>
    </xdr:from>
    <xdr:to>
      <xdr:col>9</xdr:col>
      <xdr:colOff>140970</xdr:colOff>
      <xdr:row>77</xdr:row>
      <xdr:rowOff>146685</xdr:rowOff>
    </xdr:to>
    <xdr:sp>
      <xdr:nvSpPr>
        <xdr:cNvPr id="28" name="椭圆形标注 27"/>
        <xdr:cNvSpPr/>
      </xdr:nvSpPr>
      <xdr:spPr>
        <a:xfrm>
          <a:off x="13280390" y="15497810"/>
          <a:ext cx="1028065" cy="764540"/>
        </a:xfrm>
        <a:prstGeom prst="wedgeEllipseCallout">
          <a:avLst>
            <a:gd name="adj1" fmla="val -495"/>
            <a:gd name="adj2" fmla="val -11951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2014-5</a:t>
          </a:r>
          <a:endParaRPr lang="en-US" altLang="zh-CN" sz="1400" b="1"/>
        </a:p>
      </xdr:txBody>
    </xdr:sp>
    <xdr:clientData/>
  </xdr:twoCellAnchor>
  <xdr:twoCellAnchor>
    <xdr:from>
      <xdr:col>11</xdr:col>
      <xdr:colOff>553085</xdr:colOff>
      <xdr:row>73</xdr:row>
      <xdr:rowOff>57150</xdr:rowOff>
    </xdr:from>
    <xdr:to>
      <xdr:col>12</xdr:col>
      <xdr:colOff>892175</xdr:colOff>
      <xdr:row>77</xdr:row>
      <xdr:rowOff>126365</xdr:rowOff>
    </xdr:to>
    <xdr:sp>
      <xdr:nvSpPr>
        <xdr:cNvPr id="29" name="椭圆形标注 28"/>
        <xdr:cNvSpPr/>
      </xdr:nvSpPr>
      <xdr:spPr>
        <a:xfrm>
          <a:off x="16879570" y="15477490"/>
          <a:ext cx="1024890" cy="764540"/>
        </a:xfrm>
        <a:prstGeom prst="wedgeEllipseCallout">
          <a:avLst>
            <a:gd name="adj1" fmla="val -495"/>
            <a:gd name="adj2" fmla="val -11951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400" b="1"/>
            <a:t>2020-3</a:t>
          </a:r>
          <a:endParaRPr lang="en-US" altLang="zh-CN" sz="1400" b="1"/>
        </a:p>
      </xdr:txBody>
    </xdr:sp>
    <xdr:clientData/>
  </xdr:twoCellAnchor>
  <xdr:twoCellAnchor editAs="oneCell">
    <xdr:from>
      <xdr:col>5</xdr:col>
      <xdr:colOff>307975</xdr:colOff>
      <xdr:row>97</xdr:row>
      <xdr:rowOff>21590</xdr:rowOff>
    </xdr:from>
    <xdr:to>
      <xdr:col>10</xdr:col>
      <xdr:colOff>88900</xdr:colOff>
      <xdr:row>102</xdr:row>
      <xdr:rowOff>38100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848850" y="20842605"/>
          <a:ext cx="5779135" cy="1016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287</xdr:row>
      <xdr:rowOff>87630</xdr:rowOff>
    </xdr:from>
    <xdr:to>
      <xdr:col>3</xdr:col>
      <xdr:colOff>139065</xdr:colOff>
      <xdr:row>324</xdr:row>
      <xdr:rowOff>68580</xdr:rowOff>
    </xdr:to>
    <xdr:pic>
      <xdr:nvPicPr>
        <xdr:cNvPr id="30" name="图片 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5" y="55234840"/>
          <a:ext cx="7105650" cy="6324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329</xdr:row>
      <xdr:rowOff>65405</xdr:rowOff>
    </xdr:from>
    <xdr:to>
      <xdr:col>4</xdr:col>
      <xdr:colOff>40640</xdr:colOff>
      <xdr:row>360</xdr:row>
      <xdr:rowOff>133350</xdr:rowOff>
    </xdr:to>
    <xdr:pic>
      <xdr:nvPicPr>
        <xdr:cNvPr id="32" name="图片 3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525" y="62413515"/>
          <a:ext cx="7963535" cy="5611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1</xdr:col>
      <xdr:colOff>1383665</xdr:colOff>
      <xdr:row>391</xdr:row>
      <xdr:rowOff>152400</xdr:rowOff>
    </xdr:to>
    <xdr:pic>
      <xdr:nvPicPr>
        <xdr:cNvPr id="33" name="图片 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68406010"/>
          <a:ext cx="4295775" cy="4953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1310322</xdr:colOff>
      <xdr:row>391</xdr:row>
      <xdr:rowOff>143192</xdr:rowOff>
    </xdr:from>
    <xdr:to>
      <xdr:col>6</xdr:col>
      <xdr:colOff>773747</xdr:colOff>
      <xdr:row>408</xdr:row>
      <xdr:rowOff>52387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5400000">
          <a:off x="6490970" y="71079995"/>
          <a:ext cx="2823845" cy="736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85725</xdr:colOff>
      <xdr:row>400</xdr:row>
      <xdr:rowOff>161925</xdr:rowOff>
    </xdr:from>
    <xdr:to>
      <xdr:col>3</xdr:col>
      <xdr:colOff>95250</xdr:colOff>
      <xdr:row>403</xdr:row>
      <xdr:rowOff>19050</xdr:rowOff>
    </xdr:to>
    <xdr:cxnSp>
      <xdr:nvCxnSpPr>
        <xdr:cNvPr id="16" name="直接箭头连接符 15"/>
        <xdr:cNvCxnSpPr/>
      </xdr:nvCxnSpPr>
      <xdr:spPr>
        <a:xfrm flipH="1">
          <a:off x="7052945" y="74911585"/>
          <a:ext cx="9525" cy="371475"/>
        </a:xfrm>
        <a:prstGeom prst="straightConnector1">
          <a:avLst/>
        </a:prstGeom>
        <a:ln>
          <a:solidFill>
            <a:srgbClr val="FF0000"/>
          </a:solidFill>
          <a:headEnd type="arrow"/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2</xdr:col>
      <xdr:colOff>781050</xdr:colOff>
      <xdr:row>400</xdr:row>
      <xdr:rowOff>95250</xdr:rowOff>
    </xdr:from>
    <xdr:to>
      <xdr:col>5</xdr:col>
      <xdr:colOff>361950</xdr:colOff>
      <xdr:row>400</xdr:row>
      <xdr:rowOff>104775</xdr:rowOff>
    </xdr:to>
    <xdr:cxnSp>
      <xdr:nvCxnSpPr>
        <xdr:cNvPr id="18" name="直接连接符 17"/>
        <xdr:cNvCxnSpPr/>
      </xdr:nvCxnSpPr>
      <xdr:spPr>
        <a:xfrm>
          <a:off x="6165215" y="74844910"/>
          <a:ext cx="37376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2</xdr:col>
      <xdr:colOff>717550</xdr:colOff>
      <xdr:row>403</xdr:row>
      <xdr:rowOff>41275</xdr:rowOff>
    </xdr:from>
    <xdr:to>
      <xdr:col>5</xdr:col>
      <xdr:colOff>298450</xdr:colOff>
      <xdr:row>403</xdr:row>
      <xdr:rowOff>50800</xdr:rowOff>
    </xdr:to>
    <xdr:cxnSp>
      <xdr:nvCxnSpPr>
        <xdr:cNvPr id="19" name="直接连接符 18"/>
        <xdr:cNvCxnSpPr/>
      </xdr:nvCxnSpPr>
      <xdr:spPr>
        <a:xfrm>
          <a:off x="6101715" y="75305285"/>
          <a:ext cx="37376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352425</xdr:colOff>
      <xdr:row>400</xdr:row>
      <xdr:rowOff>123825</xdr:rowOff>
    </xdr:from>
    <xdr:to>
      <xdr:col>4</xdr:col>
      <xdr:colOff>28575</xdr:colOff>
      <xdr:row>402</xdr:row>
      <xdr:rowOff>133350</xdr:rowOff>
    </xdr:to>
    <xdr:sp>
      <xdr:nvSpPr>
        <xdr:cNvPr id="20" name="矩形标注 19"/>
        <xdr:cNvSpPr/>
      </xdr:nvSpPr>
      <xdr:spPr>
        <a:xfrm>
          <a:off x="7319645" y="74873485"/>
          <a:ext cx="641350" cy="352425"/>
        </a:xfrm>
        <a:prstGeom prst="wedgeRectCallou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2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r>
            <a:rPr lang="en-US" altLang="zh-CN" sz="1800">
              <a:solidFill>
                <a:srgbClr val="FF0000"/>
              </a:solidFill>
            </a:rPr>
            <a:t>C</a:t>
          </a:r>
          <a:endParaRPr lang="en-US" altLang="zh-CN" sz="1800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1054100</xdr:colOff>
      <xdr:row>393</xdr:row>
      <xdr:rowOff>121920</xdr:rowOff>
    </xdr:from>
    <xdr:to>
      <xdr:col>3</xdr:col>
      <xdr:colOff>112395</xdr:colOff>
      <xdr:row>395</xdr:row>
      <xdr:rowOff>131445</xdr:rowOff>
    </xdr:to>
    <xdr:sp>
      <xdr:nvSpPr>
        <xdr:cNvPr id="21" name="矩形标注 20"/>
        <xdr:cNvSpPr/>
      </xdr:nvSpPr>
      <xdr:spPr>
        <a:xfrm>
          <a:off x="6438265" y="73671430"/>
          <a:ext cx="641350" cy="352425"/>
        </a:xfrm>
        <a:prstGeom prst="wedgeRectCallou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2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>
              <a:solidFill>
                <a:srgbClr val="FF0000"/>
              </a:solidFill>
            </a:rPr>
            <a:t>A</a:t>
          </a:r>
          <a:endParaRPr lang="en-US" altLang="zh-CN" sz="18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123190</xdr:colOff>
      <xdr:row>395</xdr:row>
      <xdr:rowOff>27305</xdr:rowOff>
    </xdr:from>
    <xdr:to>
      <xdr:col>6</xdr:col>
      <xdr:colOff>764540</xdr:colOff>
      <xdr:row>397</xdr:row>
      <xdr:rowOff>36830</xdr:rowOff>
    </xdr:to>
    <xdr:sp>
      <xdr:nvSpPr>
        <xdr:cNvPr id="22" name="矩形标注 21"/>
        <xdr:cNvSpPr/>
      </xdr:nvSpPr>
      <xdr:spPr>
        <a:xfrm>
          <a:off x="10934065" y="73919715"/>
          <a:ext cx="641350" cy="352425"/>
        </a:xfrm>
        <a:prstGeom prst="wedgeRectCallou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2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800">
              <a:solidFill>
                <a:srgbClr val="FF0000"/>
              </a:solidFill>
            </a:rPr>
            <a:t>B</a:t>
          </a:r>
          <a:endParaRPr lang="en-US" altLang="zh-CN" sz="18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164465</xdr:colOff>
      <xdr:row>399</xdr:row>
      <xdr:rowOff>62230</xdr:rowOff>
    </xdr:from>
    <xdr:to>
      <xdr:col>5</xdr:col>
      <xdr:colOff>130810</xdr:colOff>
      <xdr:row>399</xdr:row>
      <xdr:rowOff>149225</xdr:rowOff>
    </xdr:to>
    <xdr:sp>
      <xdr:nvSpPr>
        <xdr:cNvPr id="23" name="矩形标注 22"/>
        <xdr:cNvSpPr/>
      </xdr:nvSpPr>
      <xdr:spPr>
        <a:xfrm>
          <a:off x="7131685" y="74640440"/>
          <a:ext cx="2540000" cy="86995"/>
        </a:xfrm>
        <a:prstGeom prst="wedgeRectCallout">
          <a:avLst>
            <a:gd name="adj1" fmla="val -15643"/>
            <a:gd name="adj2" fmla="val 45660"/>
          </a:avLst>
        </a:prstGeom>
        <a:noFill/>
        <a:ln>
          <a:solidFill>
            <a:srgbClr val="00B050"/>
          </a:solidFill>
        </a:ln>
        <a:extLst>
          <a:ext uri="{909E8E84-426E-40DD-AFC4-6F175D3DCCD1}">
            <a14:hiddenFill xmlns:a14="http://schemas.microsoft.com/office/drawing/2010/main">
              <a:solidFill>
                <a:schemeClr val="accent2"/>
              </a:solidFill>
            </a14:hiddenFill>
          </a:ext>
        </a:extLst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en-US" altLang="zh-CN" sz="18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12700</xdr:colOff>
      <xdr:row>392</xdr:row>
      <xdr:rowOff>144145</xdr:rowOff>
    </xdr:from>
    <xdr:to>
      <xdr:col>3</xdr:col>
      <xdr:colOff>15875</xdr:colOff>
      <xdr:row>400</xdr:row>
      <xdr:rowOff>96520</xdr:rowOff>
    </xdr:to>
    <xdr:cxnSp>
      <xdr:nvCxnSpPr>
        <xdr:cNvPr id="34" name="直接连接符 33"/>
        <xdr:cNvCxnSpPr/>
      </xdr:nvCxnSpPr>
      <xdr:spPr>
        <a:xfrm>
          <a:off x="6979920" y="73522205"/>
          <a:ext cx="3175" cy="132397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477520</xdr:colOff>
      <xdr:row>398</xdr:row>
      <xdr:rowOff>100965</xdr:rowOff>
    </xdr:from>
    <xdr:to>
      <xdr:col>6</xdr:col>
      <xdr:colOff>371475</xdr:colOff>
      <xdr:row>398</xdr:row>
      <xdr:rowOff>110490</xdr:rowOff>
    </xdr:to>
    <xdr:cxnSp>
      <xdr:nvCxnSpPr>
        <xdr:cNvPr id="35" name="直接连接符 34"/>
        <xdr:cNvCxnSpPr/>
      </xdr:nvCxnSpPr>
      <xdr:spPr>
        <a:xfrm>
          <a:off x="7444740" y="74507725"/>
          <a:ext cx="37376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168910</xdr:colOff>
      <xdr:row>392</xdr:row>
      <xdr:rowOff>165100</xdr:rowOff>
    </xdr:from>
    <xdr:to>
      <xdr:col>3</xdr:col>
      <xdr:colOff>172085</xdr:colOff>
      <xdr:row>400</xdr:row>
      <xdr:rowOff>117475</xdr:rowOff>
    </xdr:to>
    <xdr:cxnSp>
      <xdr:nvCxnSpPr>
        <xdr:cNvPr id="37" name="直接连接符 36"/>
        <xdr:cNvCxnSpPr/>
      </xdr:nvCxnSpPr>
      <xdr:spPr>
        <a:xfrm>
          <a:off x="7136130" y="73543160"/>
          <a:ext cx="3175" cy="132397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467995</xdr:colOff>
      <xdr:row>399</xdr:row>
      <xdr:rowOff>32385</xdr:rowOff>
    </xdr:from>
    <xdr:to>
      <xdr:col>6</xdr:col>
      <xdr:colOff>361950</xdr:colOff>
      <xdr:row>399</xdr:row>
      <xdr:rowOff>41910</xdr:rowOff>
    </xdr:to>
    <xdr:cxnSp>
      <xdr:nvCxnSpPr>
        <xdr:cNvPr id="38" name="直接连接符 37"/>
        <xdr:cNvCxnSpPr/>
      </xdr:nvCxnSpPr>
      <xdr:spPr>
        <a:xfrm>
          <a:off x="7435215" y="74610595"/>
          <a:ext cx="3737610" cy="952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210820</xdr:colOff>
      <xdr:row>397</xdr:row>
      <xdr:rowOff>47625</xdr:rowOff>
    </xdr:from>
    <xdr:to>
      <xdr:col>6</xdr:col>
      <xdr:colOff>216535</xdr:colOff>
      <xdr:row>398</xdr:row>
      <xdr:rowOff>80010</xdr:rowOff>
    </xdr:to>
    <xdr:cxnSp>
      <xdr:nvCxnSpPr>
        <xdr:cNvPr id="41" name="直接箭头连接符 40"/>
        <xdr:cNvCxnSpPr/>
      </xdr:nvCxnSpPr>
      <xdr:spPr>
        <a:xfrm>
          <a:off x="11021695" y="74282935"/>
          <a:ext cx="5715" cy="20383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218440</xdr:colOff>
      <xdr:row>399</xdr:row>
      <xdr:rowOff>71755</xdr:rowOff>
    </xdr:from>
    <xdr:to>
      <xdr:col>6</xdr:col>
      <xdr:colOff>223520</xdr:colOff>
      <xdr:row>400</xdr:row>
      <xdr:rowOff>123190</xdr:rowOff>
    </xdr:to>
    <xdr:cxnSp>
      <xdr:nvCxnSpPr>
        <xdr:cNvPr id="42" name="直接箭头连接符 41"/>
        <xdr:cNvCxnSpPr/>
      </xdr:nvCxnSpPr>
      <xdr:spPr>
        <a:xfrm flipH="1" flipV="1">
          <a:off x="11029315" y="74649965"/>
          <a:ext cx="5080" cy="22288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3</xdr:col>
      <xdr:colOff>160020</xdr:colOff>
      <xdr:row>394</xdr:row>
      <xdr:rowOff>118110</xdr:rowOff>
    </xdr:from>
    <xdr:to>
      <xdr:col>3</xdr:col>
      <xdr:colOff>419735</xdr:colOff>
      <xdr:row>394</xdr:row>
      <xdr:rowOff>119380</xdr:rowOff>
    </xdr:to>
    <xdr:cxnSp>
      <xdr:nvCxnSpPr>
        <xdr:cNvPr id="43" name="直接箭头连接符 42"/>
        <xdr:cNvCxnSpPr/>
      </xdr:nvCxnSpPr>
      <xdr:spPr>
        <a:xfrm flipH="1" flipV="1">
          <a:off x="7127240" y="73839070"/>
          <a:ext cx="259715" cy="1270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1372870</xdr:colOff>
      <xdr:row>394</xdr:row>
      <xdr:rowOff>122555</xdr:rowOff>
    </xdr:from>
    <xdr:to>
      <xdr:col>2</xdr:col>
      <xdr:colOff>1561465</xdr:colOff>
      <xdr:row>394</xdr:row>
      <xdr:rowOff>128270</xdr:rowOff>
    </xdr:to>
    <xdr:cxnSp>
      <xdr:nvCxnSpPr>
        <xdr:cNvPr id="44" name="直接箭头连接符 43"/>
        <xdr:cNvCxnSpPr/>
      </xdr:nvCxnSpPr>
      <xdr:spPr>
        <a:xfrm flipV="1">
          <a:off x="6757035" y="73843515"/>
          <a:ext cx="188595" cy="5715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2">
          <a:schemeClr val="accent1"/>
        </a:lnRef>
        <a:fillRef idx="0">
          <a:srgbClr val="FFFFFF"/>
        </a:fillRef>
        <a:effectRef idx="0">
          <a:srgbClr val="FFFFFF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492760</xdr:colOff>
      <xdr:row>426</xdr:row>
      <xdr:rowOff>21590</xdr:rowOff>
    </xdr:from>
    <xdr:to>
      <xdr:col>8</xdr:col>
      <xdr:colOff>688340</xdr:colOff>
      <xdr:row>462</xdr:row>
      <xdr:rowOff>135890</xdr:rowOff>
    </xdr:to>
    <xdr:pic>
      <xdr:nvPicPr>
        <xdr:cNvPr id="36" name="图片 3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92760" y="79228950"/>
          <a:ext cx="13397865" cy="6286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487680</xdr:colOff>
      <xdr:row>433</xdr:row>
      <xdr:rowOff>140335</xdr:rowOff>
    </xdr:from>
    <xdr:to>
      <xdr:col>7</xdr:col>
      <xdr:colOff>245110</xdr:colOff>
      <xdr:row>464</xdr:row>
      <xdr:rowOff>163195</xdr:rowOff>
    </xdr:to>
    <xdr:pic>
      <xdr:nvPicPr>
        <xdr:cNvPr id="39" name="图片 3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87680" y="80547845"/>
          <a:ext cx="11550015" cy="5337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83185</xdr:colOff>
      <xdr:row>2</xdr:row>
      <xdr:rowOff>65405</xdr:rowOff>
    </xdr:from>
    <xdr:to>
      <xdr:col>17</xdr:col>
      <xdr:colOff>537210</xdr:colOff>
      <xdr:row>10</xdr:row>
      <xdr:rowOff>128905</xdr:rowOff>
    </xdr:to>
    <xdr:pic>
      <xdr:nvPicPr>
        <xdr:cNvPr id="31" name="图片 3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0807680" y="408305"/>
          <a:ext cx="5153025" cy="23526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95250</xdr:colOff>
      <xdr:row>5</xdr:row>
      <xdr:rowOff>34925</xdr:rowOff>
    </xdr:from>
    <xdr:to>
      <xdr:col>19</xdr:col>
      <xdr:colOff>120650</xdr:colOff>
      <xdr:row>21</xdr:row>
      <xdr:rowOff>34925</xdr:rowOff>
    </xdr:to>
    <xdr:graphicFrame>
      <xdr:nvGraphicFramePr>
        <xdr:cNvPr id="2" name="图表 1"/>
        <xdr:cNvGraphicFramePr/>
      </xdr:nvGraphicFramePr>
      <xdr:xfrm>
        <a:off x="8172450" y="892175"/>
        <a:ext cx="55118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666750</xdr:colOff>
      <xdr:row>28</xdr:row>
      <xdr:rowOff>139700</xdr:rowOff>
    </xdr:from>
    <xdr:to>
      <xdr:col>17</xdr:col>
      <xdr:colOff>15240</xdr:colOff>
      <xdr:row>43</xdr:row>
      <xdr:rowOff>34290</xdr:rowOff>
    </xdr:to>
    <xdr:graphicFrame>
      <xdr:nvGraphicFramePr>
        <xdr:cNvPr id="3" name="图表 2"/>
        <xdr:cNvGraphicFramePr/>
      </xdr:nvGraphicFramePr>
      <xdr:xfrm>
        <a:off x="1352550" y="4940300"/>
        <a:ext cx="10997565" cy="24663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../../Z170 &#26149;&#33738;/CJ221/IDD202GA/EB1/PCBA/BOM" TargetMode="External"/><Relationship Id="rId8" Type="http://schemas.openxmlformats.org/officeDocument/2006/relationships/hyperlink" Target="../../IBE002GC/Sch&amp;Layout - R02 +UL2054 - PMOS - Weak switch/Main PCBA-Sch&amp;Layout" TargetMode="External"/><Relationship Id="rId7" Type="http://schemas.openxmlformats.org/officeDocument/2006/relationships/hyperlink" Target="../../Z170 &#26149;&#33738;/CJ221/IDD202GA/EB1/PCBA/ESD&#25913;&#21892;7S1P0418" TargetMode="External"/><Relationship Id="rId6" Type="http://schemas.openxmlformats.org/officeDocument/2006/relationships/hyperlink" Target="../../Z170 &#26149;&#33738;/CJ221/IDD202GA/EB1/FS" TargetMode="External"/><Relationship Id="rId5" Type="http://schemas.openxmlformats.org/officeDocument/2006/relationships/hyperlink" Target="../../IBE002GC/&#25104;&#21697;&#35268;&#26684;&#20070;" TargetMode="External"/><Relationship Id="rId4" Type="http://schemas.openxmlformats.org/officeDocument/2006/relationships/hyperlink" Target="../../Z170 &#26149;&#33738;/CJ221/IDD202GA/EB1/&#27979;&#35797;" TargetMode="External"/><Relationship Id="rId32" Type="http://schemas.openxmlformats.org/officeDocument/2006/relationships/hyperlink" Target="mailto:353877235@QQ.COM" TargetMode="External"/><Relationship Id="rId31" Type="http://schemas.openxmlformats.org/officeDocument/2006/relationships/hyperlink" Target="../../Datasheet/CELL/Lishen&#21147;&#31070;/LR2170LA-4.0Ah&#160;Specification.pdf" TargetMode="External"/><Relationship Id="rId30" Type="http://schemas.openxmlformats.org/officeDocument/2006/relationships/hyperlink" Target="../../Datasheet/CELL/TIANPOWER/TENPOWER  ICR18650 2000mAh 20SG P2-CF-1.0 190816.pdf" TargetMode="External"/><Relationship Id="rId3" Type="http://schemas.openxmlformats.org/officeDocument/2006/relationships/hyperlink" Target="file:///\\192.168.41.18\2.&#21338;&#31185;&#33021;&#28304;&#22791;&#20221;\&#30005;&#23376;&#37096;\C &#21508;&#31867;&#27979;&#35797;&#25968;&#25454;&#27719;&#24635;\&#39033;&#30446;&#27979;&#35797;&#25968;&#25454;&#27719;&#24635;\02 &#21560;&#23576;&#22120;&#31867;&#39033;&#30446;\I0342A\01 &#27979;&#35797;&#35745;&#21010;&#21450;&#25253;&#21578;&#27719;&#24635;" TargetMode="External"/><Relationship Id="rId29" Type="http://schemas.openxmlformats.org/officeDocument/2006/relationships/hyperlink" Target="../../IBE002GC/&#24322;&#24120;&#38382;&#39064;" TargetMode="External"/><Relationship Id="rId28" Type="http://schemas.openxmlformats.org/officeDocument/2006/relationships/hyperlink" Target="../../CJ231 5S1P/PCBA/BOM" TargetMode="External"/><Relationship Id="rId27" Type="http://schemas.openxmlformats.org/officeDocument/2006/relationships/hyperlink" Target="../../CJ231 5S1P/PCBA/PCB&amp;SCH" TargetMode="External"/><Relationship Id="rId26" Type="http://schemas.openxmlformats.org/officeDocument/2006/relationships/hyperlink" Target="../../CJ231 5S1P/FS" TargetMode="External"/><Relationship Id="rId25" Type="http://schemas.openxmlformats.org/officeDocument/2006/relationships/hyperlink" Target="../../CJ231 5S1P/&#20135;&#21697;&#35268;&#26684;&#20070;" TargetMode="External"/><Relationship Id="rId24" Type="http://schemas.openxmlformats.org/officeDocument/2006/relationships/hyperlink" Target="../../CJ231 5S1P/&#27979;&#35797;/&#35268;&#26684;" TargetMode="External"/><Relationship Id="rId23" Type="http://schemas.openxmlformats.org/officeDocument/2006/relationships/hyperlink" Target="../../I0438A-CJW002/CJW002/&#36755;&#20986;&#36164;&#26009;" TargetMode="External"/><Relationship Id="rId22" Type="http://schemas.openxmlformats.org/officeDocument/2006/relationships/hyperlink" Target="../../Z170 &#26149;&#33738;/CJ221/IDD202GA/EB1/&#20135;&#21697;&#35268;&#26684;&#20070;" TargetMode="External"/><Relationship Id="rId21" Type="http://schemas.openxmlformats.org/officeDocument/2006/relationships/hyperlink" Target="../../I0438A-CJW002/&#27979;&#35797;" TargetMode="External"/><Relationship Id="rId20" Type="http://schemas.openxmlformats.org/officeDocument/2006/relationships/hyperlink" Target="../../B903&#23458;&#25143; IRobot" TargetMode="External"/><Relationship Id="rId2" Type="http://schemas.openxmlformats.org/officeDocument/2006/relationships/hyperlink" Target="file:///\\192.168.41.18\3.&#29305;&#27530;&#20849;&#20139;\04..&#20449;&#24687;&#31185;&#25216;&#37096;\&#35774;&#35745;&#24320;&#21457;" TargetMode="External"/><Relationship Id="rId19" Type="http://schemas.openxmlformats.org/officeDocument/2006/relationships/hyperlink" Target="../../Z170 &#26149;&#33738;/CJ221/IDD202GA/EB1/&#36719;&#20214;" TargetMode="External"/><Relationship Id="rId18" Type="http://schemas.openxmlformats.org/officeDocument/2006/relationships/hyperlink" Target="../../Z170 &#26149;&#33738;/CJ221/I0342A/PCBA/EB1 PCBA/SMT&amp;DIP" TargetMode="External"/><Relationship Id="rId17" Type="http://schemas.openxmlformats.org/officeDocument/2006/relationships/hyperlink" Target="../../Wakizashi-EL I0380/PCBA" TargetMode="External"/><Relationship Id="rId16" Type="http://schemas.openxmlformats.org/officeDocument/2006/relationships/hyperlink" Target="../../Z170 &#26149;&#33738;/CJ221/I0342A/PCBA/EB1 PCBA/PCB&amp;SCH" TargetMode="External"/><Relationship Id="rId15" Type="http://schemas.openxmlformats.org/officeDocument/2006/relationships/hyperlink" Target="../../Wakizashi-EL I0380/FS" TargetMode="External"/><Relationship Id="rId14" Type="http://schemas.openxmlformats.org/officeDocument/2006/relationships/hyperlink" Target="../../&#25253;&#20215;3S1P" TargetMode="External"/><Relationship Id="rId13" Type="http://schemas.openxmlformats.org/officeDocument/2006/relationships/hyperlink" Target="../../CJ08-I0376A/&#27979;&#35797;/&#35268;&#26684;" TargetMode="External"/><Relationship Id="rId12" Type="http://schemas.openxmlformats.org/officeDocument/2006/relationships/hyperlink" Target="../../Datasheet/CELL/TIANPOWER/TENPOWER&#160;-INR18650 25PG&#30005;&#33455;&#35268;&#26684;&#20070;-RA-20210729.pdf" TargetMode="External"/><Relationship Id="rId11" Type="http://schemas.openxmlformats.org/officeDocument/2006/relationships/hyperlink" Target="../../IBE002GC/Sch&amp;Layout - R02 +UL2054 - PMOS - Weak switch/Program file" TargetMode="External"/><Relationship Id="rId10" Type="http://schemas.openxmlformats.org/officeDocument/2006/relationships/hyperlink" Target="../../Z170 &#26149;&#33738;/CJ221/IDD202GA/EB1/PCBA/SMT@DIP" TargetMode="Externa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hyperlink" Target="..\..\Z170 &#26149;&#33738;\CJ221\I0342A\&#27979;&#35797;\&#35268;&#26684;" TargetMode="External"/><Relationship Id="rId8" Type="http://schemas.openxmlformats.org/officeDocument/2006/relationships/hyperlink" Target="../../Z170 &#26149;&#33738;/CJ221/IDD202GA/EB1/&#36719;&#20214;" TargetMode="External"/><Relationship Id="rId7" Type="http://schemas.openxmlformats.org/officeDocument/2006/relationships/hyperlink" Target="../../Z170 &#26149;&#33738;/CJ221/IDD202GA/EB1/PCBA/SMT@DIP" TargetMode="External"/><Relationship Id="rId6" Type="http://schemas.openxmlformats.org/officeDocument/2006/relationships/hyperlink" Target="../../Z170 &#26149;&#33738;/CJ221/IDD202GA/EB1/PCBA/BOM" TargetMode="External"/><Relationship Id="rId5" Type="http://schemas.openxmlformats.org/officeDocument/2006/relationships/hyperlink" Target="../../Z170 &#26149;&#33738;/CJ221/IDD202GA/EB1/PCBA/ESD&#25913;&#21892;7S1P0418" TargetMode="External"/><Relationship Id="rId4" Type="http://schemas.openxmlformats.org/officeDocument/2006/relationships/hyperlink" Target="../../Z170 &#26149;&#33738;/CJ221/IDD202GA/EB1/FS" TargetMode="External"/><Relationship Id="rId3" Type="http://schemas.openxmlformats.org/officeDocument/2006/relationships/hyperlink" Target="../../Z170 &#26149;&#33738;/CJ221/IDD202GA/EB1/&#20135;&#21697;&#35268;&#26684;&#20070;" TargetMode="External"/><Relationship Id="rId20" Type="http://schemas.openxmlformats.org/officeDocument/2006/relationships/hyperlink" Target="..\..\Datasheet\CELL\TIANPOWER\TENPOWER  ICR18650 2000mAh 20SG P2-CF-1.0 190816.pdf" TargetMode="External"/><Relationship Id="rId2" Type="http://schemas.openxmlformats.org/officeDocument/2006/relationships/hyperlink" Target="../../Z170 &#26149;&#33738;/CJ221/IDD202GA/EB1/&#27979;&#35797;" TargetMode="External"/><Relationship Id="rId19" Type="http://schemas.openxmlformats.org/officeDocument/2006/relationships/hyperlink" Target="../../Datasheet/CELL/TIANPOWER/TENPOWER&#160;-INR18650 25PG&#30005;&#33455;&#35268;&#26684;&#20070;-RA-20210729.pdf" TargetMode="External"/><Relationship Id="rId18" Type="http://schemas.openxmlformats.org/officeDocument/2006/relationships/hyperlink" Target="../../Z170 &#26149;&#33738;/CJ221/I0342A/PCBA/EB2" TargetMode="External"/><Relationship Id="rId17" Type="http://schemas.openxmlformats.org/officeDocument/2006/relationships/hyperlink" Target="../../Z170 &#26149;&#33738;/CJ221/IDD202GA/EB2/PCBA/PCB&amp;SCH" TargetMode="External"/><Relationship Id="rId16" Type="http://schemas.openxmlformats.org/officeDocument/2006/relationships/hyperlink" Target="../../Z170 &#26149;&#33738;/CJ221/IDD202GA/EB2/&#36719;&#20214;" TargetMode="External"/><Relationship Id="rId15" Type="http://schemas.openxmlformats.org/officeDocument/2006/relationships/hyperlink" Target="..\..\Z170 &#26149;&#33738;\CJ221\IDD202GA\EB1\&#27979;&#35797;" TargetMode="External"/><Relationship Id="rId14" Type="http://schemas.openxmlformats.org/officeDocument/2006/relationships/hyperlink" Target="../../Z170 &#26149;&#33738;/CJ221/I0342A/PCBA/EB1 PCBA/SMT&amp;DIP" TargetMode="External"/><Relationship Id="rId13" Type="http://schemas.openxmlformats.org/officeDocument/2006/relationships/hyperlink" Target="../../Z170 &#26149;&#33738;/CJ221/I0342A/PCBA/EB1 PCBA/BOM" TargetMode="External"/><Relationship Id="rId12" Type="http://schemas.openxmlformats.org/officeDocument/2006/relationships/hyperlink" Target="../../Z170 &#26149;&#33738;/CJ221/I0342A/PCBA/EB1 PCBA/PCB&amp;SCH" TargetMode="External"/><Relationship Id="rId11" Type="http://schemas.openxmlformats.org/officeDocument/2006/relationships/hyperlink" Target="..\..\Z170 &#26149;&#33738;\CJ221\IDD202GA\EB1\FS" TargetMode="External"/><Relationship Id="rId10" Type="http://schemas.openxmlformats.org/officeDocument/2006/relationships/hyperlink" Target="../../Z170 &#26149;&#33738;/CJ221/I0342A/&#20135;&#21697;&#35268;&#26684;&#20070;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hyperlink" Target="../../Datasheet/CELL/TIANPOWER/TENPOWER&#160;&#160;ICR18650&#160;2000mAh&#160;20PG&#160;P2-CE-1.0&#160;190816.pdf" TargetMode="External"/><Relationship Id="rId8" Type="http://schemas.openxmlformats.org/officeDocument/2006/relationships/hyperlink" Target="../../Datasheet/CELL/EVE&#20159;&#20255;/&#12298;EVE&#160;ICR18650-20P&#160;Spec&#12299;RD-EVE&#160;ICR18650-20P-S60-LF-C.pdf" TargetMode="External"/><Relationship Id="rId7" Type="http://schemas.openxmlformats.org/officeDocument/2006/relationships/hyperlink" Target="../../&#23500;&#22763;&#21326; &#39033;&#30446;/PCBA/SMT&amp;DIP" TargetMode="External"/><Relationship Id="rId6" Type="http://schemas.openxmlformats.org/officeDocument/2006/relationships/hyperlink" Target="../../&#23500;&#22763;&#21326; &#39033;&#30446;/PCBA/BOM" TargetMode="External"/><Relationship Id="rId5" Type="http://schemas.openxmlformats.org/officeDocument/2006/relationships/hyperlink" Target="../../&#23500;&#22763;&#21326; &#39033;&#30446;/PCBA/PCB&amp;SCH" TargetMode="External"/><Relationship Id="rId4" Type="http://schemas.openxmlformats.org/officeDocument/2006/relationships/hyperlink" Target="../../&#23500;&#22763;&#21326; &#39033;&#30446;/FS" TargetMode="External"/><Relationship Id="rId3" Type="http://schemas.openxmlformats.org/officeDocument/2006/relationships/hyperlink" Target="../../&#23500;&#22763;&#21326; &#39033;&#30446;/&#20135;&#21697;&#35268;&#26684;&#20070;" TargetMode="External"/><Relationship Id="rId2" Type="http://schemas.openxmlformats.org/officeDocument/2006/relationships/hyperlink" Target="../../&#23500;&#22763;&#21326; &#39033;&#30446;/&#27979;&#35797;/&#35268;&#26684;" TargetMode="External"/><Relationship Id="rId17" Type="http://schemas.openxmlformats.org/officeDocument/2006/relationships/hyperlink" Target="../../Datasheet/CELL/TIANPOWER/TENPOWER&#160;-INR18650 25PG&#30005;&#33455;&#35268;&#26684;&#20070;-RA-20210729.pdf" TargetMode="External"/><Relationship Id="rId16" Type="http://schemas.openxmlformats.org/officeDocument/2006/relationships/hyperlink" Target="../../Z170 &#26149;&#33738;/CJ221/IDD202GA/EB1/&#36719;&#20214;" TargetMode="External"/><Relationship Id="rId15" Type="http://schemas.openxmlformats.org/officeDocument/2006/relationships/hyperlink" Target="../../Z170 &#26149;&#33738;/CJ221/IDD202GA/EB1/PCBA/SMT@DIP" TargetMode="External"/><Relationship Id="rId14" Type="http://schemas.openxmlformats.org/officeDocument/2006/relationships/hyperlink" Target="../../Philip/Philip 3S3P/PCBA/PCB&amp;SCH" TargetMode="External"/><Relationship Id="rId13" Type="http://schemas.openxmlformats.org/officeDocument/2006/relationships/hyperlink" Target="../../Z170 &#26149;&#33738;/CJ221/IDD202GA/EB1/PCBA/ESD&#25913;&#21892;7S1P0418" TargetMode="External"/><Relationship Id="rId12" Type="http://schemas.openxmlformats.org/officeDocument/2006/relationships/hyperlink" Target="../../Z170 &#26149;&#33738;/CJ221/IDD202GA/EB1/FS" TargetMode="External"/><Relationship Id="rId11" Type="http://schemas.openxmlformats.org/officeDocument/2006/relationships/hyperlink" Target="../../Z170 &#26149;&#33738;/CJ221/IDD202GA/EB1/&#20135;&#21697;&#35268;&#26684;&#20070;" TargetMode="External"/><Relationship Id="rId10" Type="http://schemas.openxmlformats.org/officeDocument/2006/relationships/hyperlink" Target="../../Z170 &#26149;&#33738;/CJ221/IDD202GA/EB1/&#27979;&#35797;" TargetMode="Externa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hyperlink" Target="../../Z170 &#26149;&#33738;/CJ221/IDD202GA/EB1/&#36719;&#20214;" TargetMode="External"/><Relationship Id="rId8" Type="http://schemas.openxmlformats.org/officeDocument/2006/relationships/hyperlink" Target="../../Z170 &#26149;&#33738;/CJ221/I0342A/PCBA/EB1 PCBA/SMT&amp;DIP" TargetMode="External"/><Relationship Id="rId7" Type="http://schemas.openxmlformats.org/officeDocument/2006/relationships/hyperlink" Target="../../CJ08-I0376A/PCBA/BOM" TargetMode="External"/><Relationship Id="rId6" Type="http://schemas.openxmlformats.org/officeDocument/2006/relationships/hyperlink" Target="../../Wakizashi-EL I0380/PCBA" TargetMode="External"/><Relationship Id="rId5" Type="http://schemas.openxmlformats.org/officeDocument/2006/relationships/hyperlink" Target="..\..\CJ08-I0376A\PCBA\PCB&amp;SCH" TargetMode="External"/><Relationship Id="rId4" Type="http://schemas.openxmlformats.org/officeDocument/2006/relationships/hyperlink" Target="..\..\CJ08-I0376A\FS" TargetMode="External"/><Relationship Id="rId3" Type="http://schemas.openxmlformats.org/officeDocument/2006/relationships/hyperlink" Target="..\..\CJ08-I0376A\&#20135;&#21697;&#35268;&#26684;&#20070;" TargetMode="External"/><Relationship Id="rId2" Type="http://schemas.openxmlformats.org/officeDocument/2006/relationships/hyperlink" Target="..\..\CJ08-I0376A\&#27979;&#35797;\&#35268;&#26684;" TargetMode="External"/><Relationship Id="rId14" Type="http://schemas.openxmlformats.org/officeDocument/2006/relationships/hyperlink" Target="..\..\Datasheet\CELL\&#28023;&#22235;&#36798;\ISR18650-2000-1089-2020.pdf" TargetMode="External"/><Relationship Id="rId13" Type="http://schemas.openxmlformats.org/officeDocument/2006/relationships/hyperlink" Target="../../Z170 &#26149;&#33738;/CJ221/I0342A/PCBA/EB1 PCBA/PCB&amp;SCH" TargetMode="External"/><Relationship Id="rId12" Type="http://schemas.openxmlformats.org/officeDocument/2006/relationships/hyperlink" Target="../../Wakizashi-EL I0380/FS" TargetMode="External"/><Relationship Id="rId11" Type="http://schemas.openxmlformats.org/officeDocument/2006/relationships/hyperlink" Target="../../Wakizashi-EL I0380/&#20135;&#21697;&#35268;&#26684;&#20070;" TargetMode="External"/><Relationship Id="rId10" Type="http://schemas.openxmlformats.org/officeDocument/2006/relationships/hyperlink" Target="../../CJ08-I0376A/&#27979;&#35797;/&#35268;&#26684;" TargetMode="Externa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hyperlink" Target="../../Datasheet/CELL/TIANPOWER/TENPOWER&#160;-INR18650 25PG&#30005;&#33455;&#35268;&#26684;&#20070;-RA-20210729.pdf" TargetMode="External"/><Relationship Id="rId8" Type="http://schemas.openxmlformats.org/officeDocument/2006/relationships/hyperlink" Target="../../Z170 &#26149;&#33738;/CJ221/IDD202GA/EB1/&#36719;&#20214;" TargetMode="External"/><Relationship Id="rId7" Type="http://schemas.openxmlformats.org/officeDocument/2006/relationships/hyperlink" Target="../../Z170 &#26149;&#33738;/CJ221/I0342A/PCBA/EB1 PCBA/SMT&amp;DIP" TargetMode="External"/><Relationship Id="rId6" Type="http://schemas.openxmlformats.org/officeDocument/2006/relationships/hyperlink" Target="..\..\Wakizashi-EL I0380\PCBA\BOM" TargetMode="External"/><Relationship Id="rId5" Type="http://schemas.openxmlformats.org/officeDocument/2006/relationships/hyperlink" Target="..\..\Wakizashi-EL I0380\PCBA\PCB&amp;SCH" TargetMode="External"/><Relationship Id="rId4" Type="http://schemas.openxmlformats.org/officeDocument/2006/relationships/hyperlink" Target="..\..\Wakizashi-EL I0380\FS" TargetMode="External"/><Relationship Id="rId3" Type="http://schemas.openxmlformats.org/officeDocument/2006/relationships/hyperlink" Target="..\..\Wakizashi-EL I0380\&#20135;&#21697;&#35268;&#26684;&#20070;" TargetMode="External"/><Relationship Id="rId2" Type="http://schemas.openxmlformats.org/officeDocument/2006/relationships/hyperlink" Target="..\..\Wakizashi-EL I0380\&#27979;&#35797;\&#35268;&#26684;" TargetMode="Externa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9" Type="http://schemas.openxmlformats.org/officeDocument/2006/relationships/hyperlink" Target="..\..\SONY\PCBA\SMT&amp;DIP" TargetMode="External"/><Relationship Id="rId8" Type="http://schemas.openxmlformats.org/officeDocument/2006/relationships/hyperlink" Target="..\..\SONY\PCBA\BOM" TargetMode="External"/><Relationship Id="rId7" Type="http://schemas.openxmlformats.org/officeDocument/2006/relationships/hyperlink" Target="..\..\SONY\PCBA\PCB&amp;SCH" TargetMode="External"/><Relationship Id="rId6" Type="http://schemas.openxmlformats.org/officeDocument/2006/relationships/hyperlink" Target="..\..\SONY\FS" TargetMode="External"/><Relationship Id="rId5" Type="http://schemas.openxmlformats.org/officeDocument/2006/relationships/hyperlink" Target="..\..\SONY\&#20135;&#21697;&#35268;&#26684;&#20070;" TargetMode="External"/><Relationship Id="rId4" Type="http://schemas.openxmlformats.org/officeDocument/2006/relationships/hyperlink" Target="../../SONY/&#27979;&#35797;/&#35268;&#26684;" TargetMode="External"/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6" Type="http://schemas.openxmlformats.org/officeDocument/2006/relationships/hyperlink" Target="https://e2echina.ti.com/support/power-management/f/power-management-forum/787579/bq34z100-r2-g1/2888687#2888687" TargetMode="External"/><Relationship Id="rId15" Type="http://schemas.openxmlformats.org/officeDocument/2006/relationships/hyperlink" Target="https://e2echina.ti.com/support/power-management/f/power-management-forum/787579/bq34z100-r2-g1/2888687" TargetMode="External"/><Relationship Id="rId14" Type="http://schemas.openxmlformats.org/officeDocument/2006/relationships/hyperlink" Target="..\..\SONY\DATASHEEET" TargetMode="External"/><Relationship Id="rId13" Type="http://schemas.openxmlformats.org/officeDocument/2006/relationships/hyperlink" Target="https://www.codaca.com.cn/search.aspx?key=220M" TargetMode="External"/><Relationship Id="rId12" Type="http://schemas.openxmlformats.org/officeDocument/2006/relationships/hyperlink" Target="..\..\Sony\&#36755;&#20986;&#36164;&#26009;\CELL" TargetMode="External"/><Relationship Id="rId11" Type="http://schemas.openxmlformats.org/officeDocument/2006/relationships/hyperlink" Target="../../Datasheet/IC/Protection IC/ICM_CM1003-GAD_DS_Rev 1.0.pdf" TargetMode="External"/><Relationship Id="rId10" Type="http://schemas.openxmlformats.org/officeDocument/2006/relationships/hyperlink" Target="..\..\SONY\FW" TargetMode="External"/><Relationship Id="rId1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../../../I0712A(L81&#21560;&#23576;&#22120;)" TargetMode="External"/><Relationship Id="rId1" Type="http://schemas.openxmlformats.org/officeDocument/2006/relationships/hyperlink" Target="../../IAD049NA--5S1P/I0708A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14"/>
  <sheetViews>
    <sheetView zoomScale="160" zoomScaleNormal="160" topLeftCell="A6" workbookViewId="0">
      <selection activeCell="A19" sqref="A19"/>
    </sheetView>
  </sheetViews>
  <sheetFormatPr defaultColWidth="9" defaultRowHeight="13.5"/>
  <cols>
    <col min="1" max="1" width="22.1083333333333" customWidth="1"/>
    <col min="2" max="2" width="37.8833333333333" customWidth="1"/>
    <col min="3" max="3" width="22.6666666666667" customWidth="1"/>
    <col min="4" max="4" width="13.2166666666667" customWidth="1"/>
    <col min="5" max="5" width="16.3333333333333" customWidth="1"/>
    <col min="6" max="6" width="13.2166666666667" customWidth="1"/>
    <col min="7" max="7" width="11.1083333333333" customWidth="1"/>
    <col min="8" max="8" width="12" customWidth="1"/>
    <col min="9" max="9" width="8.10833333333333" customWidth="1"/>
    <col min="10" max="10" width="18" customWidth="1"/>
    <col min="11" max="11" width="16.3333333333333" customWidth="1"/>
    <col min="12" max="12" width="9.88333333333333" customWidth="1"/>
    <col min="23" max="23" width="15.775" customWidth="1"/>
    <col min="24" max="25" width="12.6666666666667"/>
    <col min="26" max="26" width="12.6666666666667" customWidth="1"/>
    <col min="27" max="27" width="9" customWidth="1"/>
    <col min="28" max="28" width="9.33333333333333" customWidth="1"/>
    <col min="29" max="42" width="9" customWidth="1"/>
    <col min="43" max="43" width="11.5" customWidth="1"/>
    <col min="44" max="50" width="9" customWidth="1"/>
    <col min="55" max="55" width="15.1" customWidth="1"/>
    <col min="56" max="56" width="12.6333333333333"/>
    <col min="61" max="61" width="9.38333333333333"/>
  </cols>
  <sheetData>
    <row r="1" spans="1:72">
      <c r="A1" t="s">
        <v>0</v>
      </c>
      <c r="L1" s="12"/>
      <c r="M1" s="19"/>
      <c r="N1" s="19"/>
      <c r="O1" s="19"/>
      <c r="P1" s="19"/>
      <c r="Q1" s="19"/>
      <c r="R1" s="19" t="s">
        <v>1</v>
      </c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3"/>
      <c r="AQ1" s="252">
        <v>45228</v>
      </c>
      <c r="AR1" s="19"/>
      <c r="AS1" s="19"/>
      <c r="AT1" s="19"/>
      <c r="AU1" s="19"/>
      <c r="AV1" s="19"/>
      <c r="AW1" s="19" t="s">
        <v>1</v>
      </c>
      <c r="AX1" s="19"/>
      <c r="AY1" s="254">
        <v>45228</v>
      </c>
      <c r="AZ1" s="19"/>
      <c r="BA1" s="19"/>
      <c r="BB1" s="19"/>
      <c r="BC1" s="19"/>
      <c r="BD1" s="19"/>
      <c r="BE1" s="19"/>
      <c r="BF1" s="19"/>
      <c r="BG1" s="254">
        <v>45228</v>
      </c>
      <c r="BH1" s="19"/>
      <c r="BI1" s="19"/>
      <c r="BJ1" s="19"/>
      <c r="BK1" s="19"/>
      <c r="BL1" s="19"/>
      <c r="BM1" s="19"/>
      <c r="BN1" s="248">
        <v>45143</v>
      </c>
      <c r="BO1" s="19"/>
      <c r="BP1" s="19"/>
      <c r="BQ1" s="19"/>
      <c r="BR1" s="19"/>
      <c r="BS1" s="19"/>
      <c r="BT1" s="13"/>
    </row>
    <row r="2" spans="12:72">
      <c r="L2" s="239" t="s">
        <v>2</v>
      </c>
      <c r="M2" s="1">
        <f>SUM(M3:M7)</f>
        <v>195383</v>
      </c>
      <c r="O2" s="240" t="s">
        <v>3</v>
      </c>
      <c r="P2" t="s">
        <v>4</v>
      </c>
      <c r="Q2">
        <v>68</v>
      </c>
      <c r="T2" s="1" t="s">
        <v>5</v>
      </c>
      <c r="U2" s="3" t="s">
        <v>6</v>
      </c>
      <c r="AB2" s="1" t="s">
        <v>5</v>
      </c>
      <c r="AC2" t="s">
        <v>7</v>
      </c>
      <c r="AI2" s="1" t="s">
        <v>5</v>
      </c>
      <c r="AO2" s="15"/>
      <c r="AQ2" s="239" t="s">
        <v>2</v>
      </c>
      <c r="AR2" s="1">
        <f>SUM(AR3:AR7)</f>
        <v>199901</v>
      </c>
      <c r="AS2">
        <f t="shared" ref="AS2:AS7" si="0">AR2-M2</f>
        <v>4518</v>
      </c>
      <c r="AT2" s="240" t="s">
        <v>3</v>
      </c>
      <c r="AU2" t="s">
        <v>4</v>
      </c>
      <c r="AV2">
        <v>10</v>
      </c>
      <c r="AW2">
        <f>AV2-Q2</f>
        <v>-58</v>
      </c>
      <c r="AY2" s="1" t="s">
        <v>5</v>
      </c>
      <c r="AZ2" s="3" t="s">
        <v>6</v>
      </c>
      <c r="BG2" s="1" t="s">
        <v>5</v>
      </c>
      <c r="BH2" t="s">
        <v>7</v>
      </c>
      <c r="BN2" s="1" t="s">
        <v>5</v>
      </c>
      <c r="BT2" s="15"/>
    </row>
    <row r="3" ht="95.25" spans="1:72">
      <c r="A3" t="s">
        <v>8</v>
      </c>
      <c r="C3" t="s">
        <v>9</v>
      </c>
      <c r="F3" s="220" t="s">
        <v>10</v>
      </c>
      <c r="G3" t="s">
        <v>11</v>
      </c>
      <c r="L3" s="14" t="s">
        <v>12</v>
      </c>
      <c r="M3">
        <v>85196</v>
      </c>
      <c r="O3" s="240"/>
      <c r="P3" t="s">
        <v>13</v>
      </c>
      <c r="Q3">
        <v>16503</v>
      </c>
      <c r="T3">
        <f>SUM(U3:Z3)</f>
        <v>417638</v>
      </c>
      <c r="U3">
        <v>35436</v>
      </c>
      <c r="V3">
        <v>372936</v>
      </c>
      <c r="W3" t="s">
        <v>14</v>
      </c>
      <c r="X3" s="248" t="s">
        <v>15</v>
      </c>
      <c r="Y3" s="248"/>
      <c r="Z3">
        <v>9266</v>
      </c>
      <c r="AA3" s="248"/>
      <c r="AB3">
        <f>SUM(AC3:AE3)</f>
        <v>66224.28</v>
      </c>
      <c r="AC3">
        <v>2322</v>
      </c>
      <c r="AD3">
        <f>SUM(AD4:AD9)</f>
        <v>63902.28</v>
      </c>
      <c r="AE3" t="s">
        <v>14</v>
      </c>
      <c r="AF3" s="248" t="s">
        <v>15</v>
      </c>
      <c r="AG3">
        <v>0</v>
      </c>
      <c r="AH3" s="248">
        <v>45143</v>
      </c>
      <c r="AI3">
        <f>SUM(AJ3:AN3)</f>
        <v>6344.8</v>
      </c>
      <c r="AJ3">
        <v>0.8</v>
      </c>
      <c r="AK3">
        <v>1075</v>
      </c>
      <c r="AL3" t="s">
        <v>14</v>
      </c>
      <c r="AM3" s="248" t="s">
        <v>15</v>
      </c>
      <c r="AN3">
        <v>5269</v>
      </c>
      <c r="AO3" s="253">
        <v>45143</v>
      </c>
      <c r="AQ3" s="14" t="s">
        <v>12</v>
      </c>
      <c r="AR3">
        <v>89964</v>
      </c>
      <c r="AS3">
        <f t="shared" si="0"/>
        <v>4768</v>
      </c>
      <c r="AT3" s="240"/>
      <c r="AU3" t="s">
        <v>13</v>
      </c>
      <c r="AV3">
        <v>30093</v>
      </c>
      <c r="AW3">
        <f>AV3-Q3</f>
        <v>13590</v>
      </c>
      <c r="AY3">
        <f>SUM(AZ3:BE3)</f>
        <v>411423</v>
      </c>
      <c r="AZ3">
        <v>66086</v>
      </c>
      <c r="BA3">
        <f>SUM(BA4:BA30)</f>
        <v>337123</v>
      </c>
      <c r="BB3" t="s">
        <v>14</v>
      </c>
      <c r="BC3" s="248" t="s">
        <v>15</v>
      </c>
      <c r="BD3" s="248"/>
      <c r="BE3">
        <v>8214</v>
      </c>
      <c r="BF3" s="248"/>
      <c r="BG3">
        <f>SUM(BH3:BJ3)</f>
        <v>66475.28</v>
      </c>
      <c r="BH3">
        <v>2331</v>
      </c>
      <c r="BI3">
        <f>SUM(BI4:BI9)</f>
        <v>64144.28</v>
      </c>
      <c r="BJ3" t="s">
        <v>14</v>
      </c>
      <c r="BK3" s="248" t="s">
        <v>15</v>
      </c>
      <c r="BN3">
        <f>SUM(BO3:BS3)</f>
        <v>6344.8</v>
      </c>
      <c r="BO3">
        <v>0.8</v>
      </c>
      <c r="BP3">
        <v>1075</v>
      </c>
      <c r="BQ3" t="s">
        <v>14</v>
      </c>
      <c r="BR3" s="248" t="s">
        <v>15</v>
      </c>
      <c r="BS3">
        <v>5269</v>
      </c>
      <c r="BT3" s="253">
        <v>45143</v>
      </c>
    </row>
    <row r="4" spans="1:72">
      <c r="A4" t="s">
        <v>16</v>
      </c>
      <c r="B4" t="s">
        <v>17</v>
      </c>
      <c r="L4" s="14" t="s">
        <v>18</v>
      </c>
      <c r="M4">
        <v>39533</v>
      </c>
      <c r="Q4">
        <f>Q3+R4</f>
        <v>20503</v>
      </c>
      <c r="R4">
        <v>4000</v>
      </c>
      <c r="S4" s="248">
        <v>47300</v>
      </c>
      <c r="T4">
        <v>416634</v>
      </c>
      <c r="V4">
        <v>10561</v>
      </c>
      <c r="W4" t="s">
        <v>19</v>
      </c>
      <c r="AD4">
        <v>10000</v>
      </c>
      <c r="AE4" t="s">
        <v>20</v>
      </c>
      <c r="AF4" s="251">
        <v>0.02</v>
      </c>
      <c r="AK4">
        <v>10000</v>
      </c>
      <c r="AL4" t="s">
        <v>20</v>
      </c>
      <c r="AM4" s="251">
        <v>0.02</v>
      </c>
      <c r="AO4" s="15"/>
      <c r="AQ4" s="14" t="s">
        <v>18</v>
      </c>
      <c r="AR4">
        <v>39356</v>
      </c>
      <c r="AS4">
        <f t="shared" si="0"/>
        <v>-177</v>
      </c>
      <c r="AX4" s="248"/>
      <c r="BA4" s="243">
        <v>10612</v>
      </c>
      <c r="BB4" t="s">
        <v>19</v>
      </c>
      <c r="BE4">
        <v>5959</v>
      </c>
      <c r="BF4" t="s">
        <v>21</v>
      </c>
      <c r="BI4">
        <v>10029</v>
      </c>
      <c r="BJ4" t="s">
        <v>22</v>
      </c>
      <c r="BK4" s="251">
        <v>0.02</v>
      </c>
      <c r="BP4">
        <v>10000</v>
      </c>
      <c r="BQ4" t="s">
        <v>20</v>
      </c>
      <c r="BR4" s="251">
        <v>0.02</v>
      </c>
      <c r="BT4" s="15"/>
    </row>
    <row r="5" spans="1:72">
      <c r="A5" t="s">
        <v>23</v>
      </c>
      <c r="B5" t="s">
        <v>24</v>
      </c>
      <c r="L5" s="14" t="s">
        <v>25</v>
      </c>
      <c r="M5">
        <v>30338</v>
      </c>
      <c r="Q5">
        <f>Q4+R5</f>
        <v>20503</v>
      </c>
      <c r="T5">
        <f>T3-T4</f>
        <v>1004</v>
      </c>
      <c r="V5">
        <v>10205</v>
      </c>
      <c r="W5" t="s">
        <v>26</v>
      </c>
      <c r="AD5">
        <v>10568</v>
      </c>
      <c r="AE5" t="s">
        <v>27</v>
      </c>
      <c r="AK5">
        <v>10568</v>
      </c>
      <c r="AL5" t="s">
        <v>27</v>
      </c>
      <c r="AO5" s="15"/>
      <c r="AQ5" s="14" t="s">
        <v>25</v>
      </c>
      <c r="AR5">
        <v>30157</v>
      </c>
      <c r="AS5">
        <f t="shared" si="0"/>
        <v>-181</v>
      </c>
      <c r="BA5" s="243">
        <v>10237</v>
      </c>
      <c r="BB5" t="s">
        <v>26</v>
      </c>
      <c r="BE5">
        <v>1877</v>
      </c>
      <c r="BF5" t="s">
        <v>28</v>
      </c>
      <c r="BI5">
        <v>10614</v>
      </c>
      <c r="BJ5" t="s">
        <v>27</v>
      </c>
      <c r="BP5">
        <v>10568</v>
      </c>
      <c r="BQ5" t="s">
        <v>27</v>
      </c>
      <c r="BT5" s="15"/>
    </row>
    <row r="6" spans="1:72">
      <c r="A6" t="s">
        <v>29</v>
      </c>
      <c r="B6" t="s">
        <v>30</v>
      </c>
      <c r="C6" t="s">
        <v>9</v>
      </c>
      <c r="L6" s="14" t="s">
        <v>31</v>
      </c>
      <c r="M6">
        <v>20197</v>
      </c>
      <c r="Q6">
        <f>Q5+R6</f>
        <v>20503</v>
      </c>
      <c r="V6">
        <v>21129</v>
      </c>
      <c r="W6" t="s">
        <v>32</v>
      </c>
      <c r="X6" s="29">
        <f>2.4/21000</f>
        <v>0.000114285714285714</v>
      </c>
      <c r="Y6" s="29">
        <f>X6*10000</f>
        <v>1.14285714285714</v>
      </c>
      <c r="AD6">
        <v>10484</v>
      </c>
      <c r="AE6" t="s">
        <v>33</v>
      </c>
      <c r="AK6">
        <v>10484</v>
      </c>
      <c r="AL6" t="s">
        <v>33</v>
      </c>
      <c r="AO6" s="15"/>
      <c r="AQ6" s="14" t="s">
        <v>31</v>
      </c>
      <c r="AR6">
        <v>20245</v>
      </c>
      <c r="AS6">
        <f t="shared" si="0"/>
        <v>48</v>
      </c>
      <c r="BA6" s="243">
        <v>21202</v>
      </c>
      <c r="BB6" t="s">
        <v>32</v>
      </c>
      <c r="BC6" s="29">
        <f>2.4/21000</f>
        <v>0.000114285714285714</v>
      </c>
      <c r="BD6" s="29">
        <f>BC6*10000</f>
        <v>1.14285714285714</v>
      </c>
      <c r="BE6">
        <v>30</v>
      </c>
      <c r="BF6" t="s">
        <v>34</v>
      </c>
      <c r="BI6">
        <v>10498</v>
      </c>
      <c r="BJ6" t="s">
        <v>33</v>
      </c>
      <c r="BP6">
        <v>10484</v>
      </c>
      <c r="BQ6" t="s">
        <v>33</v>
      </c>
      <c r="BT6" s="15"/>
    </row>
    <row r="7" spans="1:72">
      <c r="A7" t="s">
        <v>35</v>
      </c>
      <c r="B7" t="s">
        <v>36</v>
      </c>
      <c r="L7" s="14" t="s">
        <v>37</v>
      </c>
      <c r="M7">
        <v>20119</v>
      </c>
      <c r="Q7">
        <f>Q6+R7</f>
        <v>20503</v>
      </c>
      <c r="V7">
        <v>2107</v>
      </c>
      <c r="W7" t="s">
        <v>38</v>
      </c>
      <c r="Y7" s="29">
        <f>X7*10000</f>
        <v>0</v>
      </c>
      <c r="AD7">
        <v>1.28</v>
      </c>
      <c r="AK7">
        <v>1.28</v>
      </c>
      <c r="AO7" s="15"/>
      <c r="AQ7" s="14" t="s">
        <v>37</v>
      </c>
      <c r="AR7">
        <v>20179</v>
      </c>
      <c r="AS7">
        <f t="shared" si="0"/>
        <v>60</v>
      </c>
      <c r="AZ7" s="243"/>
      <c r="BA7" s="243">
        <v>11347</v>
      </c>
      <c r="BB7" t="s">
        <v>38</v>
      </c>
      <c r="BD7" s="29">
        <f t="shared" ref="BD6:BD8" si="1">BC7*10000</f>
        <v>0</v>
      </c>
      <c r="BE7">
        <v>76</v>
      </c>
      <c r="BF7" t="s">
        <v>34</v>
      </c>
      <c r="BI7">
        <v>1.28</v>
      </c>
      <c r="BP7">
        <v>1.28</v>
      </c>
      <c r="BT7" s="15"/>
    </row>
    <row r="8" spans="1:72">
      <c r="A8" t="s">
        <v>39</v>
      </c>
      <c r="B8" s="4" t="s">
        <v>40</v>
      </c>
      <c r="L8" s="14"/>
      <c r="V8">
        <v>11177</v>
      </c>
      <c r="W8" t="s">
        <v>38</v>
      </c>
      <c r="X8">
        <f>0.85/11100</f>
        <v>7.65765765765766e-5</v>
      </c>
      <c r="Y8" s="29">
        <f>X8*10000</f>
        <v>0.765765765765766</v>
      </c>
      <c r="AD8">
        <v>22038</v>
      </c>
      <c r="AE8" t="s">
        <v>41</v>
      </c>
      <c r="AK8">
        <v>22038</v>
      </c>
      <c r="AL8" t="s">
        <v>41</v>
      </c>
      <c r="AO8" s="15"/>
      <c r="AQ8" s="14"/>
      <c r="AZ8" s="243"/>
      <c r="BA8" s="243">
        <v>11248</v>
      </c>
      <c r="BB8" t="s">
        <v>38</v>
      </c>
      <c r="BC8">
        <f>0.85/11100</f>
        <v>7.65765765765766e-5</v>
      </c>
      <c r="BD8" s="29">
        <f t="shared" si="1"/>
        <v>0.765765765765766</v>
      </c>
      <c r="BI8">
        <v>22115</v>
      </c>
      <c r="BJ8" t="s">
        <v>41</v>
      </c>
      <c r="BP8">
        <v>22038</v>
      </c>
      <c r="BQ8" t="s">
        <v>41</v>
      </c>
      <c r="BT8" s="15"/>
    </row>
    <row r="9" spans="2:72">
      <c r="B9">
        <f>3.6*7</f>
        <v>25.2</v>
      </c>
      <c r="L9" s="14"/>
      <c r="V9">
        <v>11275</v>
      </c>
      <c r="W9" t="s">
        <v>38</v>
      </c>
      <c r="AD9">
        <v>10811</v>
      </c>
      <c r="AE9" t="s">
        <v>42</v>
      </c>
      <c r="AK9">
        <v>10811</v>
      </c>
      <c r="AL9" t="s">
        <v>42</v>
      </c>
      <c r="AO9" s="15"/>
      <c r="AQ9" s="14"/>
      <c r="AZ9" s="243"/>
      <c r="BA9" s="243">
        <v>2121</v>
      </c>
      <c r="BB9" t="s">
        <v>38</v>
      </c>
      <c r="BI9">
        <v>10887</v>
      </c>
      <c r="BJ9" t="s">
        <v>42</v>
      </c>
      <c r="BP9">
        <v>10811</v>
      </c>
      <c r="BQ9" t="s">
        <v>42</v>
      </c>
      <c r="BT9" s="15"/>
    </row>
    <row r="10" spans="1:72">
      <c r="A10" t="s">
        <v>43</v>
      </c>
      <c r="B10" s="3" t="s">
        <v>44</v>
      </c>
      <c r="L10" s="14"/>
      <c r="V10">
        <v>16998</v>
      </c>
      <c r="W10" t="s">
        <v>38</v>
      </c>
      <c r="AO10" s="15"/>
      <c r="AQ10" s="14"/>
      <c r="AZ10" s="243"/>
      <c r="BA10" s="243">
        <v>11435</v>
      </c>
      <c r="BB10" t="s">
        <v>38</v>
      </c>
      <c r="BT10" s="15"/>
    </row>
    <row r="11" spans="1:72">
      <c r="A11" t="s">
        <v>45</v>
      </c>
      <c r="B11">
        <v>10033805</v>
      </c>
      <c r="L11" s="14"/>
      <c r="V11">
        <v>11275</v>
      </c>
      <c r="W11" t="s">
        <v>38</v>
      </c>
      <c r="AO11" s="15"/>
      <c r="AQ11" s="14"/>
      <c r="AZ11" s="243"/>
      <c r="BA11" s="243">
        <v>11347</v>
      </c>
      <c r="BB11" t="s">
        <v>38</v>
      </c>
      <c r="BT11" s="15"/>
    </row>
    <row r="12" spans="1:72">
      <c r="A12" s="1" t="s">
        <v>46</v>
      </c>
      <c r="B12" t="s">
        <v>47</v>
      </c>
      <c r="L12" s="14"/>
      <c r="V12">
        <v>11360</v>
      </c>
      <c r="W12" t="s">
        <v>38</v>
      </c>
      <c r="AO12" s="15"/>
      <c r="AQ12" s="14"/>
      <c r="AZ12" s="243"/>
      <c r="BA12" s="243"/>
      <c r="BB12" t="s">
        <v>38</v>
      </c>
      <c r="BT12" s="15"/>
    </row>
    <row r="13" spans="2:72">
      <c r="B13" t="s">
        <v>48</v>
      </c>
      <c r="L13" s="14"/>
      <c r="V13">
        <v>9965</v>
      </c>
      <c r="W13" t="s">
        <v>49</v>
      </c>
      <c r="AO13" s="15"/>
      <c r="AQ13" s="14"/>
      <c r="BA13" s="243">
        <v>9988</v>
      </c>
      <c r="BB13" s="243" t="s">
        <v>50</v>
      </c>
      <c r="BT13" s="15"/>
    </row>
    <row r="14" spans="2:72">
      <c r="B14" t="s">
        <v>51</v>
      </c>
      <c r="H14" t="s">
        <v>52</v>
      </c>
      <c r="L14" s="14"/>
      <c r="V14">
        <v>11088</v>
      </c>
      <c r="W14" t="s">
        <v>53</v>
      </c>
      <c r="AO14" s="15"/>
      <c r="AQ14" s="14"/>
      <c r="BT14" s="15"/>
    </row>
    <row r="15" spans="1:72">
      <c r="A15" t="s">
        <v>54</v>
      </c>
      <c r="B15" t="s">
        <v>55</v>
      </c>
      <c r="L15" s="14"/>
      <c r="V15">
        <v>9886</v>
      </c>
      <c r="W15" t="s">
        <v>56</v>
      </c>
      <c r="AO15" s="15"/>
      <c r="AQ15" s="14"/>
      <c r="BA15" s="243">
        <v>9699</v>
      </c>
      <c r="BB15" s="243" t="s">
        <v>57</v>
      </c>
      <c r="BT15" s="15"/>
    </row>
    <row r="16" spans="12:72">
      <c r="L16" s="14"/>
      <c r="V16">
        <v>10134</v>
      </c>
      <c r="W16" t="s">
        <v>49</v>
      </c>
      <c r="AO16" s="15"/>
      <c r="AQ16" s="14"/>
      <c r="BA16" s="243">
        <v>11090</v>
      </c>
      <c r="BB16" s="243" t="s">
        <v>58</v>
      </c>
      <c r="BT16" s="15"/>
    </row>
    <row r="17" spans="2:72">
      <c r="B17" t="s">
        <v>59</v>
      </c>
      <c r="L17" s="14"/>
      <c r="V17">
        <v>20209</v>
      </c>
      <c r="W17" t="s">
        <v>20</v>
      </c>
      <c r="X17">
        <f>1.2/V17</f>
        <v>5.93794843881439e-5</v>
      </c>
      <c r="Y17" s="29">
        <f>X17*10000</f>
        <v>0.593794843881439</v>
      </c>
      <c r="AO17" s="15"/>
      <c r="AQ17" s="14"/>
      <c r="BA17" s="243">
        <v>10219</v>
      </c>
      <c r="BB17" s="243" t="s">
        <v>60</v>
      </c>
      <c r="BD17" s="29"/>
      <c r="BT17" s="15"/>
    </row>
    <row r="18" spans="12:72">
      <c r="L18" s="14"/>
      <c r="V18">
        <v>40817</v>
      </c>
      <c r="W18" t="s">
        <v>61</v>
      </c>
      <c r="AO18" s="15"/>
      <c r="AQ18" s="14"/>
      <c r="BA18" s="243">
        <v>41039</v>
      </c>
      <c r="BB18" s="243" t="s">
        <v>61</v>
      </c>
      <c r="BT18" s="15"/>
    </row>
    <row r="19" spans="3:72">
      <c r="C19">
        <f>4.25*5</f>
        <v>21.25</v>
      </c>
      <c r="L19" s="14"/>
      <c r="V19">
        <v>5173</v>
      </c>
      <c r="W19" t="s">
        <v>62</v>
      </c>
      <c r="X19" s="29">
        <f>0.7/5100</f>
        <v>0.000137254901960784</v>
      </c>
      <c r="Y19" s="29">
        <f>X19*10000</f>
        <v>1.37254901960784</v>
      </c>
      <c r="AO19" s="15"/>
      <c r="AQ19" s="14"/>
      <c r="BA19" s="243">
        <v>5177</v>
      </c>
      <c r="BB19" s="243" t="s">
        <v>62</v>
      </c>
      <c r="BC19" s="29"/>
      <c r="BD19" s="29"/>
      <c r="BT19" s="15"/>
    </row>
    <row r="20" ht="14.25" spans="12:72">
      <c r="L20" s="16"/>
      <c r="M20" s="20"/>
      <c r="N20" s="20"/>
      <c r="O20" s="20"/>
      <c r="P20" s="20"/>
      <c r="Q20" s="20"/>
      <c r="R20" s="20"/>
      <c r="S20" s="20"/>
      <c r="T20" s="20"/>
      <c r="U20" s="20"/>
      <c r="V20" s="20">
        <v>10287</v>
      </c>
      <c r="W20" s="20" t="s">
        <v>53</v>
      </c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17"/>
      <c r="AQ20" s="16"/>
      <c r="AR20" s="20"/>
      <c r="AS20" s="20"/>
      <c r="AT20" s="20"/>
      <c r="AU20" s="20"/>
      <c r="AV20" s="20"/>
      <c r="AW20" s="20"/>
      <c r="AX20" s="20"/>
      <c r="AY20" s="20"/>
      <c r="AZ20" s="20"/>
      <c r="BA20" s="255">
        <v>10272</v>
      </c>
      <c r="BB20" s="255" t="s">
        <v>63</v>
      </c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17"/>
    </row>
    <row r="21" s="29" customFormat="1" ht="14.25" spans="1:54">
      <c r="A21" s="221" t="s">
        <v>64</v>
      </c>
      <c r="B21" s="221" t="s">
        <v>65</v>
      </c>
      <c r="C21" s="221" t="s">
        <v>66</v>
      </c>
      <c r="D21" s="221" t="s">
        <v>67</v>
      </c>
      <c r="E21" s="221" t="s">
        <v>68</v>
      </c>
      <c r="F21" s="221" t="s">
        <v>69</v>
      </c>
      <c r="G21" s="222" t="s">
        <v>70</v>
      </c>
      <c r="H21" s="221" t="s">
        <v>71</v>
      </c>
      <c r="I21" s="221" t="s">
        <v>72</v>
      </c>
      <c r="N21" s="29">
        <f>4.175*7</f>
        <v>29.225</v>
      </c>
      <c r="BA21" s="243">
        <v>10153</v>
      </c>
      <c r="BB21" s="243" t="s">
        <v>73</v>
      </c>
    </row>
    <row r="22" s="29" customFormat="1" ht="27.75" spans="1:54">
      <c r="A22" s="223" t="s">
        <v>74</v>
      </c>
      <c r="B22" s="221" t="s">
        <v>75</v>
      </c>
      <c r="C22" s="224" t="s">
        <v>76</v>
      </c>
      <c r="D22" s="221" t="s">
        <v>77</v>
      </c>
      <c r="E22" s="221" t="s">
        <v>78</v>
      </c>
      <c r="F22" s="221" t="s">
        <v>79</v>
      </c>
      <c r="G22" s="224"/>
      <c r="H22" s="221" t="s">
        <v>80</v>
      </c>
      <c r="I22" s="241" t="s">
        <v>81</v>
      </c>
      <c r="T22" s="29" t="s">
        <v>82</v>
      </c>
      <c r="U22" s="29" t="s">
        <v>83</v>
      </c>
      <c r="W22" s="29" t="s">
        <v>84</v>
      </c>
      <c r="BA22" s="243">
        <v>10353</v>
      </c>
      <c r="BB22" s="243" t="s">
        <v>85</v>
      </c>
    </row>
    <row r="23" s="29" customFormat="1" ht="41.25" spans="1:54">
      <c r="A23" s="221" t="s">
        <v>86</v>
      </c>
      <c r="B23" s="225" t="s">
        <v>87</v>
      </c>
      <c r="C23" s="221" t="s">
        <v>88</v>
      </c>
      <c r="D23" s="221" t="s">
        <v>89</v>
      </c>
      <c r="E23" s="226" t="s">
        <v>90</v>
      </c>
      <c r="F23" s="227" t="s">
        <v>91</v>
      </c>
      <c r="G23" s="227"/>
      <c r="H23" s="227" t="s">
        <v>92</v>
      </c>
      <c r="I23" s="226" t="s">
        <v>93</v>
      </c>
      <c r="T23" s="29" t="s">
        <v>94</v>
      </c>
      <c r="W23" s="29" t="s">
        <v>36</v>
      </c>
      <c r="BA23" s="243">
        <v>19463</v>
      </c>
      <c r="BB23" s="243" t="s">
        <v>95</v>
      </c>
    </row>
    <row r="24" s="29" customFormat="1" ht="68.25" spans="1:54">
      <c r="A24" s="221" t="s">
        <v>96</v>
      </c>
      <c r="B24" s="228"/>
      <c r="C24" s="221" t="s">
        <v>97</v>
      </c>
      <c r="D24" s="221" t="s">
        <v>77</v>
      </c>
      <c r="E24" s="229"/>
      <c r="F24" s="227" t="s">
        <v>98</v>
      </c>
      <c r="G24" s="227"/>
      <c r="H24" s="227" t="s">
        <v>92</v>
      </c>
      <c r="I24" s="229"/>
      <c r="K24" s="165"/>
      <c r="T24" s="29" t="s">
        <v>99</v>
      </c>
      <c r="X24" s="29" t="s">
        <v>36</v>
      </c>
      <c r="BA24" s="243">
        <v>10284</v>
      </c>
      <c r="BB24" s="243" t="s">
        <v>100</v>
      </c>
    </row>
    <row r="25" s="29" customFormat="1" ht="41.25" spans="1:54">
      <c r="A25" s="221" t="s">
        <v>101</v>
      </c>
      <c r="B25" s="228"/>
      <c r="C25" s="221"/>
      <c r="D25" s="221"/>
      <c r="E25" s="229" t="s">
        <v>102</v>
      </c>
      <c r="F25" s="227"/>
      <c r="G25" s="227"/>
      <c r="H25" s="227"/>
      <c r="I25" s="229"/>
      <c r="K25" s="242"/>
      <c r="T25" s="29" t="s">
        <v>103</v>
      </c>
      <c r="BA25" s="243">
        <v>10267</v>
      </c>
      <c r="BB25" s="243" t="s">
        <v>104</v>
      </c>
    </row>
    <row r="26" s="29" customFormat="1" ht="24.9" customHeight="1" spans="1:54">
      <c r="A26" s="223" t="s">
        <v>105</v>
      </c>
      <c r="B26" s="221" t="s">
        <v>106</v>
      </c>
      <c r="C26" s="221" t="s">
        <v>107</v>
      </c>
      <c r="D26" s="221" t="s">
        <v>108</v>
      </c>
      <c r="E26" s="221" t="s">
        <v>78</v>
      </c>
      <c r="F26" s="222" t="s">
        <v>109</v>
      </c>
      <c r="G26" s="224"/>
      <c r="H26" s="221" t="s">
        <v>80</v>
      </c>
      <c r="I26" s="221"/>
      <c r="BA26" s="243">
        <v>10214</v>
      </c>
      <c r="BB26" s="243" t="s">
        <v>110</v>
      </c>
    </row>
    <row r="27" s="29" customFormat="1" spans="9:54">
      <c r="I27" s="115"/>
      <c r="BA27" s="243">
        <v>42153</v>
      </c>
      <c r="BB27" s="243" t="s">
        <v>111</v>
      </c>
    </row>
    <row r="28" ht="14.25" spans="1:54">
      <c r="A28" s="230" t="s">
        <v>112</v>
      </c>
      <c r="BA28" s="243">
        <v>1140</v>
      </c>
      <c r="BB28" s="243" t="s">
        <v>113</v>
      </c>
    </row>
    <row r="29" spans="53:55">
      <c r="BA29" s="243">
        <v>10651</v>
      </c>
      <c r="BB29" s="243" t="s">
        <v>114</v>
      </c>
      <c r="BC29" s="29"/>
    </row>
    <row r="30" spans="1:54">
      <c r="A30" t="s">
        <v>115</v>
      </c>
      <c r="BA30" s="243">
        <v>25412</v>
      </c>
      <c r="BB30" s="243" t="s">
        <v>41</v>
      </c>
    </row>
    <row r="31" spans="1:1">
      <c r="A31" s="231"/>
    </row>
    <row r="33" spans="1:1">
      <c r="A33" t="s">
        <v>116</v>
      </c>
    </row>
    <row r="35" spans="1:1">
      <c r="A35" t="s">
        <v>117</v>
      </c>
    </row>
    <row r="37" spans="1:1">
      <c r="A37" t="s">
        <v>118</v>
      </c>
    </row>
    <row r="39" spans="1:1">
      <c r="A39" s="3" t="s">
        <v>119</v>
      </c>
    </row>
    <row r="44" spans="1:5">
      <c r="A44" s="139"/>
      <c r="B44" s="139"/>
      <c r="C44" s="139"/>
      <c r="D44" s="139"/>
      <c r="E44" s="138"/>
    </row>
    <row r="45" ht="20.25" spans="1:5">
      <c r="A45" s="232" t="s">
        <v>120</v>
      </c>
      <c r="B45" s="139"/>
      <c r="C45" s="139"/>
      <c r="D45" s="139"/>
      <c r="E45" s="138"/>
    </row>
    <row r="46" spans="1:6">
      <c r="A46" s="139"/>
      <c r="B46" s="139"/>
      <c r="C46" s="139"/>
      <c r="D46" s="139"/>
      <c r="E46" s="139"/>
      <c r="F46" s="139"/>
    </row>
    <row r="48" ht="27" spans="1:1">
      <c r="A48" s="233" t="s">
        <v>121</v>
      </c>
    </row>
    <row r="49" ht="27" spans="1:1">
      <c r="A49" s="233"/>
    </row>
    <row r="50" ht="14.25" spans="1:25">
      <c r="A50" s="29"/>
      <c r="B50" s="146" t="s">
        <v>122</v>
      </c>
      <c r="C50" s="8" t="s">
        <v>123</v>
      </c>
      <c r="D50" s="146" t="s">
        <v>124</v>
      </c>
      <c r="E50" s="146" t="s">
        <v>125</v>
      </c>
      <c r="F50" s="146" t="s">
        <v>126</v>
      </c>
      <c r="G50" s="146" t="s">
        <v>127</v>
      </c>
      <c r="H50" s="146" t="s">
        <v>128</v>
      </c>
      <c r="I50" s="147" t="s">
        <v>129</v>
      </c>
      <c r="J50" s="147" t="s">
        <v>69</v>
      </c>
      <c r="K50" s="8" t="s">
        <v>130</v>
      </c>
      <c r="L50" s="8" t="s">
        <v>131</v>
      </c>
      <c r="M50" s="8" t="s">
        <v>132</v>
      </c>
      <c r="N50" s="243" t="s">
        <v>133</v>
      </c>
      <c r="P50" s="244" t="s">
        <v>134</v>
      </c>
      <c r="Q50" s="249" t="s">
        <v>135</v>
      </c>
      <c r="R50" s="249" t="s">
        <v>136</v>
      </c>
      <c r="S50" s="249" t="s">
        <v>137</v>
      </c>
      <c r="T50" s="249" t="s">
        <v>138</v>
      </c>
      <c r="U50" s="249" t="s">
        <v>139</v>
      </c>
      <c r="V50" s="249" t="s">
        <v>140</v>
      </c>
      <c r="W50" s="137"/>
      <c r="X50" s="137"/>
      <c r="Y50" s="137"/>
    </row>
    <row r="51" ht="41.25" spans="1:25">
      <c r="A51" s="29" t="s">
        <v>141</v>
      </c>
      <c r="B51" s="137" t="s">
        <v>142</v>
      </c>
      <c r="C51" s="234" t="s">
        <v>143</v>
      </c>
      <c r="D51" s="234" t="s">
        <v>144</v>
      </c>
      <c r="E51" s="137" t="s">
        <v>145</v>
      </c>
      <c r="F51" s="137" t="s">
        <v>146</v>
      </c>
      <c r="G51" s="137" t="s">
        <v>147</v>
      </c>
      <c r="H51" s="137" t="s">
        <v>143</v>
      </c>
      <c r="I51" s="245" t="s">
        <v>148</v>
      </c>
      <c r="J51" s="246" t="s">
        <v>91</v>
      </c>
      <c r="K51" s="29"/>
      <c r="L51" s="29"/>
      <c r="M51" s="29"/>
      <c r="N51" s="3" t="s">
        <v>133</v>
      </c>
      <c r="P51" s="244">
        <v>1</v>
      </c>
      <c r="Q51" s="249"/>
      <c r="R51" s="249"/>
      <c r="S51" s="249"/>
      <c r="T51" s="249"/>
      <c r="U51" s="249"/>
      <c r="V51" s="250"/>
      <c r="W51" s="148"/>
      <c r="X51" s="148"/>
      <c r="Y51" s="148"/>
    </row>
    <row r="52" spans="1:25">
      <c r="A52" s="29"/>
      <c r="B52" s="29"/>
      <c r="C52" s="29"/>
      <c r="D52" s="29"/>
      <c r="E52" s="29"/>
      <c r="F52" s="29"/>
      <c r="G52" s="29"/>
      <c r="H52" s="29"/>
      <c r="I52" s="115"/>
      <c r="J52" s="112"/>
      <c r="K52" s="29"/>
      <c r="L52" s="29"/>
      <c r="M52" s="29"/>
      <c r="P52" s="244">
        <v>2</v>
      </c>
      <c r="Q52" s="249"/>
      <c r="R52" s="249"/>
      <c r="S52" s="249"/>
      <c r="T52" s="249"/>
      <c r="U52" s="249"/>
      <c r="V52" s="250"/>
      <c r="W52" s="148"/>
      <c r="X52" s="148"/>
      <c r="Y52" s="148"/>
    </row>
    <row r="53" ht="27" customHeight="1" spans="1:25">
      <c r="A53" s="29"/>
      <c r="B53" s="137">
        <f>8*4.2</f>
        <v>33.6</v>
      </c>
      <c r="M53" s="29"/>
      <c r="P53" s="244">
        <v>3</v>
      </c>
      <c r="Q53" s="249"/>
      <c r="R53" s="249"/>
      <c r="S53" s="249"/>
      <c r="T53" s="249"/>
      <c r="U53" s="249"/>
      <c r="V53" s="250"/>
      <c r="W53" s="148"/>
      <c r="X53" s="148"/>
      <c r="Y53" s="148"/>
    </row>
    <row r="54" ht="20.1" customHeight="1" spans="1:22">
      <c r="A54" s="29"/>
      <c r="B54" s="137"/>
      <c r="M54" s="29"/>
      <c r="P54" s="247">
        <v>4</v>
      </c>
      <c r="Q54" s="208"/>
      <c r="R54" s="208"/>
      <c r="S54" s="208"/>
      <c r="T54" s="208"/>
      <c r="U54" s="208"/>
      <c r="V54" s="208"/>
    </row>
    <row r="55" ht="20.1" customHeight="1" spans="1:22">
      <c r="A55" s="29"/>
      <c r="B55" s="137"/>
      <c r="M55" s="29"/>
      <c r="P55" s="247">
        <v>5</v>
      </c>
      <c r="Q55" s="208"/>
      <c r="R55" s="208"/>
      <c r="S55" s="208">
        <v>3.5</v>
      </c>
      <c r="T55" s="208"/>
      <c r="U55" s="208"/>
      <c r="V55" s="208"/>
    </row>
    <row r="56" ht="20.1" customHeight="1" spans="1:13">
      <c r="A56" s="29"/>
      <c r="B56" s="137"/>
      <c r="M56" s="29"/>
    </row>
    <row r="57" ht="20.1" customHeight="1"/>
    <row r="58" ht="20.1" customHeight="1"/>
    <row r="59" ht="20.25" spans="1:1">
      <c r="A59" s="235" t="s">
        <v>149</v>
      </c>
    </row>
    <row r="60" ht="30.9" customHeight="1" spans="1:1">
      <c r="A60" t="s">
        <v>150</v>
      </c>
    </row>
    <row r="61" ht="27" spans="1:13">
      <c r="A61" s="8" t="s">
        <v>151</v>
      </c>
      <c r="B61" s="8" t="s">
        <v>122</v>
      </c>
      <c r="C61" s="8" t="s">
        <v>123</v>
      </c>
      <c r="D61" s="8" t="s">
        <v>124</v>
      </c>
      <c r="E61" s="8" t="s">
        <v>125</v>
      </c>
      <c r="F61" s="8" t="s">
        <v>126</v>
      </c>
      <c r="G61" s="8" t="s">
        <v>127</v>
      </c>
      <c r="H61" s="8" t="s">
        <v>128</v>
      </c>
      <c r="I61" s="23" t="s">
        <v>129</v>
      </c>
      <c r="J61" s="23" t="s">
        <v>69</v>
      </c>
      <c r="K61" s="8" t="s">
        <v>130</v>
      </c>
      <c r="L61" s="8" t="s">
        <v>132</v>
      </c>
      <c r="M61" s="8"/>
    </row>
    <row r="62" ht="40.5" spans="1:13">
      <c r="A62" s="236" t="s">
        <v>152</v>
      </c>
      <c r="B62" s="103" t="s">
        <v>142</v>
      </c>
      <c r="C62" s="237" t="s">
        <v>153</v>
      </c>
      <c r="D62" s="103" t="s">
        <v>154</v>
      </c>
      <c r="E62" s="103" t="s">
        <v>145</v>
      </c>
      <c r="F62" s="103" t="s">
        <v>146</v>
      </c>
      <c r="G62" s="120" t="s">
        <v>153</v>
      </c>
      <c r="H62" s="103" t="s">
        <v>143</v>
      </c>
      <c r="I62" s="103" t="s">
        <v>155</v>
      </c>
      <c r="J62" s="103" t="s">
        <v>156</v>
      </c>
      <c r="K62" s="103"/>
      <c r="L62" s="103" t="s">
        <v>157</v>
      </c>
      <c r="M62" s="103"/>
    </row>
    <row r="64" ht="17.25" spans="1:1">
      <c r="A64" s="238" t="s">
        <v>158</v>
      </c>
    </row>
    <row r="66" spans="1:1">
      <c r="A66" t="s">
        <v>150</v>
      </c>
    </row>
    <row r="68" spans="1:5">
      <c r="A68" s="138"/>
      <c r="B68" s="138" t="s">
        <v>159</v>
      </c>
      <c r="C68" s="138" t="s">
        <v>160</v>
      </c>
      <c r="D68" s="138" t="s">
        <v>161</v>
      </c>
      <c r="E68" s="138" t="s">
        <v>162</v>
      </c>
    </row>
    <row r="69" spans="1:5">
      <c r="A69" s="139" t="s">
        <v>163</v>
      </c>
      <c r="B69" s="139">
        <f t="shared" ref="B69:B72" si="2">C69-E69</f>
        <v>15</v>
      </c>
      <c r="C69" s="139">
        <v>20</v>
      </c>
      <c r="D69" s="139">
        <f t="shared" ref="D69:D72" si="3">C69+E69</f>
        <v>25</v>
      </c>
      <c r="E69" s="138">
        <v>5</v>
      </c>
    </row>
    <row r="70" spans="1:5">
      <c r="A70" s="139" t="s">
        <v>164</v>
      </c>
      <c r="B70" s="139">
        <f t="shared" si="2"/>
        <v>45</v>
      </c>
      <c r="C70" s="139">
        <v>50</v>
      </c>
      <c r="D70" s="139">
        <f t="shared" si="3"/>
        <v>55</v>
      </c>
      <c r="E70" s="138">
        <v>5</v>
      </c>
    </row>
    <row r="71" spans="1:5">
      <c r="A71" s="139" t="s">
        <v>165</v>
      </c>
      <c r="B71" s="139">
        <f t="shared" si="2"/>
        <v>90</v>
      </c>
      <c r="C71" s="139">
        <v>100</v>
      </c>
      <c r="D71" s="139">
        <f t="shared" si="3"/>
        <v>110</v>
      </c>
      <c r="E71" s="138">
        <v>10</v>
      </c>
    </row>
    <row r="72" spans="1:5">
      <c r="A72" s="139" t="s">
        <v>166</v>
      </c>
      <c r="B72" s="139">
        <f t="shared" si="2"/>
        <v>180</v>
      </c>
      <c r="C72" s="139">
        <v>200</v>
      </c>
      <c r="D72" s="139">
        <f t="shared" si="3"/>
        <v>220</v>
      </c>
      <c r="E72" s="138">
        <v>20</v>
      </c>
    </row>
    <row r="73" spans="1:5">
      <c r="A73" s="139" t="s">
        <v>167</v>
      </c>
      <c r="B73" s="139">
        <f>C73*(1-E73)</f>
        <v>5.94</v>
      </c>
      <c r="C73" s="139">
        <v>6</v>
      </c>
      <c r="D73" s="139">
        <f>C73*(1+E73)</f>
        <v>6.06</v>
      </c>
      <c r="E73" s="138">
        <v>0.01</v>
      </c>
    </row>
    <row r="74" spans="1:5">
      <c r="A74" s="140" t="s">
        <v>163</v>
      </c>
      <c r="B74" s="140">
        <f>B69/$D$73</f>
        <v>2.47524752475248</v>
      </c>
      <c r="C74" s="140">
        <f>C69/$C$73</f>
        <v>3.33333333333333</v>
      </c>
      <c r="D74" s="140">
        <f>D69/$B$73</f>
        <v>4.20875420875421</v>
      </c>
      <c r="E74" s="141">
        <f t="shared" ref="E74:E77" si="4">(D74-B74)/2</f>
        <v>0.866753342000867</v>
      </c>
    </row>
    <row r="75" spans="1:5">
      <c r="A75" s="140" t="s">
        <v>164</v>
      </c>
      <c r="B75" s="140">
        <f>B70/$D$73</f>
        <v>7.42574257425743</v>
      </c>
      <c r="C75" s="140">
        <f>C70/$C$73</f>
        <v>8.33333333333333</v>
      </c>
      <c r="D75" s="140">
        <f>D70/$B$73</f>
        <v>9.25925925925926</v>
      </c>
      <c r="E75" s="141">
        <f t="shared" si="4"/>
        <v>0.916758342500917</v>
      </c>
    </row>
    <row r="76" spans="1:5">
      <c r="A76" s="140" t="s">
        <v>165</v>
      </c>
      <c r="B76" s="140">
        <f>B71/$D$73</f>
        <v>14.8514851485149</v>
      </c>
      <c r="C76" s="140">
        <f>C71/$C$73</f>
        <v>16.6666666666667</v>
      </c>
      <c r="D76" s="140">
        <f>D71/$B$73</f>
        <v>18.5185185185185</v>
      </c>
      <c r="E76" s="141">
        <f t="shared" si="4"/>
        <v>1.83351668500183</v>
      </c>
    </row>
    <row r="77" spans="1:5">
      <c r="A77" s="140" t="s">
        <v>166</v>
      </c>
      <c r="B77" s="140">
        <f>B72/$D$73</f>
        <v>29.7029702970297</v>
      </c>
      <c r="C77" s="140">
        <f>C72/$C$73</f>
        <v>33.3333333333333</v>
      </c>
      <c r="D77" s="140">
        <f>D72/$B$73</f>
        <v>37.037037037037</v>
      </c>
      <c r="E77" s="141">
        <f t="shared" si="4"/>
        <v>3.66703337000367</v>
      </c>
    </row>
    <row r="80" ht="20.25" spans="1:1">
      <c r="A80" s="235" t="s">
        <v>168</v>
      </c>
    </row>
    <row r="81" ht="17.25" spans="1:1">
      <c r="A81" s="238"/>
    </row>
    <row r="82" ht="15.75" spans="2:2">
      <c r="B82" s="256"/>
    </row>
    <row r="85" ht="32.1" customHeight="1" spans="1:1">
      <c r="A85" s="257" t="s">
        <v>169</v>
      </c>
    </row>
    <row r="86" ht="17.25" spans="1:1">
      <c r="A86" s="258"/>
    </row>
    <row r="88" ht="17.25" spans="1:1">
      <c r="A88" s="258"/>
    </row>
    <row r="90" ht="17.25" spans="1:1">
      <c r="A90" s="105"/>
    </row>
    <row r="92" ht="17.25" spans="1:1">
      <c r="A92" s="105"/>
    </row>
    <row r="93" ht="17.25" spans="1:1">
      <c r="A93" s="105"/>
    </row>
    <row r="94" ht="17.25" spans="1:1">
      <c r="A94" s="105"/>
    </row>
    <row r="95" ht="17.25" spans="1:1">
      <c r="A95" s="105"/>
    </row>
    <row r="96" ht="17.25" spans="1:1">
      <c r="A96" s="105"/>
    </row>
    <row r="99" spans="8:8">
      <c r="H99">
        <f>4.15*7</f>
        <v>29.05</v>
      </c>
    </row>
    <row r="100" ht="20.25" spans="1:8">
      <c r="A100" s="235" t="s">
        <v>170</v>
      </c>
      <c r="B100" s="1"/>
      <c r="C100" t="s">
        <v>171</v>
      </c>
      <c r="H100">
        <f>25.2/7</f>
        <v>3.6</v>
      </c>
    </row>
    <row r="102" ht="25.5" spans="2:11">
      <c r="B102" s="259" t="s">
        <v>172</v>
      </c>
      <c r="K102" t="s">
        <v>173</v>
      </c>
    </row>
    <row r="103" ht="14.25" spans="2:14">
      <c r="B103" s="29"/>
      <c r="C103" s="146" t="s">
        <v>122</v>
      </c>
      <c r="D103" s="8" t="s">
        <v>123</v>
      </c>
      <c r="E103" s="146" t="s">
        <v>124</v>
      </c>
      <c r="F103" s="146" t="s">
        <v>125</v>
      </c>
      <c r="G103" s="146" t="s">
        <v>126</v>
      </c>
      <c r="H103" s="146" t="s">
        <v>127</v>
      </c>
      <c r="I103" s="146" t="s">
        <v>128</v>
      </c>
      <c r="J103" s="147" t="s">
        <v>129</v>
      </c>
      <c r="K103" s="147" t="s">
        <v>69</v>
      </c>
      <c r="L103" s="8" t="s">
        <v>130</v>
      </c>
      <c r="M103" s="8" t="s">
        <v>131</v>
      </c>
      <c r="N103" s="8" t="s">
        <v>132</v>
      </c>
    </row>
    <row r="104" ht="27.75" spans="2:14">
      <c r="B104" s="29" t="s">
        <v>174</v>
      </c>
      <c r="C104" s="137" t="s">
        <v>142</v>
      </c>
      <c r="D104" s="137" t="s">
        <v>147</v>
      </c>
      <c r="E104" s="137" t="s">
        <v>154</v>
      </c>
      <c r="F104" s="260" t="s">
        <v>175</v>
      </c>
      <c r="G104" s="137" t="s">
        <v>146</v>
      </c>
      <c r="H104" s="260" t="s">
        <v>147</v>
      </c>
      <c r="I104" s="137" t="s">
        <v>143</v>
      </c>
      <c r="J104" s="148" t="s">
        <v>155</v>
      </c>
      <c r="K104" s="261" t="s">
        <v>176</v>
      </c>
      <c r="L104" s="29"/>
      <c r="M104" s="29"/>
      <c r="N104" s="29"/>
    </row>
    <row r="105" spans="2:15">
      <c r="B105" s="29"/>
      <c r="C105" s="137"/>
      <c r="D105" s="137"/>
      <c r="E105" s="137"/>
      <c r="F105" s="137"/>
      <c r="G105" s="137"/>
      <c r="H105" s="137"/>
      <c r="I105" s="137"/>
      <c r="J105" s="148"/>
      <c r="K105" s="12" t="s">
        <v>177</v>
      </c>
      <c r="L105" s="19">
        <v>5</v>
      </c>
      <c r="M105" s="19"/>
      <c r="N105" s="19" t="s">
        <v>178</v>
      </c>
      <c r="O105" s="13"/>
    </row>
    <row r="106" spans="2:15">
      <c r="B106" s="29"/>
      <c r="C106" s="137"/>
      <c r="D106" s="137"/>
      <c r="E106" s="137"/>
      <c r="F106" s="137"/>
      <c r="G106" s="137"/>
      <c r="H106" s="137"/>
      <c r="I106" s="137"/>
      <c r="J106" s="148"/>
      <c r="K106" s="262" t="s">
        <v>179</v>
      </c>
      <c r="L106" s="29"/>
      <c r="M106" s="29"/>
      <c r="O106" s="15"/>
    </row>
    <row r="107" spans="1:15">
      <c r="A107" s="29" t="s">
        <v>180</v>
      </c>
      <c r="B107" s="29" t="s">
        <v>181</v>
      </c>
      <c r="C107" s="137"/>
      <c r="D107" s="137"/>
      <c r="E107" s="137"/>
      <c r="F107" s="137"/>
      <c r="G107" s="137"/>
      <c r="H107" s="137"/>
      <c r="I107" s="137"/>
      <c r="J107" s="148"/>
      <c r="K107" s="262" t="s">
        <v>182</v>
      </c>
      <c r="L107" s="29">
        <f>4.15*L105</f>
        <v>20.75</v>
      </c>
      <c r="N107" s="29">
        <f>L107/5</f>
        <v>4.15</v>
      </c>
      <c r="O107" s="15"/>
    </row>
    <row r="108" spans="1:15">
      <c r="A108" s="29" t="s">
        <v>183</v>
      </c>
      <c r="B108" s="29" t="s">
        <v>184</v>
      </c>
      <c r="C108" s="137"/>
      <c r="D108" s="137"/>
      <c r="E108" s="137">
        <v>26</v>
      </c>
      <c r="F108" s="137">
        <f>E108/6</f>
        <v>4.33333333333333</v>
      </c>
      <c r="G108" s="137"/>
      <c r="H108" s="137"/>
      <c r="I108" s="137"/>
      <c r="J108" s="148"/>
      <c r="K108" s="262" t="s">
        <v>185</v>
      </c>
      <c r="L108" s="29">
        <f>3.7*L105</f>
        <v>18.5</v>
      </c>
      <c r="M108" s="29"/>
      <c r="O108" s="15"/>
    </row>
    <row r="109" spans="1:15">
      <c r="A109" t="s">
        <v>186</v>
      </c>
      <c r="B109" t="s">
        <v>187</v>
      </c>
      <c r="E109">
        <v>2.8</v>
      </c>
      <c r="F109" s="137">
        <f>E109*6</f>
        <v>16.8</v>
      </c>
      <c r="K109" s="262" t="s">
        <v>188</v>
      </c>
      <c r="L109" s="29">
        <v>1.85</v>
      </c>
      <c r="M109" s="29"/>
      <c r="O109" s="15"/>
    </row>
    <row r="110" spans="1:15">
      <c r="A110" t="s">
        <v>189</v>
      </c>
      <c r="B110" t="s">
        <v>190</v>
      </c>
      <c r="K110" s="262" t="s">
        <v>191</v>
      </c>
      <c r="L110" s="29">
        <f>L109*L108</f>
        <v>34.225</v>
      </c>
      <c r="M110" s="29"/>
      <c r="O110" s="15"/>
    </row>
    <row r="111" spans="1:15">
      <c r="A111" t="s">
        <v>192</v>
      </c>
      <c r="B111" t="s">
        <v>193</v>
      </c>
      <c r="K111" s="263" t="s">
        <v>194</v>
      </c>
      <c r="L111" s="29">
        <f>N111*0.98*0.97</f>
        <v>3612.28</v>
      </c>
      <c r="N111">
        <v>3800</v>
      </c>
      <c r="O111" s="15"/>
    </row>
    <row r="112" spans="1:15">
      <c r="A112" t="s">
        <v>195</v>
      </c>
      <c r="B112" s="270" t="s">
        <v>196</v>
      </c>
      <c r="K112" s="264" t="s">
        <v>197</v>
      </c>
      <c r="L112" s="29">
        <f>N112*0.98*0.97</f>
        <v>1901.2</v>
      </c>
      <c r="N112">
        <v>2000</v>
      </c>
      <c r="O112" s="15"/>
    </row>
    <row r="113" spans="3:15">
      <c r="C113">
        <f>300/16</f>
        <v>18.75</v>
      </c>
      <c r="K113" s="28" t="s">
        <v>167</v>
      </c>
      <c r="L113">
        <f>L105*N113+20</f>
        <v>120</v>
      </c>
      <c r="N113">
        <v>20</v>
      </c>
      <c r="O113" s="15"/>
    </row>
    <row r="114" spans="2:15">
      <c r="B114" s="248" t="s">
        <v>198</v>
      </c>
      <c r="K114" s="14"/>
      <c r="O114" s="15"/>
    </row>
    <row r="115" spans="11:15">
      <c r="K115" s="28"/>
      <c r="L115" s="29"/>
      <c r="M115" s="29"/>
      <c r="O115" s="15"/>
    </row>
    <row r="116" spans="11:15">
      <c r="K116" s="28" t="s">
        <v>199</v>
      </c>
      <c r="L116" s="29">
        <v>3.53</v>
      </c>
      <c r="M116" s="29">
        <v>3.61</v>
      </c>
      <c r="O116" s="15"/>
    </row>
    <row r="117" spans="11:15">
      <c r="K117" s="28" t="s">
        <v>131</v>
      </c>
      <c r="L117" s="29">
        <f>L116*L105</f>
        <v>17.65</v>
      </c>
      <c r="M117" s="29">
        <f>M116*L105</f>
        <v>18.05</v>
      </c>
      <c r="O117" s="15"/>
    </row>
    <row r="118" spans="11:15">
      <c r="K118" s="28"/>
      <c r="L118" s="29"/>
      <c r="M118" s="29"/>
      <c r="O118" s="15"/>
    </row>
    <row r="119" spans="11:15">
      <c r="K119" s="28"/>
      <c r="L119" s="29"/>
      <c r="M119" s="29"/>
      <c r="O119" s="15"/>
    </row>
    <row r="120" spans="11:15">
      <c r="K120" s="28" t="s">
        <v>200</v>
      </c>
      <c r="L120" s="29">
        <f>L105*N120</f>
        <v>13.5</v>
      </c>
      <c r="N120" s="29">
        <v>2.7</v>
      </c>
      <c r="O120" s="15"/>
    </row>
    <row r="121" spans="11:15">
      <c r="K121" s="28" t="s">
        <v>201</v>
      </c>
      <c r="L121" s="29">
        <f>L105*N121</f>
        <v>20.875</v>
      </c>
      <c r="M121" s="29"/>
      <c r="N121">
        <v>4.175</v>
      </c>
      <c r="O121" s="15"/>
    </row>
    <row r="122" spans="11:15">
      <c r="K122" s="28"/>
      <c r="L122" s="29"/>
      <c r="M122" s="29"/>
      <c r="O122" s="15"/>
    </row>
    <row r="123" spans="11:15">
      <c r="K123" s="28" t="s">
        <v>202</v>
      </c>
      <c r="L123" s="29">
        <f>4.2*6</f>
        <v>25.2</v>
      </c>
      <c r="M123" s="29"/>
      <c r="N123">
        <v>4.2</v>
      </c>
      <c r="O123" s="15"/>
    </row>
    <row r="124" ht="14.25" spans="11:15">
      <c r="K124" s="31" t="s">
        <v>203</v>
      </c>
      <c r="L124" s="32">
        <f>L111*0.3</f>
        <v>1083.684</v>
      </c>
      <c r="M124" s="32"/>
      <c r="N124" s="20"/>
      <c r="O124" s="17"/>
    </row>
    <row r="125" ht="20.25" spans="1:13">
      <c r="A125" s="235" t="s">
        <v>204</v>
      </c>
      <c r="K125" s="115"/>
      <c r="L125" s="29"/>
      <c r="M125" s="29"/>
    </row>
    <row r="126" ht="25.5" spans="2:2">
      <c r="B126" s="259" t="s">
        <v>205</v>
      </c>
    </row>
    <row r="127" ht="14.25" spans="2:14">
      <c r="B127" s="29"/>
      <c r="C127" s="146" t="s">
        <v>122</v>
      </c>
      <c r="D127" s="8" t="s">
        <v>123</v>
      </c>
      <c r="E127" s="146" t="s">
        <v>124</v>
      </c>
      <c r="F127" s="146" t="s">
        <v>125</v>
      </c>
      <c r="G127" s="146" t="s">
        <v>126</v>
      </c>
      <c r="H127" s="146" t="s">
        <v>127</v>
      </c>
      <c r="I127" s="146" t="s">
        <v>128</v>
      </c>
      <c r="J127" s="147" t="s">
        <v>129</v>
      </c>
      <c r="K127" s="147" t="s">
        <v>69</v>
      </c>
      <c r="L127" s="8" t="s">
        <v>130</v>
      </c>
      <c r="M127" s="8" t="s">
        <v>131</v>
      </c>
      <c r="N127" s="8" t="s">
        <v>132</v>
      </c>
    </row>
    <row r="128" ht="54.75" spans="2:14">
      <c r="B128" s="29" t="s">
        <v>174</v>
      </c>
      <c r="C128" s="260" t="s">
        <v>142</v>
      </c>
      <c r="D128" s="260" t="s">
        <v>147</v>
      </c>
      <c r="E128" s="260" t="s">
        <v>154</v>
      </c>
      <c r="F128" s="260" t="s">
        <v>175</v>
      </c>
      <c r="G128" s="137" t="s">
        <v>146</v>
      </c>
      <c r="H128" s="260" t="s">
        <v>143</v>
      </c>
      <c r="I128" s="137" t="s">
        <v>143</v>
      </c>
      <c r="J128" s="148" t="s">
        <v>155</v>
      </c>
      <c r="K128" s="261" t="s">
        <v>206</v>
      </c>
      <c r="L128" s="29"/>
      <c r="M128" s="29"/>
      <c r="N128" s="29"/>
    </row>
    <row r="129" spans="2:14">
      <c r="B129" t="s">
        <v>207</v>
      </c>
      <c r="N129" t="s">
        <v>208</v>
      </c>
    </row>
    <row r="130" ht="14.25" spans="2:4">
      <c r="B130">
        <f>4.25*5</f>
        <v>21.25</v>
      </c>
      <c r="C130">
        <f>2.75*5</f>
        <v>13.75</v>
      </c>
      <c r="D130">
        <f>225/C130</f>
        <v>16.3636363636364</v>
      </c>
    </row>
    <row r="131" ht="14.25" spans="8:15">
      <c r="H131">
        <f>2/0.6</f>
        <v>3.33333333333333</v>
      </c>
      <c r="J131">
        <f>0.4/2</f>
        <v>0.2</v>
      </c>
      <c r="K131" s="12" t="s">
        <v>177</v>
      </c>
      <c r="L131" s="19">
        <v>5</v>
      </c>
      <c r="M131" s="19"/>
      <c r="N131" s="19" t="s">
        <v>178</v>
      </c>
      <c r="O131" s="13"/>
    </row>
    <row r="132" ht="14.25" spans="10:15">
      <c r="J132" s="268"/>
      <c r="K132" s="262" t="s">
        <v>179</v>
      </c>
      <c r="L132" s="29"/>
      <c r="M132" s="29"/>
      <c r="O132" s="15"/>
    </row>
    <row r="133" spans="11:15">
      <c r="K133" s="262" t="s">
        <v>182</v>
      </c>
      <c r="L133" s="29">
        <f>4.15*L131</f>
        <v>20.75</v>
      </c>
      <c r="N133" s="29">
        <f>L133/5</f>
        <v>4.15</v>
      </c>
      <c r="O133" s="15"/>
    </row>
    <row r="134" spans="2:15">
      <c r="B134" s="138"/>
      <c r="C134" s="138" t="s">
        <v>159</v>
      </c>
      <c r="D134" s="138" t="s">
        <v>160</v>
      </c>
      <c r="E134" s="138" t="s">
        <v>161</v>
      </c>
      <c r="F134" s="138" t="s">
        <v>162</v>
      </c>
      <c r="K134" s="262" t="s">
        <v>185</v>
      </c>
      <c r="L134" s="29">
        <f>3.7*L131</f>
        <v>18.5</v>
      </c>
      <c r="M134" s="29"/>
      <c r="O134" s="15"/>
    </row>
    <row r="135" spans="2:15">
      <c r="B135" s="139" t="s">
        <v>163</v>
      </c>
      <c r="C135" s="139">
        <f t="shared" ref="C135:C138" si="5">D135-F135</f>
        <v>5</v>
      </c>
      <c r="D135" s="139">
        <v>10</v>
      </c>
      <c r="E135" s="139">
        <f t="shared" ref="E135:E138" si="6">D135+F135</f>
        <v>15</v>
      </c>
      <c r="F135" s="138">
        <v>5</v>
      </c>
      <c r="K135" s="262" t="s">
        <v>188</v>
      </c>
      <c r="L135" s="29">
        <v>1.85</v>
      </c>
      <c r="M135" s="29"/>
      <c r="O135" s="15"/>
    </row>
    <row r="136" spans="2:15">
      <c r="B136" s="139" t="s">
        <v>164</v>
      </c>
      <c r="C136" s="139">
        <f t="shared" si="5"/>
        <v>45</v>
      </c>
      <c r="D136" s="139">
        <v>50</v>
      </c>
      <c r="E136" s="139">
        <f t="shared" si="6"/>
        <v>55</v>
      </c>
      <c r="F136" s="138">
        <v>5</v>
      </c>
      <c r="K136" s="262" t="s">
        <v>191</v>
      </c>
      <c r="L136" s="29">
        <f>L135*L134</f>
        <v>34.225</v>
      </c>
      <c r="M136" s="29"/>
      <c r="O136" s="15"/>
    </row>
    <row r="137" spans="2:15">
      <c r="B137" s="139" t="s">
        <v>165</v>
      </c>
      <c r="C137" s="139">
        <f t="shared" si="5"/>
        <v>90</v>
      </c>
      <c r="D137" s="139">
        <v>100</v>
      </c>
      <c r="E137" s="139">
        <f t="shared" si="6"/>
        <v>110</v>
      </c>
      <c r="F137" s="138">
        <v>10</v>
      </c>
      <c r="K137" s="263" t="s">
        <v>194</v>
      </c>
      <c r="L137" s="29">
        <f>N137*0.98*0.97</f>
        <v>1853.67</v>
      </c>
      <c r="N137">
        <v>1950</v>
      </c>
      <c r="O137" s="15"/>
    </row>
    <row r="138" spans="2:15">
      <c r="B138" s="139" t="s">
        <v>166</v>
      </c>
      <c r="C138" s="139">
        <f t="shared" si="5"/>
        <v>180</v>
      </c>
      <c r="D138" s="139">
        <v>200</v>
      </c>
      <c r="E138" s="139">
        <f t="shared" si="6"/>
        <v>220</v>
      </c>
      <c r="F138" s="138">
        <v>20</v>
      </c>
      <c r="K138" s="264" t="s">
        <v>197</v>
      </c>
      <c r="L138" s="29">
        <f>N138*0.98*0.97</f>
        <v>1901.2</v>
      </c>
      <c r="N138">
        <v>2000</v>
      </c>
      <c r="O138" s="15"/>
    </row>
    <row r="139" spans="2:15">
      <c r="B139" s="139" t="s">
        <v>167</v>
      </c>
      <c r="C139" s="139">
        <f>D139*(1-F139)</f>
        <v>2.97</v>
      </c>
      <c r="D139" s="139">
        <v>3</v>
      </c>
      <c r="E139" s="139">
        <f>D139*(1+F139)</f>
        <v>3.03</v>
      </c>
      <c r="F139" s="138">
        <v>0.01</v>
      </c>
      <c r="K139" s="28" t="s">
        <v>167</v>
      </c>
      <c r="L139">
        <f>L131*N139+20</f>
        <v>120</v>
      </c>
      <c r="N139">
        <v>20</v>
      </c>
      <c r="O139" s="15"/>
    </row>
    <row r="140" spans="2:15">
      <c r="B140" s="140" t="s">
        <v>163</v>
      </c>
      <c r="C140" s="140" t="e">
        <f>C135/#REF!</f>
        <v>#REF!</v>
      </c>
      <c r="D140" s="140" t="e">
        <f>D135/#REF!</f>
        <v>#REF!</v>
      </c>
      <c r="E140" s="140" t="e">
        <f>E135/#REF!</f>
        <v>#REF!</v>
      </c>
      <c r="F140" s="141" t="e">
        <f t="shared" ref="F140:F143" si="7">(E140-C140)/2</f>
        <v>#REF!</v>
      </c>
      <c r="K140" s="14"/>
      <c r="O140" s="15"/>
    </row>
    <row r="141" spans="2:15">
      <c r="B141" s="140" t="s">
        <v>164</v>
      </c>
      <c r="C141" s="140" t="e">
        <f>C136/#REF!</f>
        <v>#REF!</v>
      </c>
      <c r="D141" s="140" t="e">
        <f>D136/#REF!</f>
        <v>#REF!</v>
      </c>
      <c r="E141" s="140" t="e">
        <f>E136/#REF!</f>
        <v>#REF!</v>
      </c>
      <c r="F141" s="141" t="e">
        <f t="shared" si="7"/>
        <v>#REF!</v>
      </c>
      <c r="K141" s="28"/>
      <c r="L141" s="29"/>
      <c r="M141" s="29"/>
      <c r="O141" s="15"/>
    </row>
    <row r="142" spans="2:15">
      <c r="B142" s="140" t="s">
        <v>165</v>
      </c>
      <c r="C142" s="140" t="e">
        <f>C137/#REF!</f>
        <v>#REF!</v>
      </c>
      <c r="D142" s="140" t="e">
        <f>D137/#REF!</f>
        <v>#REF!</v>
      </c>
      <c r="E142" s="140" t="e">
        <f>E137/#REF!</f>
        <v>#REF!</v>
      </c>
      <c r="F142" s="141" t="e">
        <f t="shared" si="7"/>
        <v>#REF!</v>
      </c>
      <c r="K142" s="28" t="s">
        <v>199</v>
      </c>
      <c r="L142" s="29">
        <v>3.53</v>
      </c>
      <c r="M142" s="29">
        <v>3.61</v>
      </c>
      <c r="O142" s="15"/>
    </row>
    <row r="143" spans="2:15">
      <c r="B143" s="140" t="s">
        <v>166</v>
      </c>
      <c r="C143" s="140" t="e">
        <f>C138/#REF!</f>
        <v>#REF!</v>
      </c>
      <c r="D143" s="140" t="e">
        <f>D138/#REF!</f>
        <v>#REF!</v>
      </c>
      <c r="E143" s="140" t="e">
        <f>E138/#REF!</f>
        <v>#REF!</v>
      </c>
      <c r="F143" s="141" t="e">
        <f t="shared" si="7"/>
        <v>#REF!</v>
      </c>
      <c r="K143" s="28" t="s">
        <v>131</v>
      </c>
      <c r="L143" s="29">
        <f>L142*L131</f>
        <v>17.65</v>
      </c>
      <c r="M143" s="29">
        <f>M142*L131</f>
        <v>18.05</v>
      </c>
      <c r="O143" s="15"/>
    </row>
    <row r="144" spans="11:15">
      <c r="K144" s="28"/>
      <c r="L144" s="29"/>
      <c r="M144" s="29"/>
      <c r="O144" s="15"/>
    </row>
    <row r="145" spans="11:15">
      <c r="K145" s="28"/>
      <c r="L145" s="29"/>
      <c r="M145" s="29"/>
      <c r="O145" s="15"/>
    </row>
    <row r="146" spans="11:15">
      <c r="K146" s="28" t="s">
        <v>200</v>
      </c>
      <c r="L146" s="29">
        <f>L131*N146</f>
        <v>13.5</v>
      </c>
      <c r="N146" s="29">
        <v>2.7</v>
      </c>
      <c r="O146" s="15"/>
    </row>
    <row r="147" spans="11:15">
      <c r="K147" s="28" t="s">
        <v>201</v>
      </c>
      <c r="L147" s="29">
        <f>L131*N147</f>
        <v>20.875</v>
      </c>
      <c r="M147" s="29"/>
      <c r="N147">
        <v>4.175</v>
      </c>
      <c r="O147" s="15"/>
    </row>
    <row r="148" spans="11:15">
      <c r="K148" s="28"/>
      <c r="L148" s="29"/>
      <c r="M148" s="29"/>
      <c r="O148" s="15"/>
    </row>
    <row r="149" spans="11:15">
      <c r="K149" s="28" t="s">
        <v>202</v>
      </c>
      <c r="L149" s="29">
        <f>4.2*6</f>
        <v>25.2</v>
      </c>
      <c r="M149" s="29"/>
      <c r="N149">
        <v>4.2</v>
      </c>
      <c r="O149" s="15"/>
    </row>
    <row r="150" ht="14.25" spans="1:15">
      <c r="A150" t="s">
        <v>209</v>
      </c>
      <c r="B150" s="21" t="s">
        <v>210</v>
      </c>
      <c r="C150" t="s">
        <v>211</v>
      </c>
      <c r="D150" t="s">
        <v>212</v>
      </c>
      <c r="K150" s="31" t="s">
        <v>203</v>
      </c>
      <c r="L150" s="32">
        <f>L137*0.3</f>
        <v>556.101</v>
      </c>
      <c r="M150" s="32"/>
      <c r="N150" s="20"/>
      <c r="O150" s="17"/>
    </row>
    <row r="151" spans="1:10">
      <c r="A151" s="265" t="s">
        <v>213</v>
      </c>
      <c r="B151" s="266" t="s">
        <v>214</v>
      </c>
      <c r="C151" s="265" t="s">
        <v>215</v>
      </c>
      <c r="D151" s="266" t="s">
        <v>216</v>
      </c>
      <c r="H151" s="266"/>
      <c r="I151" s="267"/>
      <c r="J151" s="269"/>
    </row>
    <row r="152" spans="1:10">
      <c r="A152" s="265" t="s">
        <v>217</v>
      </c>
      <c r="B152" s="266" t="s">
        <v>218</v>
      </c>
      <c r="C152" s="265" t="s">
        <v>97</v>
      </c>
      <c r="D152" s="266" t="s">
        <v>219</v>
      </c>
      <c r="H152" s="266"/>
      <c r="I152" s="267"/>
      <c r="J152" s="269"/>
    </row>
    <row r="153" spans="1:10">
      <c r="A153" s="265" t="s">
        <v>220</v>
      </c>
      <c r="B153" s="266" t="s">
        <v>221</v>
      </c>
      <c r="C153" s="265" t="s">
        <v>222</v>
      </c>
      <c r="D153" s="266" t="s">
        <v>223</v>
      </c>
      <c r="H153" s="266"/>
      <c r="I153" s="267"/>
      <c r="J153" s="269"/>
    </row>
    <row r="154" spans="1:10">
      <c r="A154" s="265" t="s">
        <v>224</v>
      </c>
      <c r="B154" s="266" t="s">
        <v>225</v>
      </c>
      <c r="C154" s="265" t="s">
        <v>226</v>
      </c>
      <c r="D154" s="266" t="s">
        <v>227</v>
      </c>
      <c r="H154" s="266"/>
      <c r="I154" s="267"/>
      <c r="J154" s="269"/>
    </row>
    <row r="155" spans="1:10">
      <c r="A155" s="265" t="s">
        <v>228</v>
      </c>
      <c r="B155" s="266" t="s">
        <v>229</v>
      </c>
      <c r="C155" s="265" t="s">
        <v>230</v>
      </c>
      <c r="D155" s="266" t="s">
        <v>231</v>
      </c>
      <c r="H155" s="266"/>
      <c r="I155" s="267"/>
      <c r="J155" s="269"/>
    </row>
    <row r="156" spans="1:13">
      <c r="A156" s="267"/>
      <c r="B156" s="267"/>
      <c r="C156" s="267"/>
      <c r="D156" s="267"/>
      <c r="E156" s="267"/>
      <c r="H156" s="267"/>
      <c r="I156" s="267"/>
      <c r="J156" s="267"/>
      <c r="K156" s="267"/>
      <c r="L156" s="267"/>
      <c r="M156" s="267"/>
    </row>
    <row r="208" spans="4:8">
      <c r="D208">
        <v>4</v>
      </c>
      <c r="E208">
        <v>8</v>
      </c>
      <c r="F208">
        <f>E208-D208</f>
        <v>4</v>
      </c>
      <c r="H208">
        <f>3900*7</f>
        <v>27300</v>
      </c>
    </row>
    <row r="209" spans="4:6">
      <c r="D209">
        <v>2</v>
      </c>
      <c r="E209">
        <v>6</v>
      </c>
      <c r="F209">
        <f t="shared" ref="F209:F214" si="8">E209-D209</f>
        <v>4</v>
      </c>
    </row>
    <row r="210" spans="4:6">
      <c r="D210">
        <v>3</v>
      </c>
      <c r="E210">
        <v>6</v>
      </c>
      <c r="F210">
        <f t="shared" si="8"/>
        <v>3</v>
      </c>
    </row>
    <row r="211" spans="4:6">
      <c r="D211">
        <v>3</v>
      </c>
      <c r="E211">
        <v>6</v>
      </c>
      <c r="F211">
        <f t="shared" si="8"/>
        <v>3</v>
      </c>
    </row>
    <row r="212" spans="4:6">
      <c r="D212">
        <v>3</v>
      </c>
      <c r="E212">
        <v>7</v>
      </c>
      <c r="F212">
        <f t="shared" si="8"/>
        <v>4</v>
      </c>
    </row>
    <row r="213" spans="2:6">
      <c r="B213">
        <f>28</f>
        <v>28</v>
      </c>
      <c r="D213">
        <v>4</v>
      </c>
      <c r="E213">
        <v>7</v>
      </c>
      <c r="F213">
        <f t="shared" si="8"/>
        <v>3</v>
      </c>
    </row>
    <row r="214" spans="4:6">
      <c r="D214">
        <v>16</v>
      </c>
      <c r="E214">
        <f>4102-4080</f>
        <v>22</v>
      </c>
      <c r="F214">
        <f t="shared" si="8"/>
        <v>6</v>
      </c>
    </row>
  </sheetData>
  <mergeCells count="5">
    <mergeCell ref="B23:B24"/>
    <mergeCell ref="E23:E24"/>
    <mergeCell ref="I23:I24"/>
    <mergeCell ref="O2:O3"/>
    <mergeCell ref="AT2:AT3"/>
  </mergeCells>
  <hyperlinks>
    <hyperlink ref="B8" r:id="rId2" display="\\192.168.41.18\3.特殊共享\04..信息科技部\设计开发" tooltip="\\192.168.41.18\3.特殊共享\04..信息科技部\设计开发"/>
    <hyperlink ref="B10" r:id="rId3" display="\\192.168.41.18\2.博科能源备份\电子部\C 各类测试数据汇总\项目测试数据汇总\02 吸尘器类项目\I0342A\01 测试计划及报告汇总"/>
    <hyperlink ref="A39" location="'3S1P'!A1" display="报价 3S1P-陆运-成品规格书-A0-20230527"/>
    <hyperlink ref="A22" location="'Wakizashi-EL 380'!A1" display="Wakizashi-EL"/>
    <hyperlink ref="A26" location="'CJ08-I0376A'!A1" display="CJ08-低端 -I0376A"/>
    <hyperlink ref="G51" r:id="rId4" display="A2"/>
    <hyperlink ref="C51" r:id="rId5" display="A1"/>
    <hyperlink ref="B51" r:id="rId6" display="V1.13"/>
    <hyperlink ref="F51" r:id="rId7" display="V5.3"/>
    <hyperlink ref="D51" r:id="rId8" display="R02"/>
    <hyperlink ref="E51" r:id="rId9" display="R01"/>
    <hyperlink ref="H51" r:id="rId10" display="A1"/>
    <hyperlink ref="I51" r:id="rId11" display="TBD"/>
    <hyperlink ref="J51" r:id="rId12" display="Tenpower INR18650-25PG-2500mAh"/>
    <hyperlink ref="G62" r:id="rId13" display="A0"/>
    <hyperlink ref="C62" r:id="rId14" display="A0"/>
    <hyperlink ref="B62" r:id="rId15" display="V1.13"/>
    <hyperlink ref="F62" r:id="rId16" display="V5.3"/>
    <hyperlink ref="D62" r:id="rId17" display="V5"/>
    <hyperlink ref="E62" r:id="rId17" display="R01"/>
    <hyperlink ref="H62" r:id="rId18" display="A1"/>
    <hyperlink ref="I62" r:id="rId19" display="V1.28"/>
    <hyperlink ref="A85" r:id="rId20" display="B903客户 IRobot 4S1P_26700、 4S2P_26650的研发预估报价"/>
    <hyperlink ref="H104" r:id="rId21" display="A2"/>
    <hyperlink ref="D104" r:id="rId22" display="A2"/>
    <hyperlink ref="C104" r:id="rId6" display="V1.13"/>
    <hyperlink ref="G104" r:id="rId7" display="V5.3"/>
    <hyperlink ref="E104" r:id="rId7" display="V5"/>
    <hyperlink ref="F104" r:id="rId23" display="R00"/>
    <hyperlink ref="I104" r:id="rId10" display="A1"/>
    <hyperlink ref="J104" r:id="rId19" display="V1.28"/>
    <hyperlink ref="H128" r:id="rId24" display="A1"/>
    <hyperlink ref="D128" r:id="rId25" display="A2"/>
    <hyperlink ref="C128" r:id="rId26" display="V1.13"/>
    <hyperlink ref="G128" r:id="rId7" display="V5.3"/>
    <hyperlink ref="E128" r:id="rId27" display="V5"/>
    <hyperlink ref="F128" r:id="rId28" display="R00"/>
    <hyperlink ref="I128" r:id="rId10" display="A1"/>
    <hyperlink ref="J128" r:id="rId19" display="V1.28"/>
    <hyperlink ref="N51" r:id="rId29" display="FA"/>
    <hyperlink ref="K128" r:id="rId30" display="Tenpower  ICR18650 20SG 18650 2000 3.7V "/>
    <hyperlink ref="K104" r:id="rId31" display="ICG096NB LR2170LA"/>
    <hyperlink ref="U2" r:id="rId32" display="353877235@QQ.COM+ LYP...妹的短号"/>
    <hyperlink ref="AZ2" r:id="rId32" display="353877235@QQ.COM+ LYP...妹的短号"/>
  </hyperlinks>
  <pageMargins left="0.7" right="0.7" top="0.75" bottom="0.75" header="0.3" footer="0.3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721"/>
  <sheetViews>
    <sheetView tabSelected="1" workbookViewId="0">
      <pane ySplit="8" topLeftCell="A9" activePane="bottomLeft" state="frozen"/>
      <selection/>
      <selection pane="bottomLeft" activeCell="I34" sqref="I34"/>
    </sheetView>
  </sheetViews>
  <sheetFormatPr defaultColWidth="9" defaultRowHeight="13.5"/>
  <cols>
    <col min="2" max="2" width="16"/>
    <col min="3" max="7" width="9.375"/>
    <col min="12" max="12" width="9" style="1"/>
  </cols>
  <sheetData>
    <row r="1" spans="1:1">
      <c r="A1" t="s">
        <v>831</v>
      </c>
    </row>
    <row r="3" spans="1:1">
      <c r="A3" t="s">
        <v>779</v>
      </c>
    </row>
    <row r="4" spans="1:1">
      <c r="A4" t="s">
        <v>780</v>
      </c>
    </row>
    <row r="5" spans="1:1">
      <c r="A5" t="s">
        <v>781</v>
      </c>
    </row>
    <row r="8" spans="1:41">
      <c r="A8" t="s">
        <v>782</v>
      </c>
      <c r="B8" t="s">
        <v>783</v>
      </c>
      <c r="C8" t="s">
        <v>784</v>
      </c>
      <c r="D8" t="s">
        <v>785</v>
      </c>
      <c r="E8" t="s">
        <v>786</v>
      </c>
      <c r="F8" t="s">
        <v>787</v>
      </c>
      <c r="G8" t="s">
        <v>832</v>
      </c>
      <c r="H8" t="s">
        <v>788</v>
      </c>
      <c r="I8" t="s">
        <v>789</v>
      </c>
      <c r="J8" t="s">
        <v>790</v>
      </c>
      <c r="K8" t="s">
        <v>607</v>
      </c>
      <c r="L8" s="1" t="s">
        <v>791</v>
      </c>
      <c r="M8" t="s">
        <v>792</v>
      </c>
      <c r="N8" t="s">
        <v>793</v>
      </c>
      <c r="O8" t="s">
        <v>794</v>
      </c>
      <c r="P8" t="s">
        <v>795</v>
      </c>
      <c r="Q8" t="s">
        <v>796</v>
      </c>
      <c r="R8" t="s">
        <v>797</v>
      </c>
      <c r="S8" t="s">
        <v>798</v>
      </c>
      <c r="T8" t="s">
        <v>799</v>
      </c>
      <c r="U8" t="s">
        <v>800</v>
      </c>
      <c r="V8" t="s">
        <v>801</v>
      </c>
      <c r="W8" t="s">
        <v>802</v>
      </c>
      <c r="X8" t="s">
        <v>803</v>
      </c>
      <c r="Y8" t="s">
        <v>804</v>
      </c>
      <c r="Z8" t="s">
        <v>805</v>
      </c>
      <c r="AA8" t="s">
        <v>806</v>
      </c>
      <c r="AB8" t="s">
        <v>807</v>
      </c>
      <c r="AC8" t="s">
        <v>808</v>
      </c>
      <c r="AD8" t="s">
        <v>809</v>
      </c>
      <c r="AE8" t="s">
        <v>810</v>
      </c>
      <c r="AF8" t="s">
        <v>811</v>
      </c>
      <c r="AG8" t="s">
        <v>812</v>
      </c>
      <c r="AH8" t="s">
        <v>813</v>
      </c>
      <c r="AI8" t="s">
        <v>814</v>
      </c>
      <c r="AJ8" t="s">
        <v>815</v>
      </c>
      <c r="AK8" t="s">
        <v>816</v>
      </c>
      <c r="AL8" t="s">
        <v>817</v>
      </c>
      <c r="AM8" t="s">
        <v>818</v>
      </c>
      <c r="AN8" t="s">
        <v>819</v>
      </c>
      <c r="AO8" t="s">
        <v>820</v>
      </c>
    </row>
    <row r="9" spans="1:41">
      <c r="A9">
        <v>1</v>
      </c>
      <c r="B9" s="2">
        <v>45296.6151851852</v>
      </c>
      <c r="C9">
        <v>1.004</v>
      </c>
      <c r="D9" t="s">
        <v>821</v>
      </c>
      <c r="E9" t="s">
        <v>833</v>
      </c>
      <c r="F9">
        <v>63</v>
      </c>
      <c r="H9">
        <v>1</v>
      </c>
      <c r="I9">
        <v>3068</v>
      </c>
      <c r="J9">
        <v>4941</v>
      </c>
      <c r="K9">
        <v>31048</v>
      </c>
      <c r="L9" s="1">
        <v>0</v>
      </c>
      <c r="M9">
        <v>-3</v>
      </c>
      <c r="N9">
        <v>36.3</v>
      </c>
      <c r="O9">
        <v>61360</v>
      </c>
      <c r="P9">
        <v>65535</v>
      </c>
      <c r="Q9">
        <v>11037</v>
      </c>
      <c r="R9">
        <v>0</v>
      </c>
      <c r="S9">
        <v>35.7</v>
      </c>
      <c r="T9">
        <v>13</v>
      </c>
      <c r="U9">
        <v>100</v>
      </c>
      <c r="V9">
        <v>34800</v>
      </c>
      <c r="W9">
        <v>5000</v>
      </c>
      <c r="X9" t="s">
        <v>823</v>
      </c>
      <c r="Y9" t="s">
        <v>834</v>
      </c>
      <c r="Z9" t="s">
        <v>825</v>
      </c>
      <c r="AA9">
        <v>4</v>
      </c>
      <c r="AB9">
        <v>6</v>
      </c>
      <c r="AC9">
        <v>76</v>
      </c>
      <c r="AD9">
        <v>4</v>
      </c>
      <c r="AE9">
        <v>3068</v>
      </c>
      <c r="AF9">
        <v>4941</v>
      </c>
      <c r="AG9">
        <v>43</v>
      </c>
      <c r="AH9">
        <v>1869</v>
      </c>
      <c r="AI9">
        <v>3</v>
      </c>
      <c r="AJ9">
        <v>87</v>
      </c>
      <c r="AK9">
        <v>1648</v>
      </c>
      <c r="AL9">
        <v>1350</v>
      </c>
      <c r="AM9">
        <v>10</v>
      </c>
      <c r="AN9">
        <v>891</v>
      </c>
      <c r="AO9" t="s">
        <v>826</v>
      </c>
    </row>
    <row r="10" spans="1:41">
      <c r="A10">
        <v>2</v>
      </c>
      <c r="B10" s="2">
        <v>45296.6152083333</v>
      </c>
      <c r="C10">
        <v>3.352</v>
      </c>
      <c r="D10" t="s">
        <v>821</v>
      </c>
      <c r="E10" t="s">
        <v>833</v>
      </c>
      <c r="F10">
        <v>63</v>
      </c>
      <c r="G10">
        <f t="shared" ref="G9:G72" si="0">F9-F10</f>
        <v>0</v>
      </c>
      <c r="H10">
        <v>1</v>
      </c>
      <c r="I10">
        <v>3068</v>
      </c>
      <c r="J10">
        <v>4941</v>
      </c>
      <c r="K10">
        <v>31048</v>
      </c>
      <c r="L10" s="1">
        <v>0</v>
      </c>
      <c r="M10">
        <v>-3</v>
      </c>
      <c r="N10">
        <v>36.3</v>
      </c>
      <c r="O10">
        <v>61360</v>
      </c>
      <c r="P10">
        <v>65535</v>
      </c>
      <c r="Q10">
        <v>11037</v>
      </c>
      <c r="R10">
        <v>0</v>
      </c>
      <c r="S10">
        <v>35.7</v>
      </c>
      <c r="T10">
        <v>13</v>
      </c>
      <c r="U10">
        <v>100</v>
      </c>
      <c r="V10">
        <v>34800</v>
      </c>
      <c r="W10">
        <v>5000</v>
      </c>
      <c r="X10" t="s">
        <v>823</v>
      </c>
      <c r="Y10" t="s">
        <v>834</v>
      </c>
      <c r="Z10" t="s">
        <v>825</v>
      </c>
      <c r="AA10">
        <v>4</v>
      </c>
      <c r="AB10">
        <v>6</v>
      </c>
      <c r="AC10">
        <v>76</v>
      </c>
      <c r="AD10">
        <v>4</v>
      </c>
      <c r="AE10">
        <v>3068</v>
      </c>
      <c r="AF10">
        <v>4941</v>
      </c>
      <c r="AG10">
        <v>45</v>
      </c>
      <c r="AH10">
        <v>1869</v>
      </c>
      <c r="AI10">
        <v>3</v>
      </c>
      <c r="AJ10">
        <v>87</v>
      </c>
      <c r="AK10">
        <v>1648</v>
      </c>
      <c r="AL10">
        <v>1350</v>
      </c>
      <c r="AM10">
        <v>10</v>
      </c>
      <c r="AN10">
        <v>906</v>
      </c>
      <c r="AO10" t="s">
        <v>826</v>
      </c>
    </row>
    <row r="11" spans="1:41">
      <c r="A11">
        <v>3</v>
      </c>
      <c r="B11" s="2">
        <v>45296.6152199074</v>
      </c>
      <c r="C11">
        <v>4.293</v>
      </c>
      <c r="D11" t="s">
        <v>821</v>
      </c>
      <c r="E11" t="s">
        <v>833</v>
      </c>
      <c r="F11">
        <v>63</v>
      </c>
      <c r="G11">
        <f t="shared" si="0"/>
        <v>0</v>
      </c>
      <c r="H11">
        <v>1</v>
      </c>
      <c r="I11">
        <v>3068</v>
      </c>
      <c r="J11">
        <v>4941</v>
      </c>
      <c r="K11">
        <v>31048</v>
      </c>
      <c r="L11" s="1">
        <v>0</v>
      </c>
      <c r="M11">
        <v>-3</v>
      </c>
      <c r="N11">
        <v>36.3</v>
      </c>
      <c r="O11">
        <v>61360</v>
      </c>
      <c r="P11">
        <v>65535</v>
      </c>
      <c r="Q11">
        <v>11037</v>
      </c>
      <c r="R11">
        <v>0</v>
      </c>
      <c r="S11">
        <v>35.7</v>
      </c>
      <c r="T11">
        <v>13</v>
      </c>
      <c r="U11">
        <v>100</v>
      </c>
      <c r="V11">
        <v>34800</v>
      </c>
      <c r="W11">
        <v>5000</v>
      </c>
      <c r="X11" t="s">
        <v>823</v>
      </c>
      <c r="Y11" t="s">
        <v>834</v>
      </c>
      <c r="Z11" t="s">
        <v>825</v>
      </c>
      <c r="AA11">
        <v>4</v>
      </c>
      <c r="AB11">
        <v>6</v>
      </c>
      <c r="AC11">
        <v>76</v>
      </c>
      <c r="AD11">
        <v>4</v>
      </c>
      <c r="AE11">
        <v>3068</v>
      </c>
      <c r="AF11">
        <v>4941</v>
      </c>
      <c r="AG11">
        <v>46</v>
      </c>
      <c r="AH11">
        <v>1869</v>
      </c>
      <c r="AI11">
        <v>3</v>
      </c>
      <c r="AJ11">
        <v>87</v>
      </c>
      <c r="AK11">
        <v>1648</v>
      </c>
      <c r="AL11">
        <v>1350</v>
      </c>
      <c r="AM11">
        <v>10</v>
      </c>
      <c r="AN11">
        <v>900</v>
      </c>
      <c r="AO11" t="s">
        <v>826</v>
      </c>
    </row>
    <row r="12" spans="1:41">
      <c r="A12">
        <v>4</v>
      </c>
      <c r="B12" s="2">
        <v>45296.6152314815</v>
      </c>
      <c r="C12">
        <v>5.235</v>
      </c>
      <c r="D12" t="s">
        <v>821</v>
      </c>
      <c r="E12" t="s">
        <v>833</v>
      </c>
      <c r="F12">
        <v>63</v>
      </c>
      <c r="G12">
        <f t="shared" si="0"/>
        <v>0</v>
      </c>
      <c r="H12">
        <v>1</v>
      </c>
      <c r="I12">
        <v>3068</v>
      </c>
      <c r="J12">
        <v>4941</v>
      </c>
      <c r="K12">
        <v>31048</v>
      </c>
      <c r="L12" s="1">
        <v>0</v>
      </c>
      <c r="M12">
        <v>-2</v>
      </c>
      <c r="N12">
        <v>36.3</v>
      </c>
      <c r="O12">
        <v>65535</v>
      </c>
      <c r="P12">
        <v>65535</v>
      </c>
      <c r="Q12">
        <v>11037</v>
      </c>
      <c r="R12">
        <v>0</v>
      </c>
      <c r="S12">
        <v>35.7</v>
      </c>
      <c r="T12">
        <v>13</v>
      </c>
      <c r="U12">
        <v>100</v>
      </c>
      <c r="V12">
        <v>34800</v>
      </c>
      <c r="W12">
        <v>5000</v>
      </c>
      <c r="X12" t="s">
        <v>823</v>
      </c>
      <c r="Y12" t="s">
        <v>834</v>
      </c>
      <c r="Z12" t="s">
        <v>825</v>
      </c>
      <c r="AA12">
        <v>4</v>
      </c>
      <c r="AB12">
        <v>6</v>
      </c>
      <c r="AC12">
        <v>76</v>
      </c>
      <c r="AD12">
        <v>4</v>
      </c>
      <c r="AE12">
        <v>3068</v>
      </c>
      <c r="AF12">
        <v>4941</v>
      </c>
      <c r="AG12">
        <v>47</v>
      </c>
      <c r="AH12">
        <v>1869</v>
      </c>
      <c r="AI12">
        <v>3</v>
      </c>
      <c r="AJ12">
        <v>87</v>
      </c>
      <c r="AK12">
        <v>1648</v>
      </c>
      <c r="AL12">
        <v>1350</v>
      </c>
      <c r="AM12">
        <v>10</v>
      </c>
      <c r="AN12">
        <v>910</v>
      </c>
      <c r="AO12" t="s">
        <v>826</v>
      </c>
    </row>
    <row r="13" spans="1:41">
      <c r="A13">
        <v>5</v>
      </c>
      <c r="B13" s="2">
        <v>45296.6152546296</v>
      </c>
      <c r="C13">
        <v>7.608</v>
      </c>
      <c r="D13" t="s">
        <v>821</v>
      </c>
      <c r="E13" t="s">
        <v>822</v>
      </c>
      <c r="F13">
        <v>63</v>
      </c>
      <c r="G13">
        <f t="shared" si="0"/>
        <v>0</v>
      </c>
      <c r="H13">
        <v>1</v>
      </c>
      <c r="I13">
        <v>3068</v>
      </c>
      <c r="J13">
        <v>4941</v>
      </c>
      <c r="K13">
        <v>31048</v>
      </c>
      <c r="L13" s="1">
        <v>0</v>
      </c>
      <c r="M13">
        <v>-2</v>
      </c>
      <c r="N13">
        <v>36.3</v>
      </c>
      <c r="O13">
        <v>65535</v>
      </c>
      <c r="P13">
        <v>65535</v>
      </c>
      <c r="Q13">
        <v>11037</v>
      </c>
      <c r="R13">
        <v>0</v>
      </c>
      <c r="S13">
        <v>35.5</v>
      </c>
      <c r="T13">
        <v>13</v>
      </c>
      <c r="U13">
        <v>100</v>
      </c>
      <c r="V13">
        <v>34800</v>
      </c>
      <c r="W13">
        <v>5000</v>
      </c>
      <c r="X13" t="s">
        <v>823</v>
      </c>
      <c r="Y13" t="s">
        <v>830</v>
      </c>
      <c r="Z13" t="s">
        <v>828</v>
      </c>
      <c r="AA13">
        <v>4</v>
      </c>
      <c r="AB13">
        <v>6</v>
      </c>
      <c r="AC13">
        <v>76</v>
      </c>
      <c r="AD13">
        <v>4</v>
      </c>
      <c r="AE13">
        <v>3065</v>
      </c>
      <c r="AF13">
        <v>5024</v>
      </c>
      <c r="AG13">
        <v>0</v>
      </c>
      <c r="AH13">
        <v>1872</v>
      </c>
      <c r="AI13">
        <v>3</v>
      </c>
      <c r="AJ13">
        <v>87</v>
      </c>
      <c r="AK13">
        <v>1648</v>
      </c>
      <c r="AL13">
        <v>1353</v>
      </c>
      <c r="AM13">
        <v>10</v>
      </c>
      <c r="AN13">
        <v>912</v>
      </c>
      <c r="AO13" t="s">
        <v>826</v>
      </c>
    </row>
    <row r="14" spans="1:41">
      <c r="A14">
        <v>6</v>
      </c>
      <c r="B14" s="2">
        <v>45296.6152662037</v>
      </c>
      <c r="C14">
        <v>8.56</v>
      </c>
      <c r="D14" t="s">
        <v>821</v>
      </c>
      <c r="E14" t="s">
        <v>822</v>
      </c>
      <c r="F14">
        <v>63</v>
      </c>
      <c r="G14">
        <f t="shared" si="0"/>
        <v>0</v>
      </c>
      <c r="H14">
        <v>1</v>
      </c>
      <c r="I14">
        <v>3065</v>
      </c>
      <c r="J14">
        <v>4941</v>
      </c>
      <c r="K14">
        <v>30488</v>
      </c>
      <c r="L14" s="1">
        <v>-12490</v>
      </c>
      <c r="M14">
        <v>-831</v>
      </c>
      <c r="N14">
        <v>36.3</v>
      </c>
      <c r="O14">
        <v>221</v>
      </c>
      <c r="P14">
        <v>65535</v>
      </c>
      <c r="Q14">
        <v>11026</v>
      </c>
      <c r="R14">
        <v>-32767</v>
      </c>
      <c r="S14">
        <v>35.5</v>
      </c>
      <c r="T14">
        <v>13</v>
      </c>
      <c r="U14">
        <v>100</v>
      </c>
      <c r="V14">
        <v>34800</v>
      </c>
      <c r="W14">
        <v>5000</v>
      </c>
      <c r="X14" t="s">
        <v>823</v>
      </c>
      <c r="Y14" t="s">
        <v>830</v>
      </c>
      <c r="Z14" t="s">
        <v>828</v>
      </c>
      <c r="AA14">
        <v>4</v>
      </c>
      <c r="AB14">
        <v>6</v>
      </c>
      <c r="AC14">
        <v>76</v>
      </c>
      <c r="AD14">
        <v>4</v>
      </c>
      <c r="AE14">
        <v>3144</v>
      </c>
      <c r="AF14">
        <v>5024</v>
      </c>
      <c r="AG14">
        <v>1</v>
      </c>
      <c r="AH14">
        <v>1876</v>
      </c>
      <c r="AI14">
        <v>3</v>
      </c>
      <c r="AJ14">
        <v>87</v>
      </c>
      <c r="AK14">
        <v>1648</v>
      </c>
      <c r="AL14">
        <v>1357</v>
      </c>
      <c r="AM14">
        <v>10</v>
      </c>
      <c r="AN14">
        <v>915</v>
      </c>
      <c r="AO14" t="s">
        <v>826</v>
      </c>
    </row>
    <row r="15" spans="1:41">
      <c r="A15">
        <v>7</v>
      </c>
      <c r="B15" s="2">
        <v>45296.6153009259</v>
      </c>
      <c r="C15">
        <v>10.942</v>
      </c>
      <c r="D15" t="s">
        <v>821</v>
      </c>
      <c r="E15" t="s">
        <v>822</v>
      </c>
      <c r="F15">
        <v>63</v>
      </c>
      <c r="G15">
        <f t="shared" si="0"/>
        <v>0</v>
      </c>
      <c r="H15">
        <v>1</v>
      </c>
      <c r="I15">
        <v>3137</v>
      </c>
      <c r="J15">
        <v>5024</v>
      </c>
      <c r="K15">
        <v>30376</v>
      </c>
      <c r="L15" s="1">
        <v>-12490</v>
      </c>
      <c r="M15">
        <v>-3003</v>
      </c>
      <c r="N15">
        <v>36.3</v>
      </c>
      <c r="O15">
        <v>63</v>
      </c>
      <c r="P15">
        <v>65535</v>
      </c>
      <c r="Q15">
        <v>11352</v>
      </c>
      <c r="R15">
        <v>-32767</v>
      </c>
      <c r="S15">
        <v>35.5</v>
      </c>
      <c r="T15">
        <v>13</v>
      </c>
      <c r="U15">
        <v>100</v>
      </c>
      <c r="V15">
        <v>34800</v>
      </c>
      <c r="W15">
        <v>5000</v>
      </c>
      <c r="X15" t="s">
        <v>823</v>
      </c>
      <c r="Y15" t="s">
        <v>830</v>
      </c>
      <c r="Z15" t="s">
        <v>828</v>
      </c>
      <c r="AA15">
        <v>4</v>
      </c>
      <c r="AB15">
        <v>6</v>
      </c>
      <c r="AC15">
        <v>76</v>
      </c>
      <c r="AD15">
        <v>4</v>
      </c>
      <c r="AE15">
        <v>3137</v>
      </c>
      <c r="AF15">
        <v>5024</v>
      </c>
      <c r="AG15">
        <v>3</v>
      </c>
      <c r="AH15">
        <v>1883</v>
      </c>
      <c r="AI15">
        <v>3</v>
      </c>
      <c r="AJ15">
        <v>87</v>
      </c>
      <c r="AK15">
        <v>1648</v>
      </c>
      <c r="AL15">
        <v>1364</v>
      </c>
      <c r="AM15">
        <v>10</v>
      </c>
      <c r="AN15">
        <v>908</v>
      </c>
      <c r="AO15" t="s">
        <v>826</v>
      </c>
    </row>
    <row r="16" spans="1:41">
      <c r="A16">
        <v>8</v>
      </c>
      <c r="B16" s="2">
        <v>45296.6153009259</v>
      </c>
      <c r="C16">
        <v>11.885</v>
      </c>
      <c r="D16" t="s">
        <v>821</v>
      </c>
      <c r="E16" t="s">
        <v>822</v>
      </c>
      <c r="F16">
        <v>63</v>
      </c>
      <c r="G16">
        <f t="shared" si="0"/>
        <v>0</v>
      </c>
      <c r="H16">
        <v>1</v>
      </c>
      <c r="I16">
        <v>3134</v>
      </c>
      <c r="J16">
        <v>5024</v>
      </c>
      <c r="K16">
        <v>30344</v>
      </c>
      <c r="L16" s="1">
        <v>-12492</v>
      </c>
      <c r="M16">
        <v>-3634</v>
      </c>
      <c r="N16">
        <v>36.3</v>
      </c>
      <c r="O16">
        <v>52</v>
      </c>
      <c r="P16">
        <v>65535</v>
      </c>
      <c r="Q16">
        <v>11341</v>
      </c>
      <c r="R16">
        <v>-32767</v>
      </c>
      <c r="S16">
        <v>35.5</v>
      </c>
      <c r="T16">
        <v>13</v>
      </c>
      <c r="U16">
        <v>100</v>
      </c>
      <c r="V16">
        <v>34800</v>
      </c>
      <c r="W16">
        <v>5000</v>
      </c>
      <c r="X16" t="s">
        <v>823</v>
      </c>
      <c r="Y16" t="s">
        <v>830</v>
      </c>
      <c r="Z16" t="s">
        <v>828</v>
      </c>
      <c r="AA16">
        <v>4</v>
      </c>
      <c r="AB16">
        <v>6</v>
      </c>
      <c r="AC16">
        <v>76</v>
      </c>
      <c r="AD16">
        <v>4</v>
      </c>
      <c r="AE16">
        <v>3134</v>
      </c>
      <c r="AF16">
        <v>5024</v>
      </c>
      <c r="AG16">
        <v>4</v>
      </c>
      <c r="AH16">
        <v>1886</v>
      </c>
      <c r="AI16">
        <v>3</v>
      </c>
      <c r="AJ16">
        <v>87</v>
      </c>
      <c r="AK16">
        <v>1648</v>
      </c>
      <c r="AL16">
        <v>1367</v>
      </c>
      <c r="AM16">
        <v>10</v>
      </c>
      <c r="AN16">
        <v>887</v>
      </c>
      <c r="AO16" t="s">
        <v>826</v>
      </c>
    </row>
    <row r="17" spans="1:41">
      <c r="A17">
        <v>9</v>
      </c>
      <c r="B17" s="2">
        <v>45296.6153125</v>
      </c>
      <c r="C17">
        <v>12.809</v>
      </c>
      <c r="D17" t="s">
        <v>821</v>
      </c>
      <c r="E17" t="s">
        <v>822</v>
      </c>
      <c r="F17">
        <v>63</v>
      </c>
      <c r="G17">
        <f t="shared" si="0"/>
        <v>0</v>
      </c>
      <c r="H17">
        <v>1</v>
      </c>
      <c r="I17">
        <v>3130</v>
      </c>
      <c r="J17">
        <v>5024</v>
      </c>
      <c r="K17">
        <v>30320</v>
      </c>
      <c r="L17" s="1">
        <v>-12492</v>
      </c>
      <c r="M17">
        <v>-4222</v>
      </c>
      <c r="N17">
        <v>36.3</v>
      </c>
      <c r="O17">
        <v>44</v>
      </c>
      <c r="P17">
        <v>65535</v>
      </c>
      <c r="Q17">
        <v>11326</v>
      </c>
      <c r="R17">
        <v>-32767</v>
      </c>
      <c r="S17">
        <v>35.4</v>
      </c>
      <c r="T17">
        <v>13</v>
      </c>
      <c r="U17">
        <v>100</v>
      </c>
      <c r="V17">
        <v>34800</v>
      </c>
      <c r="W17">
        <v>5000</v>
      </c>
      <c r="X17" t="s">
        <v>823</v>
      </c>
      <c r="Y17" t="s">
        <v>830</v>
      </c>
      <c r="Z17" t="s">
        <v>828</v>
      </c>
      <c r="AA17">
        <v>4</v>
      </c>
      <c r="AB17">
        <v>6</v>
      </c>
      <c r="AC17">
        <v>76</v>
      </c>
      <c r="AD17">
        <v>4</v>
      </c>
      <c r="AE17">
        <v>3130</v>
      </c>
      <c r="AF17">
        <v>5024</v>
      </c>
      <c r="AG17">
        <v>5</v>
      </c>
      <c r="AH17">
        <v>1890</v>
      </c>
      <c r="AI17">
        <v>3</v>
      </c>
      <c r="AJ17">
        <v>87</v>
      </c>
      <c r="AK17">
        <v>1648</v>
      </c>
      <c r="AL17">
        <v>1371</v>
      </c>
      <c r="AM17">
        <v>10</v>
      </c>
      <c r="AN17">
        <v>900</v>
      </c>
      <c r="AO17" t="s">
        <v>826</v>
      </c>
    </row>
    <row r="18" spans="1:41">
      <c r="A18">
        <v>10</v>
      </c>
      <c r="B18" s="2">
        <v>45296.6153472222</v>
      </c>
      <c r="C18">
        <v>15.166</v>
      </c>
      <c r="D18" t="s">
        <v>821</v>
      </c>
      <c r="E18" t="s">
        <v>822</v>
      </c>
      <c r="F18">
        <v>63</v>
      </c>
      <c r="G18">
        <f t="shared" si="0"/>
        <v>0</v>
      </c>
      <c r="H18">
        <v>1</v>
      </c>
      <c r="I18">
        <v>3123</v>
      </c>
      <c r="J18">
        <v>5024</v>
      </c>
      <c r="K18">
        <v>30280</v>
      </c>
      <c r="L18" s="1">
        <v>-12492</v>
      </c>
      <c r="M18">
        <v>-5284</v>
      </c>
      <c r="N18">
        <v>36.3</v>
      </c>
      <c r="O18">
        <v>35</v>
      </c>
      <c r="P18">
        <v>65535</v>
      </c>
      <c r="Q18">
        <v>11299</v>
      </c>
      <c r="R18">
        <v>-32767</v>
      </c>
      <c r="S18">
        <v>35.4</v>
      </c>
      <c r="T18">
        <v>13</v>
      </c>
      <c r="U18">
        <v>100</v>
      </c>
      <c r="V18">
        <v>34800</v>
      </c>
      <c r="W18">
        <v>5000</v>
      </c>
      <c r="X18" t="s">
        <v>823</v>
      </c>
      <c r="Y18" t="s">
        <v>830</v>
      </c>
      <c r="Z18" t="s">
        <v>828</v>
      </c>
      <c r="AA18">
        <v>4</v>
      </c>
      <c r="AB18">
        <v>6</v>
      </c>
      <c r="AC18">
        <v>76</v>
      </c>
      <c r="AD18">
        <v>4</v>
      </c>
      <c r="AE18">
        <v>3123</v>
      </c>
      <c r="AF18">
        <v>5024</v>
      </c>
      <c r="AG18">
        <v>7</v>
      </c>
      <c r="AH18">
        <v>1897</v>
      </c>
      <c r="AI18">
        <v>3</v>
      </c>
      <c r="AJ18">
        <v>87</v>
      </c>
      <c r="AK18">
        <v>1648</v>
      </c>
      <c r="AL18">
        <v>1378</v>
      </c>
      <c r="AM18">
        <v>10</v>
      </c>
      <c r="AN18">
        <v>902</v>
      </c>
      <c r="AO18" t="s">
        <v>826</v>
      </c>
    </row>
    <row r="19" spans="1:41">
      <c r="A19">
        <v>11</v>
      </c>
      <c r="B19" s="2">
        <v>45296.6153587963</v>
      </c>
      <c r="C19">
        <v>16.107</v>
      </c>
      <c r="D19" t="s">
        <v>821</v>
      </c>
      <c r="E19" t="s">
        <v>822</v>
      </c>
      <c r="F19">
        <v>63</v>
      </c>
      <c r="G19">
        <f t="shared" si="0"/>
        <v>0</v>
      </c>
      <c r="H19">
        <v>1</v>
      </c>
      <c r="I19">
        <v>3120</v>
      </c>
      <c r="J19">
        <v>5024</v>
      </c>
      <c r="K19">
        <v>30256</v>
      </c>
      <c r="L19" s="1">
        <v>-12492</v>
      </c>
      <c r="M19">
        <v>-5762</v>
      </c>
      <c r="N19">
        <v>36.3</v>
      </c>
      <c r="O19">
        <v>32</v>
      </c>
      <c r="P19">
        <v>65535</v>
      </c>
      <c r="Q19">
        <v>11288</v>
      </c>
      <c r="R19">
        <v>-32767</v>
      </c>
      <c r="S19">
        <v>35.4</v>
      </c>
      <c r="T19">
        <v>13</v>
      </c>
      <c r="U19">
        <v>100</v>
      </c>
      <c r="V19">
        <v>34800</v>
      </c>
      <c r="W19">
        <v>5000</v>
      </c>
      <c r="X19" t="s">
        <v>823</v>
      </c>
      <c r="Y19" t="s">
        <v>830</v>
      </c>
      <c r="Z19" t="s">
        <v>828</v>
      </c>
      <c r="AA19">
        <v>4</v>
      </c>
      <c r="AB19">
        <v>6</v>
      </c>
      <c r="AC19">
        <v>76</v>
      </c>
      <c r="AD19">
        <v>4</v>
      </c>
      <c r="AE19">
        <v>3120</v>
      </c>
      <c r="AF19">
        <v>5024</v>
      </c>
      <c r="AG19">
        <v>8</v>
      </c>
      <c r="AH19">
        <v>1900</v>
      </c>
      <c r="AI19">
        <v>3</v>
      </c>
      <c r="AJ19">
        <v>87</v>
      </c>
      <c r="AK19">
        <v>1648</v>
      </c>
      <c r="AL19">
        <v>1381</v>
      </c>
      <c r="AM19">
        <v>10</v>
      </c>
      <c r="AN19">
        <v>898</v>
      </c>
      <c r="AO19" t="s">
        <v>826</v>
      </c>
    </row>
    <row r="20" spans="1:41">
      <c r="A20">
        <v>12</v>
      </c>
      <c r="B20" s="2">
        <v>45296.6153703704</v>
      </c>
      <c r="C20">
        <v>17.061</v>
      </c>
      <c r="D20" t="s">
        <v>821</v>
      </c>
      <c r="E20" t="s">
        <v>822</v>
      </c>
      <c r="F20">
        <v>63</v>
      </c>
      <c r="G20">
        <f t="shared" si="0"/>
        <v>0</v>
      </c>
      <c r="H20">
        <v>1</v>
      </c>
      <c r="I20">
        <v>3116</v>
      </c>
      <c r="J20">
        <v>5024</v>
      </c>
      <c r="K20">
        <v>30240</v>
      </c>
      <c r="L20" s="1">
        <v>-12492</v>
      </c>
      <c r="M20">
        <v>-6209</v>
      </c>
      <c r="N20">
        <v>36.3</v>
      </c>
      <c r="O20">
        <v>30</v>
      </c>
      <c r="P20">
        <v>65535</v>
      </c>
      <c r="Q20">
        <v>11273</v>
      </c>
      <c r="R20">
        <v>-32767</v>
      </c>
      <c r="S20">
        <v>35.4</v>
      </c>
      <c r="T20">
        <v>13</v>
      </c>
      <c r="U20">
        <v>100</v>
      </c>
      <c r="V20">
        <v>34800</v>
      </c>
      <c r="W20">
        <v>5000</v>
      </c>
      <c r="X20" t="s">
        <v>823</v>
      </c>
      <c r="Y20" t="s">
        <v>830</v>
      </c>
      <c r="Z20" t="s">
        <v>828</v>
      </c>
      <c r="AA20">
        <v>4</v>
      </c>
      <c r="AB20">
        <v>6</v>
      </c>
      <c r="AC20">
        <v>76</v>
      </c>
      <c r="AD20">
        <v>4</v>
      </c>
      <c r="AE20">
        <v>3116</v>
      </c>
      <c r="AF20">
        <v>5024</v>
      </c>
      <c r="AG20">
        <v>9</v>
      </c>
      <c r="AH20">
        <v>1904</v>
      </c>
      <c r="AI20">
        <v>3</v>
      </c>
      <c r="AJ20">
        <v>87</v>
      </c>
      <c r="AK20">
        <v>1648</v>
      </c>
      <c r="AL20">
        <v>1385</v>
      </c>
      <c r="AM20">
        <v>10</v>
      </c>
      <c r="AN20">
        <v>909</v>
      </c>
      <c r="AO20" t="s">
        <v>826</v>
      </c>
    </row>
    <row r="21" spans="1:41">
      <c r="A21">
        <v>13</v>
      </c>
      <c r="B21" s="2">
        <v>45296.6153935185</v>
      </c>
      <c r="C21">
        <v>19.449</v>
      </c>
      <c r="D21" t="s">
        <v>821</v>
      </c>
      <c r="E21" t="s">
        <v>822</v>
      </c>
      <c r="F21">
        <v>62</v>
      </c>
      <c r="G21">
        <f t="shared" si="0"/>
        <v>1</v>
      </c>
      <c r="H21">
        <v>1</v>
      </c>
      <c r="I21">
        <v>3109</v>
      </c>
      <c r="J21">
        <v>5024</v>
      </c>
      <c r="K21">
        <v>30208</v>
      </c>
      <c r="L21" s="1">
        <v>-12492</v>
      </c>
      <c r="M21">
        <v>-7016</v>
      </c>
      <c r="N21">
        <v>36.3</v>
      </c>
      <c r="O21">
        <v>27</v>
      </c>
      <c r="P21">
        <v>65535</v>
      </c>
      <c r="Q21">
        <v>11246</v>
      </c>
      <c r="R21">
        <v>-32767</v>
      </c>
      <c r="S21">
        <v>35.4</v>
      </c>
      <c r="T21">
        <v>13</v>
      </c>
      <c r="U21">
        <v>100</v>
      </c>
      <c r="V21">
        <v>34800</v>
      </c>
      <c r="W21">
        <v>5000</v>
      </c>
      <c r="X21" t="s">
        <v>823</v>
      </c>
      <c r="Y21" t="s">
        <v>830</v>
      </c>
      <c r="Z21" t="s">
        <v>828</v>
      </c>
      <c r="AA21">
        <v>4</v>
      </c>
      <c r="AB21">
        <v>6</v>
      </c>
      <c r="AC21">
        <v>76</v>
      </c>
      <c r="AD21">
        <v>4</v>
      </c>
      <c r="AE21">
        <v>3109</v>
      </c>
      <c r="AF21">
        <v>5024</v>
      </c>
      <c r="AG21">
        <v>12</v>
      </c>
      <c r="AH21">
        <v>1914</v>
      </c>
      <c r="AI21">
        <v>3</v>
      </c>
      <c r="AJ21">
        <v>87</v>
      </c>
      <c r="AK21">
        <v>1648</v>
      </c>
      <c r="AL21">
        <v>1395</v>
      </c>
      <c r="AM21">
        <v>10</v>
      </c>
      <c r="AN21">
        <v>901</v>
      </c>
      <c r="AO21" t="s">
        <v>826</v>
      </c>
    </row>
    <row r="22" spans="1:41">
      <c r="A22">
        <v>14</v>
      </c>
      <c r="B22" s="2">
        <v>45296.6154050926</v>
      </c>
      <c r="C22">
        <v>20.386</v>
      </c>
      <c r="D22" t="s">
        <v>821</v>
      </c>
      <c r="E22" t="s">
        <v>822</v>
      </c>
      <c r="F22">
        <v>62</v>
      </c>
      <c r="G22">
        <f t="shared" si="0"/>
        <v>0</v>
      </c>
      <c r="H22">
        <v>1</v>
      </c>
      <c r="I22">
        <v>3106</v>
      </c>
      <c r="J22">
        <v>5024</v>
      </c>
      <c r="K22">
        <v>30192</v>
      </c>
      <c r="L22" s="1">
        <v>-12492</v>
      </c>
      <c r="M22">
        <v>-7380</v>
      </c>
      <c r="N22">
        <v>36.4</v>
      </c>
      <c r="O22">
        <v>25</v>
      </c>
      <c r="P22">
        <v>65535</v>
      </c>
      <c r="Q22">
        <v>11235</v>
      </c>
      <c r="R22">
        <v>-32767</v>
      </c>
      <c r="S22">
        <v>35.3</v>
      </c>
      <c r="T22">
        <v>13</v>
      </c>
      <c r="U22">
        <v>100</v>
      </c>
      <c r="V22">
        <v>34800</v>
      </c>
      <c r="W22">
        <v>5000</v>
      </c>
      <c r="X22" t="s">
        <v>823</v>
      </c>
      <c r="Y22" t="s">
        <v>830</v>
      </c>
      <c r="Z22" t="s">
        <v>828</v>
      </c>
      <c r="AA22">
        <v>4</v>
      </c>
      <c r="AB22">
        <v>6</v>
      </c>
      <c r="AC22">
        <v>76</v>
      </c>
      <c r="AD22">
        <v>4</v>
      </c>
      <c r="AE22">
        <v>3106</v>
      </c>
      <c r="AF22">
        <v>5024</v>
      </c>
      <c r="AG22">
        <v>12</v>
      </c>
      <c r="AH22">
        <v>1914</v>
      </c>
      <c r="AI22">
        <v>3</v>
      </c>
      <c r="AJ22">
        <v>87</v>
      </c>
      <c r="AK22">
        <v>1648</v>
      </c>
      <c r="AL22">
        <v>1399</v>
      </c>
      <c r="AM22">
        <v>10</v>
      </c>
      <c r="AN22">
        <v>902</v>
      </c>
      <c r="AO22" t="s">
        <v>826</v>
      </c>
    </row>
    <row r="23" spans="1:41">
      <c r="A23">
        <v>15</v>
      </c>
      <c r="B23" s="2">
        <v>45296.6154166667</v>
      </c>
      <c r="C23">
        <v>21.322</v>
      </c>
      <c r="D23" t="s">
        <v>821</v>
      </c>
      <c r="E23" t="s">
        <v>822</v>
      </c>
      <c r="F23">
        <v>62</v>
      </c>
      <c r="G23">
        <f t="shared" si="0"/>
        <v>0</v>
      </c>
      <c r="H23">
        <v>1</v>
      </c>
      <c r="I23">
        <v>3102</v>
      </c>
      <c r="J23">
        <v>5024</v>
      </c>
      <c r="K23">
        <v>30176</v>
      </c>
      <c r="L23" s="1">
        <v>-12493</v>
      </c>
      <c r="M23">
        <v>-7719</v>
      </c>
      <c r="N23">
        <v>36.4</v>
      </c>
      <c r="O23">
        <v>24</v>
      </c>
      <c r="P23">
        <v>65535</v>
      </c>
      <c r="Q23">
        <v>11220</v>
      </c>
      <c r="R23">
        <v>-32767</v>
      </c>
      <c r="S23">
        <v>35.3</v>
      </c>
      <c r="T23">
        <v>13</v>
      </c>
      <c r="U23">
        <v>100</v>
      </c>
      <c r="V23">
        <v>34800</v>
      </c>
      <c r="W23">
        <v>5000</v>
      </c>
      <c r="X23" t="s">
        <v>823</v>
      </c>
      <c r="Y23" t="s">
        <v>830</v>
      </c>
      <c r="Z23" t="s">
        <v>828</v>
      </c>
      <c r="AA23">
        <v>4</v>
      </c>
      <c r="AB23">
        <v>6</v>
      </c>
      <c r="AC23">
        <v>76</v>
      </c>
      <c r="AD23">
        <v>4</v>
      </c>
      <c r="AE23">
        <v>3102</v>
      </c>
      <c r="AF23">
        <v>5024</v>
      </c>
      <c r="AG23">
        <v>13</v>
      </c>
      <c r="AH23">
        <v>1918</v>
      </c>
      <c r="AI23">
        <v>3</v>
      </c>
      <c r="AJ23">
        <v>87</v>
      </c>
      <c r="AK23">
        <v>1648</v>
      </c>
      <c r="AL23">
        <v>1399</v>
      </c>
      <c r="AM23">
        <v>10</v>
      </c>
      <c r="AN23">
        <v>902</v>
      </c>
      <c r="AO23" t="s">
        <v>826</v>
      </c>
    </row>
    <row r="24" spans="1:41">
      <c r="A24">
        <v>16</v>
      </c>
      <c r="B24" s="2">
        <v>45296.6154398148</v>
      </c>
      <c r="C24">
        <v>23.686</v>
      </c>
      <c r="D24" t="s">
        <v>821</v>
      </c>
      <c r="E24" t="s">
        <v>822</v>
      </c>
      <c r="F24">
        <v>62</v>
      </c>
      <c r="G24">
        <f t="shared" si="0"/>
        <v>0</v>
      </c>
      <c r="H24">
        <v>1</v>
      </c>
      <c r="I24">
        <v>3096</v>
      </c>
      <c r="J24">
        <v>5024</v>
      </c>
      <c r="K24">
        <v>30144</v>
      </c>
      <c r="L24" s="1">
        <v>-12492</v>
      </c>
      <c r="M24">
        <v>-8332</v>
      </c>
      <c r="N24">
        <v>36.5</v>
      </c>
      <c r="O24">
        <v>22</v>
      </c>
      <c r="P24">
        <v>65535</v>
      </c>
      <c r="Q24">
        <v>11182</v>
      </c>
      <c r="R24">
        <v>-32767</v>
      </c>
      <c r="S24">
        <v>35.3</v>
      </c>
      <c r="T24">
        <v>13</v>
      </c>
      <c r="U24">
        <v>100</v>
      </c>
      <c r="V24">
        <v>34800</v>
      </c>
      <c r="W24">
        <v>5000</v>
      </c>
      <c r="X24" t="s">
        <v>823</v>
      </c>
      <c r="Y24" t="s">
        <v>830</v>
      </c>
      <c r="Z24" t="s">
        <v>828</v>
      </c>
      <c r="AA24">
        <v>4</v>
      </c>
      <c r="AB24">
        <v>6</v>
      </c>
      <c r="AC24">
        <v>76</v>
      </c>
      <c r="AD24">
        <v>4</v>
      </c>
      <c r="AE24">
        <v>3092</v>
      </c>
      <c r="AF24">
        <v>5024</v>
      </c>
      <c r="AG24">
        <v>16</v>
      </c>
      <c r="AH24">
        <v>1928</v>
      </c>
      <c r="AI24">
        <v>3</v>
      </c>
      <c r="AJ24">
        <v>87</v>
      </c>
      <c r="AK24">
        <v>1648</v>
      </c>
      <c r="AL24">
        <v>1409</v>
      </c>
      <c r="AM24">
        <v>10</v>
      </c>
      <c r="AN24">
        <v>910</v>
      </c>
      <c r="AO24" t="s">
        <v>826</v>
      </c>
    </row>
    <row r="25" spans="1:41">
      <c r="A25">
        <v>17</v>
      </c>
      <c r="B25" s="2">
        <v>45296.6154513889</v>
      </c>
      <c r="C25">
        <v>24.635</v>
      </c>
      <c r="D25" t="s">
        <v>821</v>
      </c>
      <c r="E25" t="s">
        <v>822</v>
      </c>
      <c r="F25">
        <v>62</v>
      </c>
      <c r="G25">
        <f t="shared" si="0"/>
        <v>0</v>
      </c>
      <c r="H25">
        <v>1</v>
      </c>
      <c r="I25">
        <v>3092</v>
      </c>
      <c r="J25">
        <v>5024</v>
      </c>
      <c r="K25">
        <v>30136</v>
      </c>
      <c r="L25" s="1">
        <v>-12492</v>
      </c>
      <c r="M25">
        <v>-8608</v>
      </c>
      <c r="N25">
        <v>36.5</v>
      </c>
      <c r="O25">
        <v>22</v>
      </c>
      <c r="P25">
        <v>65535</v>
      </c>
      <c r="Q25">
        <v>11182</v>
      </c>
      <c r="R25">
        <v>-32767</v>
      </c>
      <c r="S25">
        <v>35.3</v>
      </c>
      <c r="T25">
        <v>13</v>
      </c>
      <c r="U25">
        <v>100</v>
      </c>
      <c r="V25">
        <v>34800</v>
      </c>
      <c r="W25">
        <v>5000</v>
      </c>
      <c r="X25" t="s">
        <v>823</v>
      </c>
      <c r="Y25" t="s">
        <v>830</v>
      </c>
      <c r="Z25" t="s">
        <v>828</v>
      </c>
      <c r="AA25">
        <v>4</v>
      </c>
      <c r="AB25">
        <v>6</v>
      </c>
      <c r="AC25">
        <v>76</v>
      </c>
      <c r="AD25">
        <v>4</v>
      </c>
      <c r="AE25">
        <v>3089</v>
      </c>
      <c r="AF25">
        <v>5024</v>
      </c>
      <c r="AG25">
        <v>17</v>
      </c>
      <c r="AH25">
        <v>1931</v>
      </c>
      <c r="AI25">
        <v>3</v>
      </c>
      <c r="AJ25">
        <v>87</v>
      </c>
      <c r="AK25">
        <v>1648</v>
      </c>
      <c r="AL25">
        <v>1412</v>
      </c>
      <c r="AM25">
        <v>10</v>
      </c>
      <c r="AN25">
        <v>903</v>
      </c>
      <c r="AO25" t="s">
        <v>826</v>
      </c>
    </row>
    <row r="26" spans="1:41">
      <c r="A26">
        <v>18</v>
      </c>
      <c r="B26" s="2">
        <v>45296.6154861111</v>
      </c>
      <c r="C26">
        <v>26.983</v>
      </c>
      <c r="D26" t="s">
        <v>821</v>
      </c>
      <c r="E26" t="s">
        <v>822</v>
      </c>
      <c r="F26">
        <v>62</v>
      </c>
      <c r="G26">
        <f t="shared" si="0"/>
        <v>0</v>
      </c>
      <c r="H26">
        <v>1</v>
      </c>
      <c r="I26">
        <v>3082</v>
      </c>
      <c r="J26">
        <v>5024</v>
      </c>
      <c r="K26">
        <v>30096</v>
      </c>
      <c r="L26" s="1">
        <v>-12492</v>
      </c>
      <c r="M26">
        <v>-9332</v>
      </c>
      <c r="N26">
        <v>36.6</v>
      </c>
      <c r="O26">
        <v>20</v>
      </c>
      <c r="P26">
        <v>65535</v>
      </c>
      <c r="Q26">
        <v>11144</v>
      </c>
      <c r="R26">
        <v>-32767</v>
      </c>
      <c r="S26">
        <v>35.3</v>
      </c>
      <c r="T26">
        <v>13</v>
      </c>
      <c r="U26">
        <v>100</v>
      </c>
      <c r="V26">
        <v>34800</v>
      </c>
      <c r="W26">
        <v>5000</v>
      </c>
      <c r="X26" t="s">
        <v>823</v>
      </c>
      <c r="Y26" t="s">
        <v>830</v>
      </c>
      <c r="Z26" t="s">
        <v>828</v>
      </c>
      <c r="AA26">
        <v>4</v>
      </c>
      <c r="AB26">
        <v>6</v>
      </c>
      <c r="AC26">
        <v>76</v>
      </c>
      <c r="AD26">
        <v>4</v>
      </c>
      <c r="AE26">
        <v>3082</v>
      </c>
      <c r="AF26">
        <v>5024</v>
      </c>
      <c r="AG26">
        <v>19</v>
      </c>
      <c r="AH26">
        <v>1938</v>
      </c>
      <c r="AI26">
        <v>3</v>
      </c>
      <c r="AJ26">
        <v>87</v>
      </c>
      <c r="AK26">
        <v>1648</v>
      </c>
      <c r="AL26">
        <v>1419</v>
      </c>
      <c r="AM26">
        <v>10</v>
      </c>
      <c r="AN26">
        <v>900</v>
      </c>
      <c r="AO26" t="s">
        <v>826</v>
      </c>
    </row>
    <row r="27" spans="1:41">
      <c r="A27">
        <v>19</v>
      </c>
      <c r="B27" s="2">
        <v>45296.6154976852</v>
      </c>
      <c r="C27">
        <v>27.931</v>
      </c>
      <c r="D27" t="s">
        <v>821</v>
      </c>
      <c r="E27" t="s">
        <v>822</v>
      </c>
      <c r="F27">
        <v>62</v>
      </c>
      <c r="G27">
        <f t="shared" si="0"/>
        <v>0</v>
      </c>
      <c r="H27">
        <v>1</v>
      </c>
      <c r="I27">
        <v>3078</v>
      </c>
      <c r="J27">
        <v>5024</v>
      </c>
      <c r="K27">
        <v>30088</v>
      </c>
      <c r="L27" s="1">
        <v>-12493</v>
      </c>
      <c r="M27">
        <v>-9542</v>
      </c>
      <c r="N27">
        <v>36.6</v>
      </c>
      <c r="O27">
        <v>19</v>
      </c>
      <c r="P27">
        <v>65535</v>
      </c>
      <c r="Q27">
        <v>11129</v>
      </c>
      <c r="R27">
        <v>-32767</v>
      </c>
      <c r="S27">
        <v>35.3</v>
      </c>
      <c r="T27">
        <v>13</v>
      </c>
      <c r="U27">
        <v>100</v>
      </c>
      <c r="V27">
        <v>34800</v>
      </c>
      <c r="W27">
        <v>5000</v>
      </c>
      <c r="X27" t="s">
        <v>823</v>
      </c>
      <c r="Y27" t="s">
        <v>830</v>
      </c>
      <c r="Z27" t="s">
        <v>828</v>
      </c>
      <c r="AA27">
        <v>4</v>
      </c>
      <c r="AB27">
        <v>6</v>
      </c>
      <c r="AC27">
        <v>76</v>
      </c>
      <c r="AD27">
        <v>4</v>
      </c>
      <c r="AE27">
        <v>3078</v>
      </c>
      <c r="AF27">
        <v>5024</v>
      </c>
      <c r="AG27">
        <v>20</v>
      </c>
      <c r="AH27">
        <v>1942</v>
      </c>
      <c r="AI27">
        <v>3</v>
      </c>
      <c r="AJ27">
        <v>87</v>
      </c>
      <c r="AK27">
        <v>1648</v>
      </c>
      <c r="AL27">
        <v>1423</v>
      </c>
      <c r="AM27">
        <v>10</v>
      </c>
      <c r="AN27">
        <v>903</v>
      </c>
      <c r="AO27" t="s">
        <v>826</v>
      </c>
    </row>
    <row r="28" spans="1:41">
      <c r="A28">
        <v>20</v>
      </c>
      <c r="B28" s="2">
        <v>45296.6154976852</v>
      </c>
      <c r="C28">
        <v>28.871</v>
      </c>
      <c r="D28" t="s">
        <v>821</v>
      </c>
      <c r="E28" t="s">
        <v>822</v>
      </c>
      <c r="F28">
        <v>62</v>
      </c>
      <c r="G28">
        <f t="shared" si="0"/>
        <v>0</v>
      </c>
      <c r="H28">
        <v>1</v>
      </c>
      <c r="I28">
        <v>3075</v>
      </c>
      <c r="J28">
        <v>5024</v>
      </c>
      <c r="K28">
        <v>30080</v>
      </c>
      <c r="L28" s="1">
        <v>-12492</v>
      </c>
      <c r="M28">
        <v>-9738</v>
      </c>
      <c r="N28">
        <v>36.6</v>
      </c>
      <c r="O28">
        <v>19</v>
      </c>
      <c r="P28">
        <v>65535</v>
      </c>
      <c r="Q28">
        <v>11118</v>
      </c>
      <c r="R28">
        <v>-32767</v>
      </c>
      <c r="S28">
        <v>35.3</v>
      </c>
      <c r="T28">
        <v>13</v>
      </c>
      <c r="U28">
        <v>100</v>
      </c>
      <c r="V28">
        <v>34800</v>
      </c>
      <c r="W28">
        <v>5000</v>
      </c>
      <c r="X28" t="s">
        <v>823</v>
      </c>
      <c r="Y28" t="s">
        <v>830</v>
      </c>
      <c r="Z28" t="s">
        <v>828</v>
      </c>
      <c r="AA28">
        <v>4</v>
      </c>
      <c r="AB28">
        <v>6</v>
      </c>
      <c r="AC28">
        <v>76</v>
      </c>
      <c r="AD28">
        <v>4</v>
      </c>
      <c r="AE28">
        <v>3075</v>
      </c>
      <c r="AF28">
        <v>5024</v>
      </c>
      <c r="AG28">
        <v>21</v>
      </c>
      <c r="AH28">
        <v>1945</v>
      </c>
      <c r="AI28">
        <v>3</v>
      </c>
      <c r="AJ28">
        <v>87</v>
      </c>
      <c r="AK28">
        <v>1648</v>
      </c>
      <c r="AL28">
        <v>1426</v>
      </c>
      <c r="AM28">
        <v>10</v>
      </c>
      <c r="AN28">
        <v>901</v>
      </c>
      <c r="AO28" t="s">
        <v>826</v>
      </c>
    </row>
    <row r="29" spans="1:41">
      <c r="A29">
        <v>21</v>
      </c>
      <c r="B29" s="2">
        <v>45296.6155324074</v>
      </c>
      <c r="C29">
        <v>31.22</v>
      </c>
      <c r="D29" t="s">
        <v>821</v>
      </c>
      <c r="E29" t="s">
        <v>822</v>
      </c>
      <c r="F29">
        <v>62</v>
      </c>
      <c r="G29">
        <f t="shared" si="0"/>
        <v>0</v>
      </c>
      <c r="H29">
        <v>1</v>
      </c>
      <c r="I29">
        <v>3068</v>
      </c>
      <c r="J29">
        <v>5024</v>
      </c>
      <c r="K29">
        <v>30056</v>
      </c>
      <c r="L29" s="1">
        <v>-12492</v>
      </c>
      <c r="M29">
        <v>-10091</v>
      </c>
      <c r="N29">
        <v>36.7</v>
      </c>
      <c r="O29">
        <v>18</v>
      </c>
      <c r="P29">
        <v>65535</v>
      </c>
      <c r="Q29">
        <v>11092</v>
      </c>
      <c r="R29">
        <v>-32767</v>
      </c>
      <c r="S29">
        <v>35.2</v>
      </c>
      <c r="T29">
        <v>13</v>
      </c>
      <c r="U29">
        <v>100</v>
      </c>
      <c r="V29">
        <v>34800</v>
      </c>
      <c r="W29">
        <v>5000</v>
      </c>
      <c r="X29" t="s">
        <v>823</v>
      </c>
      <c r="Y29" t="s">
        <v>830</v>
      </c>
      <c r="Z29" t="s">
        <v>828</v>
      </c>
      <c r="AA29">
        <v>4</v>
      </c>
      <c r="AB29">
        <v>6</v>
      </c>
      <c r="AC29">
        <v>76</v>
      </c>
      <c r="AD29">
        <v>4</v>
      </c>
      <c r="AE29">
        <v>3068</v>
      </c>
      <c r="AF29">
        <v>5024</v>
      </c>
      <c r="AG29">
        <v>23</v>
      </c>
      <c r="AH29">
        <v>1952</v>
      </c>
      <c r="AI29">
        <v>3</v>
      </c>
      <c r="AJ29">
        <v>87</v>
      </c>
      <c r="AK29">
        <v>1648</v>
      </c>
      <c r="AL29">
        <v>1433</v>
      </c>
      <c r="AM29">
        <v>10</v>
      </c>
      <c r="AN29">
        <v>894</v>
      </c>
      <c r="AO29" t="s">
        <v>826</v>
      </c>
    </row>
    <row r="30" spans="1:41">
      <c r="A30">
        <v>22</v>
      </c>
      <c r="B30" s="2">
        <v>45296.6155439815</v>
      </c>
      <c r="C30">
        <v>32.157</v>
      </c>
      <c r="D30" t="s">
        <v>821</v>
      </c>
      <c r="E30" t="s">
        <v>822</v>
      </c>
      <c r="F30">
        <v>61</v>
      </c>
      <c r="G30">
        <f t="shared" si="0"/>
        <v>1</v>
      </c>
      <c r="H30">
        <v>1</v>
      </c>
      <c r="I30">
        <v>3064</v>
      </c>
      <c r="J30">
        <v>5024</v>
      </c>
      <c r="K30">
        <v>30048</v>
      </c>
      <c r="L30" s="1">
        <v>-12493</v>
      </c>
      <c r="M30">
        <v>-10251</v>
      </c>
      <c r="N30">
        <v>36.7</v>
      </c>
      <c r="O30">
        <v>18</v>
      </c>
      <c r="P30">
        <v>65535</v>
      </c>
      <c r="Q30">
        <v>11077</v>
      </c>
      <c r="R30">
        <v>-32767</v>
      </c>
      <c r="S30">
        <v>35.2</v>
      </c>
      <c r="T30">
        <v>13</v>
      </c>
      <c r="U30">
        <v>100</v>
      </c>
      <c r="V30">
        <v>34800</v>
      </c>
      <c r="W30">
        <v>5000</v>
      </c>
      <c r="X30" t="s">
        <v>823</v>
      </c>
      <c r="Y30" t="s">
        <v>830</v>
      </c>
      <c r="Z30" t="s">
        <v>828</v>
      </c>
      <c r="AA30">
        <v>4</v>
      </c>
      <c r="AB30">
        <v>6</v>
      </c>
      <c r="AC30">
        <v>76</v>
      </c>
      <c r="AD30">
        <v>4</v>
      </c>
      <c r="AE30">
        <v>3064</v>
      </c>
      <c r="AF30">
        <v>5024</v>
      </c>
      <c r="AG30">
        <v>24</v>
      </c>
      <c r="AH30">
        <v>1956</v>
      </c>
      <c r="AI30">
        <v>3</v>
      </c>
      <c r="AJ30">
        <v>87</v>
      </c>
      <c r="AK30">
        <v>1648</v>
      </c>
      <c r="AL30">
        <v>1437</v>
      </c>
      <c r="AM30">
        <v>10</v>
      </c>
      <c r="AN30">
        <v>928</v>
      </c>
      <c r="AO30" t="s">
        <v>826</v>
      </c>
    </row>
    <row r="31" spans="1:41">
      <c r="A31">
        <v>23</v>
      </c>
      <c r="B31" s="2">
        <v>45296.6155555556</v>
      </c>
      <c r="C31">
        <v>33.12</v>
      </c>
      <c r="D31" t="s">
        <v>821</v>
      </c>
      <c r="E31" t="s">
        <v>822</v>
      </c>
      <c r="F31">
        <v>61</v>
      </c>
      <c r="G31">
        <f t="shared" si="0"/>
        <v>0</v>
      </c>
      <c r="H31">
        <v>1</v>
      </c>
      <c r="I31">
        <v>3061</v>
      </c>
      <c r="J31">
        <v>5024</v>
      </c>
      <c r="K31">
        <v>30032</v>
      </c>
      <c r="L31" s="1">
        <v>-12493</v>
      </c>
      <c r="M31">
        <v>-10400</v>
      </c>
      <c r="N31">
        <v>36.7</v>
      </c>
      <c r="O31">
        <v>18</v>
      </c>
      <c r="P31">
        <v>65535</v>
      </c>
      <c r="Q31">
        <v>11066</v>
      </c>
      <c r="R31">
        <v>-32767</v>
      </c>
      <c r="S31">
        <v>35.2</v>
      </c>
      <c r="T31">
        <v>13</v>
      </c>
      <c r="U31">
        <v>100</v>
      </c>
      <c r="V31">
        <v>34800</v>
      </c>
      <c r="W31">
        <v>5000</v>
      </c>
      <c r="X31" t="s">
        <v>823</v>
      </c>
      <c r="Y31" t="s">
        <v>830</v>
      </c>
      <c r="Z31" t="s">
        <v>828</v>
      </c>
      <c r="AA31">
        <v>4</v>
      </c>
      <c r="AB31">
        <v>6</v>
      </c>
      <c r="AC31">
        <v>76</v>
      </c>
      <c r="AD31">
        <v>4</v>
      </c>
      <c r="AE31">
        <v>3061</v>
      </c>
      <c r="AF31">
        <v>5024</v>
      </c>
      <c r="AG31">
        <v>25</v>
      </c>
      <c r="AH31">
        <v>1959</v>
      </c>
      <c r="AI31">
        <v>3</v>
      </c>
      <c r="AJ31">
        <v>87</v>
      </c>
      <c r="AK31">
        <v>1648</v>
      </c>
      <c r="AL31">
        <v>1440</v>
      </c>
      <c r="AM31">
        <v>10</v>
      </c>
      <c r="AN31">
        <v>902</v>
      </c>
      <c r="AO31" t="s">
        <v>826</v>
      </c>
    </row>
    <row r="32" spans="1:41">
      <c r="A32">
        <v>24</v>
      </c>
      <c r="B32" s="2">
        <v>45296.6155787037</v>
      </c>
      <c r="C32">
        <v>35.464</v>
      </c>
      <c r="D32" t="s">
        <v>821</v>
      </c>
      <c r="E32" t="s">
        <v>822</v>
      </c>
      <c r="F32">
        <v>61</v>
      </c>
      <c r="G32">
        <f t="shared" si="0"/>
        <v>0</v>
      </c>
      <c r="H32">
        <v>1</v>
      </c>
      <c r="I32">
        <v>3054</v>
      </c>
      <c r="J32">
        <v>5024</v>
      </c>
      <c r="K32">
        <v>30016</v>
      </c>
      <c r="L32" s="1">
        <v>-12492</v>
      </c>
      <c r="M32">
        <v>-10669</v>
      </c>
      <c r="N32">
        <v>36.8</v>
      </c>
      <c r="O32">
        <v>17</v>
      </c>
      <c r="P32">
        <v>65535</v>
      </c>
      <c r="Q32">
        <v>11039</v>
      </c>
      <c r="R32">
        <v>-32767</v>
      </c>
      <c r="S32">
        <v>35.2</v>
      </c>
      <c r="T32">
        <v>13</v>
      </c>
      <c r="U32">
        <v>100</v>
      </c>
      <c r="V32">
        <v>34800</v>
      </c>
      <c r="W32">
        <v>5000</v>
      </c>
      <c r="X32" t="s">
        <v>823</v>
      </c>
      <c r="Y32" t="s">
        <v>830</v>
      </c>
      <c r="Z32" t="s">
        <v>828</v>
      </c>
      <c r="AA32">
        <v>4</v>
      </c>
      <c r="AB32">
        <v>6</v>
      </c>
      <c r="AC32">
        <v>76</v>
      </c>
      <c r="AD32">
        <v>4</v>
      </c>
      <c r="AE32">
        <v>3050</v>
      </c>
      <c r="AF32">
        <v>5024</v>
      </c>
      <c r="AG32">
        <v>28</v>
      </c>
      <c r="AH32">
        <v>1970</v>
      </c>
      <c r="AI32">
        <v>4</v>
      </c>
      <c r="AJ32">
        <v>87</v>
      </c>
      <c r="AK32">
        <v>1648</v>
      </c>
      <c r="AL32">
        <v>1451</v>
      </c>
      <c r="AM32">
        <v>11</v>
      </c>
      <c r="AN32">
        <v>906</v>
      </c>
      <c r="AO32" t="s">
        <v>826</v>
      </c>
    </row>
    <row r="33" spans="1:41">
      <c r="A33">
        <v>25</v>
      </c>
      <c r="B33" s="2">
        <v>45296.6155902778</v>
      </c>
      <c r="C33">
        <v>36.407</v>
      </c>
      <c r="D33" t="s">
        <v>821</v>
      </c>
      <c r="E33" t="s">
        <v>822</v>
      </c>
      <c r="F33">
        <v>61</v>
      </c>
      <c r="G33">
        <f t="shared" si="0"/>
        <v>0</v>
      </c>
      <c r="H33">
        <v>1</v>
      </c>
      <c r="I33">
        <v>3050</v>
      </c>
      <c r="J33">
        <v>5024</v>
      </c>
      <c r="K33">
        <v>30008</v>
      </c>
      <c r="L33" s="1">
        <v>-12493</v>
      </c>
      <c r="M33">
        <v>-10790</v>
      </c>
      <c r="N33">
        <v>36.8</v>
      </c>
      <c r="O33">
        <v>17</v>
      </c>
      <c r="P33">
        <v>65535</v>
      </c>
      <c r="Q33">
        <v>11024</v>
      </c>
      <c r="R33">
        <v>-32767</v>
      </c>
      <c r="S33">
        <v>35.2</v>
      </c>
      <c r="T33">
        <v>13</v>
      </c>
      <c r="U33">
        <v>100</v>
      </c>
      <c r="V33">
        <v>34800</v>
      </c>
      <c r="W33">
        <v>5000</v>
      </c>
      <c r="X33" t="s">
        <v>823</v>
      </c>
      <c r="Y33" t="s">
        <v>830</v>
      </c>
      <c r="Z33" t="s">
        <v>828</v>
      </c>
      <c r="AA33">
        <v>4</v>
      </c>
      <c r="AB33">
        <v>6</v>
      </c>
      <c r="AC33">
        <v>76</v>
      </c>
      <c r="AD33">
        <v>4</v>
      </c>
      <c r="AE33">
        <v>3050</v>
      </c>
      <c r="AF33">
        <v>5024</v>
      </c>
      <c r="AG33">
        <v>28</v>
      </c>
      <c r="AH33">
        <v>1973</v>
      </c>
      <c r="AI33">
        <v>4</v>
      </c>
      <c r="AJ33">
        <v>87</v>
      </c>
      <c r="AK33">
        <v>1648</v>
      </c>
      <c r="AL33">
        <v>1454</v>
      </c>
      <c r="AM33">
        <v>11</v>
      </c>
      <c r="AN33">
        <v>911</v>
      </c>
      <c r="AO33" t="s">
        <v>826</v>
      </c>
    </row>
    <row r="34" spans="1:41">
      <c r="A34">
        <v>26</v>
      </c>
      <c r="B34" s="2">
        <v>45296.6156018519</v>
      </c>
      <c r="C34">
        <v>37.352</v>
      </c>
      <c r="D34" t="s">
        <v>821</v>
      </c>
      <c r="E34" t="s">
        <v>822</v>
      </c>
      <c r="F34">
        <v>61</v>
      </c>
      <c r="G34">
        <f t="shared" si="0"/>
        <v>0</v>
      </c>
      <c r="H34">
        <v>1</v>
      </c>
      <c r="I34">
        <v>3047</v>
      </c>
      <c r="J34">
        <v>5024</v>
      </c>
      <c r="K34">
        <v>30000</v>
      </c>
      <c r="L34" s="1">
        <v>-12493</v>
      </c>
      <c r="M34">
        <v>-10903</v>
      </c>
      <c r="N34">
        <v>36.8</v>
      </c>
      <c r="O34">
        <v>17</v>
      </c>
      <c r="P34">
        <v>65535</v>
      </c>
      <c r="Q34">
        <v>11013</v>
      </c>
      <c r="R34">
        <v>-32767</v>
      </c>
      <c r="S34">
        <v>35.2</v>
      </c>
      <c r="T34">
        <v>13</v>
      </c>
      <c r="U34">
        <v>100</v>
      </c>
      <c r="V34">
        <v>34800</v>
      </c>
      <c r="W34">
        <v>5000</v>
      </c>
      <c r="X34" t="s">
        <v>823</v>
      </c>
      <c r="Y34" t="s">
        <v>830</v>
      </c>
      <c r="Z34" t="s">
        <v>828</v>
      </c>
      <c r="AA34">
        <v>4</v>
      </c>
      <c r="AB34">
        <v>6</v>
      </c>
      <c r="AC34">
        <v>76</v>
      </c>
      <c r="AD34">
        <v>4</v>
      </c>
      <c r="AE34">
        <v>3047</v>
      </c>
      <c r="AF34">
        <v>5024</v>
      </c>
      <c r="AG34">
        <v>29</v>
      </c>
      <c r="AH34">
        <v>1973</v>
      </c>
      <c r="AI34">
        <v>4</v>
      </c>
      <c r="AJ34">
        <v>87</v>
      </c>
      <c r="AK34">
        <v>1648</v>
      </c>
      <c r="AL34">
        <v>1458</v>
      </c>
      <c r="AM34">
        <v>11</v>
      </c>
      <c r="AN34">
        <v>904</v>
      </c>
      <c r="AO34" t="s">
        <v>826</v>
      </c>
    </row>
    <row r="35" spans="1:41">
      <c r="A35">
        <v>27</v>
      </c>
      <c r="B35" s="2">
        <v>45296.615625</v>
      </c>
      <c r="C35">
        <v>39.698</v>
      </c>
      <c r="D35" t="s">
        <v>821</v>
      </c>
      <c r="E35" t="s">
        <v>822</v>
      </c>
      <c r="F35">
        <v>61</v>
      </c>
      <c r="G35">
        <f t="shared" si="0"/>
        <v>0</v>
      </c>
      <c r="H35">
        <v>1</v>
      </c>
      <c r="I35">
        <v>3040</v>
      </c>
      <c r="J35">
        <v>5024</v>
      </c>
      <c r="K35">
        <v>29976</v>
      </c>
      <c r="L35" s="1">
        <v>-12492</v>
      </c>
      <c r="M35">
        <v>-11107</v>
      </c>
      <c r="N35">
        <v>36.9</v>
      </c>
      <c r="O35">
        <v>16</v>
      </c>
      <c r="P35">
        <v>65535</v>
      </c>
      <c r="Q35">
        <v>10976</v>
      </c>
      <c r="R35">
        <v>-32767</v>
      </c>
      <c r="S35">
        <v>35.1</v>
      </c>
      <c r="T35">
        <v>13</v>
      </c>
      <c r="U35">
        <v>100</v>
      </c>
      <c r="V35">
        <v>34800</v>
      </c>
      <c r="W35">
        <v>5000</v>
      </c>
      <c r="X35" t="s">
        <v>823</v>
      </c>
      <c r="Y35" t="s">
        <v>830</v>
      </c>
      <c r="Z35" t="s">
        <v>828</v>
      </c>
      <c r="AA35">
        <v>4</v>
      </c>
      <c r="AB35">
        <v>6</v>
      </c>
      <c r="AC35">
        <v>76</v>
      </c>
      <c r="AD35">
        <v>4</v>
      </c>
      <c r="AE35">
        <v>3037</v>
      </c>
      <c r="AF35">
        <v>5024</v>
      </c>
      <c r="AG35">
        <v>32</v>
      </c>
      <c r="AH35">
        <v>1983</v>
      </c>
      <c r="AI35">
        <v>4</v>
      </c>
      <c r="AJ35">
        <v>87</v>
      </c>
      <c r="AK35">
        <v>1648</v>
      </c>
      <c r="AL35">
        <v>1464</v>
      </c>
      <c r="AM35">
        <v>11</v>
      </c>
      <c r="AN35">
        <v>898</v>
      </c>
      <c r="AO35" t="s">
        <v>826</v>
      </c>
    </row>
    <row r="36" spans="1:41">
      <c r="A36">
        <v>28</v>
      </c>
      <c r="B36" s="2">
        <v>45296.6156365741</v>
      </c>
      <c r="C36">
        <v>40.647</v>
      </c>
      <c r="D36" t="s">
        <v>821</v>
      </c>
      <c r="E36" t="s">
        <v>822</v>
      </c>
      <c r="F36">
        <v>61</v>
      </c>
      <c r="G36">
        <f t="shared" si="0"/>
        <v>0</v>
      </c>
      <c r="H36">
        <v>1</v>
      </c>
      <c r="I36">
        <v>3037</v>
      </c>
      <c r="J36">
        <v>5024</v>
      </c>
      <c r="K36">
        <v>29968</v>
      </c>
      <c r="L36" s="1">
        <v>-12493</v>
      </c>
      <c r="M36">
        <v>-11199</v>
      </c>
      <c r="N36">
        <v>36.9</v>
      </c>
      <c r="O36">
        <v>16</v>
      </c>
      <c r="P36">
        <v>65535</v>
      </c>
      <c r="Q36">
        <v>10976</v>
      </c>
      <c r="R36">
        <v>-32767</v>
      </c>
      <c r="S36">
        <v>35.1</v>
      </c>
      <c r="T36">
        <v>13</v>
      </c>
      <c r="U36">
        <v>100</v>
      </c>
      <c r="V36">
        <v>34800</v>
      </c>
      <c r="W36">
        <v>5000</v>
      </c>
      <c r="X36" t="s">
        <v>823</v>
      </c>
      <c r="Y36" t="s">
        <v>830</v>
      </c>
      <c r="Z36" t="s">
        <v>828</v>
      </c>
      <c r="AA36">
        <v>4</v>
      </c>
      <c r="AB36">
        <v>6</v>
      </c>
      <c r="AC36">
        <v>76</v>
      </c>
      <c r="AD36">
        <v>4</v>
      </c>
      <c r="AE36">
        <v>3033</v>
      </c>
      <c r="AF36">
        <v>5024</v>
      </c>
      <c r="AG36">
        <v>33</v>
      </c>
      <c r="AH36">
        <v>1987</v>
      </c>
      <c r="AI36">
        <v>4</v>
      </c>
      <c r="AJ36">
        <v>87</v>
      </c>
      <c r="AK36">
        <v>1648</v>
      </c>
      <c r="AL36">
        <v>1468</v>
      </c>
      <c r="AM36">
        <v>11</v>
      </c>
      <c r="AN36">
        <v>903</v>
      </c>
      <c r="AO36" t="s">
        <v>826</v>
      </c>
    </row>
    <row r="37" spans="1:41">
      <c r="A37">
        <v>29</v>
      </c>
      <c r="B37" s="2">
        <v>45296.6156712963</v>
      </c>
      <c r="C37">
        <v>43.003</v>
      </c>
      <c r="D37" t="s">
        <v>821</v>
      </c>
      <c r="E37" t="s">
        <v>822</v>
      </c>
      <c r="F37">
        <v>61</v>
      </c>
      <c r="G37">
        <f t="shared" si="0"/>
        <v>0</v>
      </c>
      <c r="H37">
        <v>1</v>
      </c>
      <c r="I37">
        <v>3026</v>
      </c>
      <c r="J37">
        <v>5024</v>
      </c>
      <c r="K37">
        <v>29944</v>
      </c>
      <c r="L37" s="1">
        <v>-12493</v>
      </c>
      <c r="M37">
        <v>-11440</v>
      </c>
      <c r="N37">
        <v>37</v>
      </c>
      <c r="O37">
        <v>16</v>
      </c>
      <c r="P37">
        <v>65535</v>
      </c>
      <c r="Q37">
        <v>10934</v>
      </c>
      <c r="R37">
        <v>-32767</v>
      </c>
      <c r="S37">
        <v>35.1</v>
      </c>
      <c r="T37">
        <v>13</v>
      </c>
      <c r="U37">
        <v>100</v>
      </c>
      <c r="V37">
        <v>34800</v>
      </c>
      <c r="W37">
        <v>5000</v>
      </c>
      <c r="X37" t="s">
        <v>823</v>
      </c>
      <c r="Y37" t="s">
        <v>830</v>
      </c>
      <c r="Z37" t="s">
        <v>828</v>
      </c>
      <c r="AA37">
        <v>4</v>
      </c>
      <c r="AB37">
        <v>6</v>
      </c>
      <c r="AC37">
        <v>76</v>
      </c>
      <c r="AD37">
        <v>4</v>
      </c>
      <c r="AE37">
        <v>3026</v>
      </c>
      <c r="AF37">
        <v>5024</v>
      </c>
      <c r="AG37">
        <v>35</v>
      </c>
      <c r="AH37">
        <v>1994</v>
      </c>
      <c r="AI37">
        <v>4</v>
      </c>
      <c r="AJ37">
        <v>87</v>
      </c>
      <c r="AK37">
        <v>1648</v>
      </c>
      <c r="AL37">
        <v>1475</v>
      </c>
      <c r="AM37">
        <v>11</v>
      </c>
      <c r="AN37">
        <v>912</v>
      </c>
      <c r="AO37" t="s">
        <v>826</v>
      </c>
    </row>
    <row r="38" spans="1:41">
      <c r="A38">
        <v>30</v>
      </c>
      <c r="B38" s="2">
        <v>45296.6156828704</v>
      </c>
      <c r="C38">
        <v>43.964</v>
      </c>
      <c r="D38" t="s">
        <v>821</v>
      </c>
      <c r="E38" t="s">
        <v>822</v>
      </c>
      <c r="F38">
        <v>61</v>
      </c>
      <c r="G38">
        <f t="shared" si="0"/>
        <v>0</v>
      </c>
      <c r="H38">
        <v>1</v>
      </c>
      <c r="I38">
        <v>3023</v>
      </c>
      <c r="J38">
        <v>5024</v>
      </c>
      <c r="K38">
        <v>29936</v>
      </c>
      <c r="L38" s="1">
        <v>-12493</v>
      </c>
      <c r="M38">
        <v>-11510</v>
      </c>
      <c r="N38">
        <v>37</v>
      </c>
      <c r="O38">
        <v>16</v>
      </c>
      <c r="P38">
        <v>65535</v>
      </c>
      <c r="Q38">
        <v>10923</v>
      </c>
      <c r="R38">
        <v>-32767</v>
      </c>
      <c r="S38">
        <v>35.1</v>
      </c>
      <c r="T38">
        <v>13</v>
      </c>
      <c r="U38">
        <v>100</v>
      </c>
      <c r="V38">
        <v>34800</v>
      </c>
      <c r="W38">
        <v>5000</v>
      </c>
      <c r="X38" t="s">
        <v>823</v>
      </c>
      <c r="Y38" t="s">
        <v>830</v>
      </c>
      <c r="Z38" t="s">
        <v>828</v>
      </c>
      <c r="AA38">
        <v>4</v>
      </c>
      <c r="AB38">
        <v>6</v>
      </c>
      <c r="AC38">
        <v>76</v>
      </c>
      <c r="AD38">
        <v>4</v>
      </c>
      <c r="AE38">
        <v>3023</v>
      </c>
      <c r="AF38">
        <v>5024</v>
      </c>
      <c r="AG38">
        <v>36</v>
      </c>
      <c r="AH38">
        <v>1997</v>
      </c>
      <c r="AI38">
        <v>4</v>
      </c>
      <c r="AJ38">
        <v>87</v>
      </c>
      <c r="AK38">
        <v>1648</v>
      </c>
      <c r="AL38">
        <v>1478</v>
      </c>
      <c r="AM38">
        <v>11</v>
      </c>
      <c r="AN38">
        <v>918</v>
      </c>
      <c r="AO38" t="s">
        <v>826</v>
      </c>
    </row>
    <row r="39" spans="1:41">
      <c r="A39">
        <v>31</v>
      </c>
      <c r="B39" s="2">
        <v>45296.6156944444</v>
      </c>
      <c r="C39">
        <v>44.915</v>
      </c>
      <c r="D39" t="s">
        <v>821</v>
      </c>
      <c r="E39" t="s">
        <v>822</v>
      </c>
      <c r="F39">
        <v>61</v>
      </c>
      <c r="G39">
        <f t="shared" si="0"/>
        <v>0</v>
      </c>
      <c r="H39">
        <v>1</v>
      </c>
      <c r="I39">
        <v>3019</v>
      </c>
      <c r="J39">
        <v>5024</v>
      </c>
      <c r="K39">
        <v>29928</v>
      </c>
      <c r="L39" s="1">
        <v>-12492</v>
      </c>
      <c r="M39">
        <v>-11575</v>
      </c>
      <c r="N39">
        <v>37</v>
      </c>
      <c r="O39">
        <v>16</v>
      </c>
      <c r="P39">
        <v>65535</v>
      </c>
      <c r="Q39">
        <v>10908</v>
      </c>
      <c r="R39">
        <v>-32767</v>
      </c>
      <c r="S39">
        <v>35.1</v>
      </c>
      <c r="T39">
        <v>13</v>
      </c>
      <c r="U39">
        <v>100</v>
      </c>
      <c r="V39">
        <v>34800</v>
      </c>
      <c r="W39">
        <v>5000</v>
      </c>
      <c r="X39" t="s">
        <v>823</v>
      </c>
      <c r="Y39" t="s">
        <v>830</v>
      </c>
      <c r="Z39" t="s">
        <v>828</v>
      </c>
      <c r="AA39">
        <v>4</v>
      </c>
      <c r="AB39">
        <v>6</v>
      </c>
      <c r="AC39">
        <v>76</v>
      </c>
      <c r="AD39">
        <v>4</v>
      </c>
      <c r="AE39">
        <v>3019</v>
      </c>
      <c r="AF39">
        <v>5024</v>
      </c>
      <c r="AG39">
        <v>37</v>
      </c>
      <c r="AH39">
        <v>2001</v>
      </c>
      <c r="AI39">
        <v>4</v>
      </c>
      <c r="AJ39">
        <v>87</v>
      </c>
      <c r="AK39">
        <v>1648</v>
      </c>
      <c r="AL39">
        <v>1482</v>
      </c>
      <c r="AM39">
        <v>11</v>
      </c>
      <c r="AN39">
        <v>904</v>
      </c>
      <c r="AO39" t="s">
        <v>826</v>
      </c>
    </row>
    <row r="40" spans="1:41">
      <c r="A40">
        <v>32</v>
      </c>
      <c r="B40" s="2">
        <v>45296.6157175926</v>
      </c>
      <c r="C40">
        <v>47.266</v>
      </c>
      <c r="D40" t="s">
        <v>821</v>
      </c>
      <c r="E40" t="s">
        <v>822</v>
      </c>
      <c r="F40">
        <v>60</v>
      </c>
      <c r="G40">
        <f t="shared" si="0"/>
        <v>1</v>
      </c>
      <c r="H40">
        <v>1</v>
      </c>
      <c r="I40">
        <v>3012</v>
      </c>
      <c r="J40">
        <v>5024</v>
      </c>
      <c r="K40">
        <v>29912</v>
      </c>
      <c r="L40" s="1">
        <v>-12493</v>
      </c>
      <c r="M40">
        <v>-11693</v>
      </c>
      <c r="N40">
        <v>37.1</v>
      </c>
      <c r="O40">
        <v>15</v>
      </c>
      <c r="P40">
        <v>65535</v>
      </c>
      <c r="Q40">
        <v>10882</v>
      </c>
      <c r="R40">
        <v>-32767</v>
      </c>
      <c r="S40">
        <v>35.1</v>
      </c>
      <c r="T40">
        <v>13</v>
      </c>
      <c r="U40">
        <v>100</v>
      </c>
      <c r="V40">
        <v>34800</v>
      </c>
      <c r="W40">
        <v>5000</v>
      </c>
      <c r="X40" t="s">
        <v>823</v>
      </c>
      <c r="Y40" t="s">
        <v>830</v>
      </c>
      <c r="Z40" t="s">
        <v>828</v>
      </c>
      <c r="AA40">
        <v>4</v>
      </c>
      <c r="AB40">
        <v>6</v>
      </c>
      <c r="AC40">
        <v>76</v>
      </c>
      <c r="AD40">
        <v>4</v>
      </c>
      <c r="AE40">
        <v>3012</v>
      </c>
      <c r="AF40">
        <v>5024</v>
      </c>
      <c r="AG40">
        <v>39</v>
      </c>
      <c r="AH40">
        <v>2008</v>
      </c>
      <c r="AI40">
        <v>4</v>
      </c>
      <c r="AJ40">
        <v>87</v>
      </c>
      <c r="AK40">
        <v>1648</v>
      </c>
      <c r="AL40">
        <v>1489</v>
      </c>
      <c r="AM40">
        <v>11</v>
      </c>
      <c r="AN40">
        <v>908</v>
      </c>
      <c r="AO40" t="s">
        <v>826</v>
      </c>
    </row>
    <row r="41" spans="1:41">
      <c r="A41">
        <v>33</v>
      </c>
      <c r="B41" s="2">
        <v>45296.6157291667</v>
      </c>
      <c r="C41">
        <v>48.213</v>
      </c>
      <c r="D41" t="s">
        <v>821</v>
      </c>
      <c r="E41" t="s">
        <v>822</v>
      </c>
      <c r="F41">
        <v>60</v>
      </c>
      <c r="G41">
        <f t="shared" si="0"/>
        <v>0</v>
      </c>
      <c r="H41">
        <v>1</v>
      </c>
      <c r="I41">
        <v>3009</v>
      </c>
      <c r="J41">
        <v>5024</v>
      </c>
      <c r="K41">
        <v>29904</v>
      </c>
      <c r="L41" s="1">
        <v>-12493</v>
      </c>
      <c r="M41">
        <v>-11746</v>
      </c>
      <c r="N41">
        <v>37.2</v>
      </c>
      <c r="O41">
        <v>15</v>
      </c>
      <c r="P41">
        <v>65535</v>
      </c>
      <c r="Q41">
        <v>10871</v>
      </c>
      <c r="R41">
        <v>-32767</v>
      </c>
      <c r="S41">
        <v>35.1</v>
      </c>
      <c r="T41">
        <v>13</v>
      </c>
      <c r="U41">
        <v>100</v>
      </c>
      <c r="V41">
        <v>34800</v>
      </c>
      <c r="W41">
        <v>5000</v>
      </c>
      <c r="X41" t="s">
        <v>823</v>
      </c>
      <c r="Y41" t="s">
        <v>830</v>
      </c>
      <c r="Z41" t="s">
        <v>828</v>
      </c>
      <c r="AA41">
        <v>4</v>
      </c>
      <c r="AB41">
        <v>6</v>
      </c>
      <c r="AC41">
        <v>76</v>
      </c>
      <c r="AD41">
        <v>4</v>
      </c>
      <c r="AE41">
        <v>3009</v>
      </c>
      <c r="AF41">
        <v>5024</v>
      </c>
      <c r="AG41">
        <v>40</v>
      </c>
      <c r="AH41">
        <v>2011</v>
      </c>
      <c r="AI41">
        <v>4</v>
      </c>
      <c r="AJ41">
        <v>87</v>
      </c>
      <c r="AK41">
        <v>1648</v>
      </c>
      <c r="AL41">
        <v>1492</v>
      </c>
      <c r="AM41">
        <v>11</v>
      </c>
      <c r="AN41">
        <v>917</v>
      </c>
      <c r="AO41" t="s">
        <v>826</v>
      </c>
    </row>
    <row r="42" spans="1:41">
      <c r="A42">
        <v>34</v>
      </c>
      <c r="B42" s="2">
        <v>45296.6157407407</v>
      </c>
      <c r="C42">
        <v>49.167</v>
      </c>
      <c r="D42" t="s">
        <v>821</v>
      </c>
      <c r="E42" t="s">
        <v>822</v>
      </c>
      <c r="F42">
        <v>60</v>
      </c>
      <c r="G42">
        <f t="shared" si="0"/>
        <v>0</v>
      </c>
      <c r="H42">
        <v>1</v>
      </c>
      <c r="I42">
        <v>3005</v>
      </c>
      <c r="J42">
        <v>5024</v>
      </c>
      <c r="K42">
        <v>29896</v>
      </c>
      <c r="L42" s="1">
        <v>-12493</v>
      </c>
      <c r="M42">
        <v>-11796</v>
      </c>
      <c r="N42">
        <v>37.2</v>
      </c>
      <c r="O42">
        <v>15</v>
      </c>
      <c r="P42">
        <v>65535</v>
      </c>
      <c r="Q42">
        <v>10856</v>
      </c>
      <c r="R42">
        <v>-32767</v>
      </c>
      <c r="S42">
        <v>35.1</v>
      </c>
      <c r="T42">
        <v>13</v>
      </c>
      <c r="U42">
        <v>100</v>
      </c>
      <c r="V42">
        <v>34800</v>
      </c>
      <c r="W42">
        <v>5000</v>
      </c>
      <c r="X42" t="s">
        <v>823</v>
      </c>
      <c r="Y42" t="s">
        <v>830</v>
      </c>
      <c r="Z42" t="s">
        <v>828</v>
      </c>
      <c r="AA42">
        <v>4</v>
      </c>
      <c r="AB42">
        <v>6</v>
      </c>
      <c r="AC42">
        <v>76</v>
      </c>
      <c r="AD42">
        <v>4</v>
      </c>
      <c r="AE42">
        <v>3005</v>
      </c>
      <c r="AF42">
        <v>5024</v>
      </c>
      <c r="AG42">
        <v>41</v>
      </c>
      <c r="AH42">
        <v>2015</v>
      </c>
      <c r="AI42">
        <v>4</v>
      </c>
      <c r="AJ42">
        <v>87</v>
      </c>
      <c r="AK42">
        <v>1648</v>
      </c>
      <c r="AL42">
        <v>1496</v>
      </c>
      <c r="AM42">
        <v>11</v>
      </c>
      <c r="AN42">
        <v>902</v>
      </c>
      <c r="AO42" t="s">
        <v>826</v>
      </c>
    </row>
    <row r="43" spans="1:41">
      <c r="A43">
        <v>35</v>
      </c>
      <c r="B43" s="2">
        <v>45296.6157638889</v>
      </c>
      <c r="C43">
        <v>51.514</v>
      </c>
      <c r="D43" t="s">
        <v>821</v>
      </c>
      <c r="E43" t="s">
        <v>822</v>
      </c>
      <c r="F43">
        <v>60</v>
      </c>
      <c r="G43">
        <f t="shared" si="0"/>
        <v>0</v>
      </c>
      <c r="H43">
        <v>1</v>
      </c>
      <c r="I43">
        <v>2998</v>
      </c>
      <c r="J43">
        <v>5024</v>
      </c>
      <c r="K43">
        <v>29888</v>
      </c>
      <c r="L43" s="1">
        <v>-12493</v>
      </c>
      <c r="M43">
        <v>-11885</v>
      </c>
      <c r="N43">
        <v>37.3</v>
      </c>
      <c r="O43">
        <v>15</v>
      </c>
      <c r="P43">
        <v>65535</v>
      </c>
      <c r="Q43">
        <v>10830</v>
      </c>
      <c r="R43">
        <v>-32767</v>
      </c>
      <c r="S43">
        <v>35.1</v>
      </c>
      <c r="T43">
        <v>13</v>
      </c>
      <c r="U43">
        <v>100</v>
      </c>
      <c r="V43">
        <v>34800</v>
      </c>
      <c r="W43">
        <v>5000</v>
      </c>
      <c r="X43" t="s">
        <v>823</v>
      </c>
      <c r="Y43" t="s">
        <v>830</v>
      </c>
      <c r="Z43" t="s">
        <v>828</v>
      </c>
      <c r="AA43">
        <v>4</v>
      </c>
      <c r="AB43">
        <v>6</v>
      </c>
      <c r="AC43">
        <v>76</v>
      </c>
      <c r="AD43">
        <v>4</v>
      </c>
      <c r="AE43">
        <v>2995</v>
      </c>
      <c r="AF43">
        <v>5024</v>
      </c>
      <c r="AG43">
        <v>44</v>
      </c>
      <c r="AH43">
        <v>2025</v>
      </c>
      <c r="AI43">
        <v>4</v>
      </c>
      <c r="AJ43">
        <v>87</v>
      </c>
      <c r="AK43">
        <v>1648</v>
      </c>
      <c r="AL43">
        <v>1506</v>
      </c>
      <c r="AM43">
        <v>11</v>
      </c>
      <c r="AN43">
        <v>928</v>
      </c>
      <c r="AO43" t="s">
        <v>826</v>
      </c>
    </row>
    <row r="44" spans="1:41">
      <c r="A44">
        <v>36</v>
      </c>
      <c r="B44" s="2">
        <v>45296.615775463</v>
      </c>
      <c r="C44">
        <v>52.478</v>
      </c>
      <c r="D44" t="s">
        <v>821</v>
      </c>
      <c r="E44" t="s">
        <v>822</v>
      </c>
      <c r="F44">
        <v>60</v>
      </c>
      <c r="G44">
        <f t="shared" si="0"/>
        <v>0</v>
      </c>
      <c r="H44">
        <v>1</v>
      </c>
      <c r="I44">
        <v>2995</v>
      </c>
      <c r="J44">
        <v>5024</v>
      </c>
      <c r="K44">
        <v>29880</v>
      </c>
      <c r="L44" s="1">
        <v>-12493</v>
      </c>
      <c r="M44">
        <v>-11926</v>
      </c>
      <c r="N44">
        <v>37.3</v>
      </c>
      <c r="O44">
        <v>15</v>
      </c>
      <c r="P44">
        <v>65535</v>
      </c>
      <c r="Q44">
        <v>10819</v>
      </c>
      <c r="R44">
        <v>-32767</v>
      </c>
      <c r="S44">
        <v>35.1</v>
      </c>
      <c r="T44">
        <v>13</v>
      </c>
      <c r="U44">
        <v>100</v>
      </c>
      <c r="V44">
        <v>34800</v>
      </c>
      <c r="W44">
        <v>5000</v>
      </c>
      <c r="X44" t="s">
        <v>823</v>
      </c>
      <c r="Y44" t="s">
        <v>830</v>
      </c>
      <c r="Z44" t="s">
        <v>828</v>
      </c>
      <c r="AA44">
        <v>4</v>
      </c>
      <c r="AB44">
        <v>6</v>
      </c>
      <c r="AC44">
        <v>76</v>
      </c>
      <c r="AD44">
        <v>4</v>
      </c>
      <c r="AE44">
        <v>2991</v>
      </c>
      <c r="AF44">
        <v>5024</v>
      </c>
      <c r="AG44">
        <v>45</v>
      </c>
      <c r="AH44">
        <v>2029</v>
      </c>
      <c r="AI44">
        <v>4</v>
      </c>
      <c r="AJ44">
        <v>87</v>
      </c>
      <c r="AK44">
        <v>1648</v>
      </c>
      <c r="AL44">
        <v>1510</v>
      </c>
      <c r="AM44">
        <v>11</v>
      </c>
      <c r="AN44">
        <v>903</v>
      </c>
      <c r="AO44" t="s">
        <v>826</v>
      </c>
    </row>
    <row r="45" spans="1:41">
      <c r="A45">
        <v>37</v>
      </c>
      <c r="B45" s="2">
        <v>45296.615787037</v>
      </c>
      <c r="C45">
        <v>53.418</v>
      </c>
      <c r="D45" t="s">
        <v>821</v>
      </c>
      <c r="E45" t="s">
        <v>822</v>
      </c>
      <c r="F45">
        <v>60</v>
      </c>
      <c r="G45">
        <f t="shared" si="0"/>
        <v>0</v>
      </c>
      <c r="H45">
        <v>1</v>
      </c>
      <c r="I45">
        <v>2991</v>
      </c>
      <c r="J45">
        <v>5024</v>
      </c>
      <c r="K45">
        <v>29872</v>
      </c>
      <c r="L45" s="1">
        <v>-12493</v>
      </c>
      <c r="M45">
        <v>-11963</v>
      </c>
      <c r="N45">
        <v>37.3</v>
      </c>
      <c r="O45">
        <v>15</v>
      </c>
      <c r="P45">
        <v>65535</v>
      </c>
      <c r="Q45">
        <v>10804</v>
      </c>
      <c r="R45">
        <v>-32767</v>
      </c>
      <c r="S45">
        <v>35.1</v>
      </c>
      <c r="T45">
        <v>13</v>
      </c>
      <c r="U45">
        <v>100</v>
      </c>
      <c r="V45">
        <v>34800</v>
      </c>
      <c r="W45">
        <v>5000</v>
      </c>
      <c r="X45" t="s">
        <v>823</v>
      </c>
      <c r="Y45" t="s">
        <v>830</v>
      </c>
      <c r="Z45" t="s">
        <v>828</v>
      </c>
      <c r="AA45">
        <v>4</v>
      </c>
      <c r="AB45">
        <v>6</v>
      </c>
      <c r="AC45">
        <v>76</v>
      </c>
      <c r="AD45">
        <v>4</v>
      </c>
      <c r="AE45">
        <v>2991</v>
      </c>
      <c r="AF45">
        <v>5024</v>
      </c>
      <c r="AG45">
        <v>45</v>
      </c>
      <c r="AH45">
        <v>2032</v>
      </c>
      <c r="AI45">
        <v>4</v>
      </c>
      <c r="AJ45">
        <v>87</v>
      </c>
      <c r="AK45">
        <v>1648</v>
      </c>
      <c r="AL45">
        <v>1513</v>
      </c>
      <c r="AM45">
        <v>11</v>
      </c>
      <c r="AN45">
        <v>900</v>
      </c>
      <c r="AO45" t="s">
        <v>826</v>
      </c>
    </row>
    <row r="46" spans="1:41">
      <c r="A46">
        <v>38</v>
      </c>
      <c r="B46" s="2">
        <v>45296.6158101852</v>
      </c>
      <c r="C46">
        <v>55.779</v>
      </c>
      <c r="D46" t="s">
        <v>821</v>
      </c>
      <c r="E46" t="s">
        <v>822</v>
      </c>
      <c r="F46">
        <v>60</v>
      </c>
      <c r="G46">
        <f t="shared" si="0"/>
        <v>0</v>
      </c>
      <c r="H46">
        <v>1</v>
      </c>
      <c r="I46">
        <v>2984</v>
      </c>
      <c r="J46">
        <v>5024</v>
      </c>
      <c r="K46">
        <v>29848</v>
      </c>
      <c r="L46" s="1">
        <v>-12493</v>
      </c>
      <c r="M46">
        <v>-12062</v>
      </c>
      <c r="N46">
        <v>37.4</v>
      </c>
      <c r="O46">
        <v>15</v>
      </c>
      <c r="P46">
        <v>65535</v>
      </c>
      <c r="Q46">
        <v>10766</v>
      </c>
      <c r="R46">
        <v>-32767</v>
      </c>
      <c r="S46">
        <v>35.1</v>
      </c>
      <c r="T46">
        <v>13</v>
      </c>
      <c r="U46">
        <v>100</v>
      </c>
      <c r="V46">
        <v>34800</v>
      </c>
      <c r="W46">
        <v>5000</v>
      </c>
      <c r="X46" t="s">
        <v>823</v>
      </c>
      <c r="Y46" t="s">
        <v>830</v>
      </c>
      <c r="Z46" t="s">
        <v>828</v>
      </c>
      <c r="AA46">
        <v>4</v>
      </c>
      <c r="AB46">
        <v>6</v>
      </c>
      <c r="AC46">
        <v>76</v>
      </c>
      <c r="AD46">
        <v>4</v>
      </c>
      <c r="AE46">
        <v>2981</v>
      </c>
      <c r="AF46">
        <v>5024</v>
      </c>
      <c r="AG46">
        <v>48</v>
      </c>
      <c r="AH46">
        <v>2039</v>
      </c>
      <c r="AI46">
        <v>4</v>
      </c>
      <c r="AJ46">
        <v>87</v>
      </c>
      <c r="AK46">
        <v>1648</v>
      </c>
      <c r="AL46">
        <v>1520</v>
      </c>
      <c r="AM46">
        <v>11</v>
      </c>
      <c r="AN46">
        <v>898</v>
      </c>
      <c r="AO46" t="s">
        <v>826</v>
      </c>
    </row>
    <row r="47" spans="1:41">
      <c r="A47">
        <v>39</v>
      </c>
      <c r="B47" s="2">
        <v>45296.6158217593</v>
      </c>
      <c r="C47">
        <v>56.722</v>
      </c>
      <c r="D47" t="s">
        <v>821</v>
      </c>
      <c r="E47" t="s">
        <v>822</v>
      </c>
      <c r="F47">
        <v>60</v>
      </c>
      <c r="G47">
        <f t="shared" si="0"/>
        <v>0</v>
      </c>
      <c r="H47">
        <v>1</v>
      </c>
      <c r="I47">
        <v>2981</v>
      </c>
      <c r="J47">
        <v>5024</v>
      </c>
      <c r="K47">
        <v>29848</v>
      </c>
      <c r="L47" s="1">
        <v>-12493</v>
      </c>
      <c r="M47">
        <v>-12062</v>
      </c>
      <c r="N47">
        <v>37.5</v>
      </c>
      <c r="O47">
        <v>15</v>
      </c>
      <c r="P47">
        <v>65535</v>
      </c>
      <c r="Q47">
        <v>10755</v>
      </c>
      <c r="R47">
        <v>-32767</v>
      </c>
      <c r="S47">
        <v>35.1</v>
      </c>
      <c r="T47">
        <v>13</v>
      </c>
      <c r="U47">
        <v>100</v>
      </c>
      <c r="V47">
        <v>34800</v>
      </c>
      <c r="W47">
        <v>5000</v>
      </c>
      <c r="X47" t="s">
        <v>823</v>
      </c>
      <c r="Y47" t="s">
        <v>830</v>
      </c>
      <c r="Z47" t="s">
        <v>828</v>
      </c>
      <c r="AA47">
        <v>4</v>
      </c>
      <c r="AB47">
        <v>6</v>
      </c>
      <c r="AC47">
        <v>76</v>
      </c>
      <c r="AD47">
        <v>4</v>
      </c>
      <c r="AE47">
        <v>2978</v>
      </c>
      <c r="AF47">
        <v>5024</v>
      </c>
      <c r="AG47">
        <v>49</v>
      </c>
      <c r="AH47">
        <v>2042</v>
      </c>
      <c r="AI47">
        <v>4</v>
      </c>
      <c r="AJ47">
        <v>87</v>
      </c>
      <c r="AK47">
        <v>1648</v>
      </c>
      <c r="AL47">
        <v>1523</v>
      </c>
      <c r="AM47">
        <v>11</v>
      </c>
      <c r="AN47">
        <v>909</v>
      </c>
      <c r="AO47" t="s">
        <v>826</v>
      </c>
    </row>
    <row r="48" spans="1:41">
      <c r="A48">
        <v>40</v>
      </c>
      <c r="B48" s="2">
        <v>45296.6158564815</v>
      </c>
      <c r="C48">
        <v>59.076</v>
      </c>
      <c r="D48" t="s">
        <v>821</v>
      </c>
      <c r="E48" t="s">
        <v>822</v>
      </c>
      <c r="F48">
        <v>60</v>
      </c>
      <c r="G48">
        <f t="shared" si="0"/>
        <v>0</v>
      </c>
      <c r="H48">
        <v>1</v>
      </c>
      <c r="I48">
        <v>2971</v>
      </c>
      <c r="J48">
        <v>5024</v>
      </c>
      <c r="K48">
        <v>29824</v>
      </c>
      <c r="L48" s="1">
        <v>-12493</v>
      </c>
      <c r="M48">
        <v>-12142</v>
      </c>
      <c r="N48">
        <v>37.5</v>
      </c>
      <c r="O48">
        <v>15</v>
      </c>
      <c r="P48">
        <v>65535</v>
      </c>
      <c r="Q48">
        <v>10729</v>
      </c>
      <c r="R48">
        <v>-32767</v>
      </c>
      <c r="S48">
        <v>35</v>
      </c>
      <c r="T48">
        <v>13</v>
      </c>
      <c r="U48">
        <v>100</v>
      </c>
      <c r="V48">
        <v>34800</v>
      </c>
      <c r="W48">
        <v>5000</v>
      </c>
      <c r="X48" t="s">
        <v>823</v>
      </c>
      <c r="Y48" t="s">
        <v>830</v>
      </c>
      <c r="Z48" t="s">
        <v>828</v>
      </c>
      <c r="AA48">
        <v>4</v>
      </c>
      <c r="AB48">
        <v>6</v>
      </c>
      <c r="AC48">
        <v>76</v>
      </c>
      <c r="AD48">
        <v>4</v>
      </c>
      <c r="AE48">
        <v>2971</v>
      </c>
      <c r="AF48">
        <v>5024</v>
      </c>
      <c r="AG48">
        <v>51</v>
      </c>
      <c r="AH48">
        <v>2049</v>
      </c>
      <c r="AI48">
        <v>4</v>
      </c>
      <c r="AJ48">
        <v>87</v>
      </c>
      <c r="AK48">
        <v>1648</v>
      </c>
      <c r="AL48">
        <v>1530</v>
      </c>
      <c r="AM48">
        <v>11</v>
      </c>
      <c r="AN48">
        <v>911</v>
      </c>
      <c r="AO48" t="s">
        <v>826</v>
      </c>
    </row>
    <row r="49" spans="1:41">
      <c r="A49">
        <v>41</v>
      </c>
      <c r="B49" s="2">
        <v>45296.6158680556</v>
      </c>
      <c r="C49">
        <v>60.023</v>
      </c>
      <c r="D49" t="s">
        <v>821</v>
      </c>
      <c r="E49" t="s">
        <v>822</v>
      </c>
      <c r="F49">
        <v>60</v>
      </c>
      <c r="G49">
        <f t="shared" si="0"/>
        <v>0</v>
      </c>
      <c r="H49">
        <v>1</v>
      </c>
      <c r="I49">
        <v>2967</v>
      </c>
      <c r="J49">
        <v>5024</v>
      </c>
      <c r="K49">
        <v>29816</v>
      </c>
      <c r="L49" s="1">
        <v>-12493</v>
      </c>
      <c r="M49">
        <v>-12166</v>
      </c>
      <c r="N49">
        <v>37.5</v>
      </c>
      <c r="O49">
        <v>15</v>
      </c>
      <c r="P49">
        <v>65535</v>
      </c>
      <c r="Q49">
        <v>10714</v>
      </c>
      <c r="R49">
        <v>-32767</v>
      </c>
      <c r="S49">
        <v>35</v>
      </c>
      <c r="T49">
        <v>13</v>
      </c>
      <c r="U49">
        <v>100</v>
      </c>
      <c r="V49">
        <v>34800</v>
      </c>
      <c r="W49">
        <v>5000</v>
      </c>
      <c r="X49" t="s">
        <v>823</v>
      </c>
      <c r="Y49" t="s">
        <v>830</v>
      </c>
      <c r="Z49" t="s">
        <v>828</v>
      </c>
      <c r="AA49">
        <v>4</v>
      </c>
      <c r="AB49">
        <v>6</v>
      </c>
      <c r="AC49">
        <v>76</v>
      </c>
      <c r="AD49">
        <v>4</v>
      </c>
      <c r="AE49">
        <v>2967</v>
      </c>
      <c r="AF49">
        <v>5024</v>
      </c>
      <c r="AG49">
        <v>52</v>
      </c>
      <c r="AH49">
        <v>2053</v>
      </c>
      <c r="AI49">
        <v>4</v>
      </c>
      <c r="AJ49">
        <v>87</v>
      </c>
      <c r="AK49">
        <v>1648</v>
      </c>
      <c r="AL49">
        <v>1534</v>
      </c>
      <c r="AM49">
        <v>11</v>
      </c>
      <c r="AN49">
        <v>905</v>
      </c>
      <c r="AO49" t="s">
        <v>826</v>
      </c>
    </row>
    <row r="50" spans="1:41">
      <c r="A50">
        <v>42</v>
      </c>
      <c r="B50" s="2">
        <v>45296.6158796296</v>
      </c>
      <c r="C50">
        <v>60.963</v>
      </c>
      <c r="D50" t="s">
        <v>821</v>
      </c>
      <c r="E50" t="s">
        <v>822</v>
      </c>
      <c r="F50">
        <v>59</v>
      </c>
      <c r="G50">
        <f t="shared" si="0"/>
        <v>1</v>
      </c>
      <c r="H50">
        <v>1</v>
      </c>
      <c r="I50">
        <v>2964</v>
      </c>
      <c r="J50">
        <v>5024</v>
      </c>
      <c r="K50">
        <v>29808</v>
      </c>
      <c r="L50" s="1">
        <v>-12493</v>
      </c>
      <c r="M50">
        <v>-12187</v>
      </c>
      <c r="N50">
        <v>37.5</v>
      </c>
      <c r="O50">
        <v>15</v>
      </c>
      <c r="P50">
        <v>65535</v>
      </c>
      <c r="Q50">
        <v>10703</v>
      </c>
      <c r="R50">
        <v>-32767</v>
      </c>
      <c r="S50">
        <v>35</v>
      </c>
      <c r="T50">
        <v>13</v>
      </c>
      <c r="U50">
        <v>100</v>
      </c>
      <c r="V50">
        <v>34800</v>
      </c>
      <c r="W50">
        <v>5000</v>
      </c>
      <c r="X50" t="s">
        <v>823</v>
      </c>
      <c r="Y50" t="s">
        <v>830</v>
      </c>
      <c r="Z50" t="s">
        <v>828</v>
      </c>
      <c r="AA50">
        <v>4</v>
      </c>
      <c r="AB50">
        <v>6</v>
      </c>
      <c r="AC50">
        <v>76</v>
      </c>
      <c r="AD50">
        <v>4</v>
      </c>
      <c r="AE50">
        <v>2964</v>
      </c>
      <c r="AF50">
        <v>5024</v>
      </c>
      <c r="AG50">
        <v>53</v>
      </c>
      <c r="AH50">
        <v>2056</v>
      </c>
      <c r="AI50">
        <v>4</v>
      </c>
      <c r="AJ50">
        <v>87</v>
      </c>
      <c r="AK50">
        <v>1648</v>
      </c>
      <c r="AL50">
        <v>1537</v>
      </c>
      <c r="AM50">
        <v>11</v>
      </c>
      <c r="AN50">
        <v>900</v>
      </c>
      <c r="AO50" t="s">
        <v>826</v>
      </c>
    </row>
    <row r="51" spans="1:41">
      <c r="A51">
        <v>43</v>
      </c>
      <c r="B51" s="2">
        <v>45296.6159027778</v>
      </c>
      <c r="C51">
        <v>63.328</v>
      </c>
      <c r="D51" t="s">
        <v>821</v>
      </c>
      <c r="E51" t="s">
        <v>822</v>
      </c>
      <c r="F51">
        <v>59</v>
      </c>
      <c r="G51">
        <f t="shared" si="0"/>
        <v>0</v>
      </c>
      <c r="H51">
        <v>1</v>
      </c>
      <c r="I51">
        <v>2957</v>
      </c>
      <c r="J51">
        <v>5024</v>
      </c>
      <c r="K51">
        <v>29792</v>
      </c>
      <c r="L51" s="1">
        <v>-12493</v>
      </c>
      <c r="M51">
        <v>-12227</v>
      </c>
      <c r="N51">
        <v>37.6</v>
      </c>
      <c r="O51">
        <v>15</v>
      </c>
      <c r="P51">
        <v>65535</v>
      </c>
      <c r="Q51">
        <v>10677</v>
      </c>
      <c r="R51">
        <v>-32767</v>
      </c>
      <c r="S51">
        <v>35</v>
      </c>
      <c r="T51">
        <v>13</v>
      </c>
      <c r="U51">
        <v>100</v>
      </c>
      <c r="V51">
        <v>34800</v>
      </c>
      <c r="W51">
        <v>5000</v>
      </c>
      <c r="X51" t="s">
        <v>823</v>
      </c>
      <c r="Y51" t="s">
        <v>830</v>
      </c>
      <c r="Z51" t="s">
        <v>828</v>
      </c>
      <c r="AA51">
        <v>4</v>
      </c>
      <c r="AB51">
        <v>6</v>
      </c>
      <c r="AC51">
        <v>76</v>
      </c>
      <c r="AD51">
        <v>4</v>
      </c>
      <c r="AE51">
        <v>2957</v>
      </c>
      <c r="AF51">
        <v>5024</v>
      </c>
      <c r="AG51">
        <v>55</v>
      </c>
      <c r="AH51">
        <v>2063</v>
      </c>
      <c r="AI51">
        <v>4</v>
      </c>
      <c r="AJ51">
        <v>87</v>
      </c>
      <c r="AK51">
        <v>1648</v>
      </c>
      <c r="AL51">
        <v>1544</v>
      </c>
      <c r="AM51">
        <v>11</v>
      </c>
      <c r="AN51">
        <v>912</v>
      </c>
      <c r="AO51" t="s">
        <v>826</v>
      </c>
    </row>
    <row r="52" spans="1:41">
      <c r="A52">
        <v>44</v>
      </c>
      <c r="B52" s="2">
        <v>45296.6159143519</v>
      </c>
      <c r="C52">
        <v>64.273</v>
      </c>
      <c r="D52" t="s">
        <v>821</v>
      </c>
      <c r="E52" t="s">
        <v>822</v>
      </c>
      <c r="F52">
        <v>59</v>
      </c>
      <c r="G52">
        <f t="shared" si="0"/>
        <v>0</v>
      </c>
      <c r="H52">
        <v>1</v>
      </c>
      <c r="I52">
        <v>2953</v>
      </c>
      <c r="J52">
        <v>5024</v>
      </c>
      <c r="K52">
        <v>29784</v>
      </c>
      <c r="L52" s="1">
        <v>-12493</v>
      </c>
      <c r="M52">
        <v>-12244</v>
      </c>
      <c r="N52">
        <v>37.6</v>
      </c>
      <c r="O52">
        <v>14</v>
      </c>
      <c r="P52">
        <v>65535</v>
      </c>
      <c r="Q52">
        <v>10662</v>
      </c>
      <c r="R52">
        <v>-32767</v>
      </c>
      <c r="S52">
        <v>35.1</v>
      </c>
      <c r="T52">
        <v>13</v>
      </c>
      <c r="U52">
        <v>100</v>
      </c>
      <c r="V52">
        <v>34800</v>
      </c>
      <c r="W52">
        <v>5000</v>
      </c>
      <c r="X52" t="s">
        <v>823</v>
      </c>
      <c r="Y52" t="s">
        <v>830</v>
      </c>
      <c r="Z52" t="s">
        <v>828</v>
      </c>
      <c r="AA52">
        <v>4</v>
      </c>
      <c r="AB52">
        <v>6</v>
      </c>
      <c r="AC52">
        <v>76</v>
      </c>
      <c r="AD52">
        <v>4</v>
      </c>
      <c r="AE52">
        <v>2953</v>
      </c>
      <c r="AF52">
        <v>5024</v>
      </c>
      <c r="AG52">
        <v>56</v>
      </c>
      <c r="AH52">
        <v>2067</v>
      </c>
      <c r="AI52">
        <v>4</v>
      </c>
      <c r="AJ52">
        <v>87</v>
      </c>
      <c r="AK52">
        <v>1648</v>
      </c>
      <c r="AL52">
        <v>1548</v>
      </c>
      <c r="AM52">
        <v>11</v>
      </c>
      <c r="AN52">
        <v>905</v>
      </c>
      <c r="AO52" t="s">
        <v>826</v>
      </c>
    </row>
    <row r="53" spans="1:41">
      <c r="A53">
        <v>45</v>
      </c>
      <c r="B53" s="2">
        <v>45296.6159259259</v>
      </c>
      <c r="C53">
        <v>65.213</v>
      </c>
      <c r="D53" t="s">
        <v>821</v>
      </c>
      <c r="E53" t="s">
        <v>822</v>
      </c>
      <c r="F53">
        <v>59</v>
      </c>
      <c r="G53">
        <f t="shared" si="0"/>
        <v>0</v>
      </c>
      <c r="H53">
        <v>1</v>
      </c>
      <c r="I53">
        <v>2950</v>
      </c>
      <c r="J53">
        <v>5024</v>
      </c>
      <c r="K53">
        <v>29776</v>
      </c>
      <c r="L53" s="1">
        <v>-12493</v>
      </c>
      <c r="M53">
        <v>-12261</v>
      </c>
      <c r="N53">
        <v>37.6</v>
      </c>
      <c r="O53">
        <v>14</v>
      </c>
      <c r="P53">
        <v>65535</v>
      </c>
      <c r="Q53">
        <v>10651</v>
      </c>
      <c r="R53">
        <v>-32767</v>
      </c>
      <c r="S53">
        <v>35</v>
      </c>
      <c r="T53">
        <v>13</v>
      </c>
      <c r="U53">
        <v>100</v>
      </c>
      <c r="V53">
        <v>34800</v>
      </c>
      <c r="W53">
        <v>5000</v>
      </c>
      <c r="X53" t="s">
        <v>823</v>
      </c>
      <c r="Y53" t="s">
        <v>830</v>
      </c>
      <c r="Z53" t="s">
        <v>828</v>
      </c>
      <c r="AA53">
        <v>4</v>
      </c>
      <c r="AB53">
        <v>6</v>
      </c>
      <c r="AC53">
        <v>76</v>
      </c>
      <c r="AD53">
        <v>4</v>
      </c>
      <c r="AE53">
        <v>2950</v>
      </c>
      <c r="AF53">
        <v>5024</v>
      </c>
      <c r="AG53">
        <v>57</v>
      </c>
      <c r="AH53">
        <v>2070</v>
      </c>
      <c r="AI53">
        <v>4</v>
      </c>
      <c r="AJ53">
        <v>87</v>
      </c>
      <c r="AK53">
        <v>1648</v>
      </c>
      <c r="AL53">
        <v>1551</v>
      </c>
      <c r="AM53">
        <v>11</v>
      </c>
      <c r="AN53">
        <v>902</v>
      </c>
      <c r="AO53" t="s">
        <v>826</v>
      </c>
    </row>
    <row r="54" spans="1:41">
      <c r="A54">
        <v>46</v>
      </c>
      <c r="B54" s="2">
        <v>45296.6159490741</v>
      </c>
      <c r="C54">
        <v>67.556</v>
      </c>
      <c r="D54" t="s">
        <v>821</v>
      </c>
      <c r="E54" t="s">
        <v>822</v>
      </c>
      <c r="F54">
        <v>59</v>
      </c>
      <c r="G54">
        <f t="shared" si="0"/>
        <v>0</v>
      </c>
      <c r="H54">
        <v>1</v>
      </c>
      <c r="I54">
        <v>2943</v>
      </c>
      <c r="J54">
        <v>5024</v>
      </c>
      <c r="K54">
        <v>29760</v>
      </c>
      <c r="L54" s="1">
        <v>-12493</v>
      </c>
      <c r="M54">
        <v>-12291</v>
      </c>
      <c r="N54">
        <v>37.6</v>
      </c>
      <c r="O54">
        <v>14</v>
      </c>
      <c r="P54">
        <v>65535</v>
      </c>
      <c r="Q54">
        <v>10625</v>
      </c>
      <c r="R54">
        <v>-32767</v>
      </c>
      <c r="S54">
        <v>35.1</v>
      </c>
      <c r="T54">
        <v>13</v>
      </c>
      <c r="U54">
        <v>100</v>
      </c>
      <c r="V54">
        <v>34800</v>
      </c>
      <c r="W54">
        <v>5000</v>
      </c>
      <c r="X54" t="s">
        <v>823</v>
      </c>
      <c r="Y54" t="s">
        <v>830</v>
      </c>
      <c r="Z54" t="s">
        <v>828</v>
      </c>
      <c r="AA54">
        <v>4</v>
      </c>
      <c r="AB54">
        <v>6</v>
      </c>
      <c r="AC54">
        <v>76</v>
      </c>
      <c r="AD54">
        <v>4</v>
      </c>
      <c r="AE54">
        <v>2939</v>
      </c>
      <c r="AF54">
        <v>5024</v>
      </c>
      <c r="AG54">
        <v>60</v>
      </c>
      <c r="AH54">
        <v>2081</v>
      </c>
      <c r="AI54">
        <v>4</v>
      </c>
      <c r="AJ54">
        <v>87</v>
      </c>
      <c r="AK54">
        <v>1648</v>
      </c>
      <c r="AL54">
        <v>1562</v>
      </c>
      <c r="AM54">
        <v>11</v>
      </c>
      <c r="AN54">
        <v>899</v>
      </c>
      <c r="AO54" t="s">
        <v>826</v>
      </c>
    </row>
    <row r="55" spans="1:41">
      <c r="A55">
        <v>47</v>
      </c>
      <c r="B55" s="2">
        <v>45296.6159606481</v>
      </c>
      <c r="C55">
        <v>68.502</v>
      </c>
      <c r="D55" t="s">
        <v>821</v>
      </c>
      <c r="E55" t="s">
        <v>822</v>
      </c>
      <c r="F55">
        <v>59</v>
      </c>
      <c r="G55">
        <f t="shared" si="0"/>
        <v>0</v>
      </c>
      <c r="H55">
        <v>1</v>
      </c>
      <c r="I55">
        <v>2939</v>
      </c>
      <c r="J55">
        <v>5024</v>
      </c>
      <c r="K55">
        <v>29760</v>
      </c>
      <c r="L55" s="1">
        <v>-12493</v>
      </c>
      <c r="M55">
        <v>-12304</v>
      </c>
      <c r="N55">
        <v>37.6</v>
      </c>
      <c r="O55">
        <v>14</v>
      </c>
      <c r="P55">
        <v>65535</v>
      </c>
      <c r="Q55">
        <v>10610</v>
      </c>
      <c r="R55">
        <v>-32767</v>
      </c>
      <c r="S55">
        <v>35.1</v>
      </c>
      <c r="T55">
        <v>13</v>
      </c>
      <c r="U55">
        <v>100</v>
      </c>
      <c r="V55">
        <v>34800</v>
      </c>
      <c r="W55">
        <v>5000</v>
      </c>
      <c r="X55" t="s">
        <v>823</v>
      </c>
      <c r="Y55" t="s">
        <v>830</v>
      </c>
      <c r="Z55" t="s">
        <v>828</v>
      </c>
      <c r="AA55">
        <v>4</v>
      </c>
      <c r="AB55">
        <v>6</v>
      </c>
      <c r="AC55">
        <v>76</v>
      </c>
      <c r="AD55">
        <v>4</v>
      </c>
      <c r="AE55">
        <v>2936</v>
      </c>
      <c r="AF55">
        <v>5024</v>
      </c>
      <c r="AG55">
        <v>61</v>
      </c>
      <c r="AH55">
        <v>2084</v>
      </c>
      <c r="AI55">
        <v>4</v>
      </c>
      <c r="AJ55">
        <v>87</v>
      </c>
      <c r="AK55">
        <v>1648</v>
      </c>
      <c r="AL55">
        <v>1565</v>
      </c>
      <c r="AM55">
        <v>11</v>
      </c>
      <c r="AN55">
        <v>909</v>
      </c>
      <c r="AO55" t="s">
        <v>826</v>
      </c>
    </row>
    <row r="56" spans="1:41">
      <c r="A56">
        <v>48</v>
      </c>
      <c r="B56" s="2">
        <v>45296.6159722222</v>
      </c>
      <c r="C56">
        <v>69.448</v>
      </c>
      <c r="D56" t="s">
        <v>821</v>
      </c>
      <c r="E56" t="s">
        <v>822</v>
      </c>
      <c r="F56">
        <v>59</v>
      </c>
      <c r="G56">
        <f t="shared" si="0"/>
        <v>0</v>
      </c>
      <c r="H56">
        <v>1</v>
      </c>
      <c r="I56">
        <v>2936</v>
      </c>
      <c r="J56">
        <v>5024</v>
      </c>
      <c r="K56">
        <v>29752</v>
      </c>
      <c r="L56" s="1">
        <v>-12495</v>
      </c>
      <c r="M56">
        <v>-12317</v>
      </c>
      <c r="N56">
        <v>37.6</v>
      </c>
      <c r="O56">
        <v>14</v>
      </c>
      <c r="P56">
        <v>65535</v>
      </c>
      <c r="Q56">
        <v>10599</v>
      </c>
      <c r="R56">
        <v>-32767</v>
      </c>
      <c r="S56">
        <v>35.1</v>
      </c>
      <c r="T56">
        <v>13</v>
      </c>
      <c r="U56">
        <v>100</v>
      </c>
      <c r="V56">
        <v>34800</v>
      </c>
      <c r="W56">
        <v>5000</v>
      </c>
      <c r="X56" t="s">
        <v>823</v>
      </c>
      <c r="Y56" t="s">
        <v>830</v>
      </c>
      <c r="Z56" t="s">
        <v>828</v>
      </c>
      <c r="AA56">
        <v>4</v>
      </c>
      <c r="AB56">
        <v>6</v>
      </c>
      <c r="AC56">
        <v>76</v>
      </c>
      <c r="AD56">
        <v>4</v>
      </c>
      <c r="AE56">
        <v>2936</v>
      </c>
      <c r="AF56">
        <v>5024</v>
      </c>
      <c r="AG56">
        <v>62</v>
      </c>
      <c r="AH56">
        <v>2088</v>
      </c>
      <c r="AI56">
        <v>4</v>
      </c>
      <c r="AJ56">
        <v>87</v>
      </c>
      <c r="AK56">
        <v>1648</v>
      </c>
      <c r="AL56">
        <v>1569</v>
      </c>
      <c r="AM56">
        <v>11</v>
      </c>
      <c r="AN56">
        <v>903</v>
      </c>
      <c r="AO56" t="s">
        <v>826</v>
      </c>
    </row>
    <row r="57" spans="1:41">
      <c r="A57">
        <v>49</v>
      </c>
      <c r="B57" s="2">
        <v>45296.6159953704</v>
      </c>
      <c r="C57">
        <v>71.809</v>
      </c>
      <c r="D57" t="s">
        <v>821</v>
      </c>
      <c r="E57" t="s">
        <v>822</v>
      </c>
      <c r="F57">
        <v>59</v>
      </c>
      <c r="G57">
        <f t="shared" si="0"/>
        <v>0</v>
      </c>
      <c r="H57">
        <v>1</v>
      </c>
      <c r="I57">
        <v>2929</v>
      </c>
      <c r="J57">
        <v>5024</v>
      </c>
      <c r="K57">
        <v>29728</v>
      </c>
      <c r="L57" s="1">
        <v>-12493</v>
      </c>
      <c r="M57">
        <v>-12350</v>
      </c>
      <c r="N57">
        <v>37.7</v>
      </c>
      <c r="O57">
        <v>14</v>
      </c>
      <c r="P57">
        <v>65535</v>
      </c>
      <c r="Q57">
        <v>10558</v>
      </c>
      <c r="R57">
        <v>-32767</v>
      </c>
      <c r="S57">
        <v>35.1</v>
      </c>
      <c r="T57">
        <v>13</v>
      </c>
      <c r="U57">
        <v>100</v>
      </c>
      <c r="V57">
        <v>34800</v>
      </c>
      <c r="W57">
        <v>5000</v>
      </c>
      <c r="X57" t="s">
        <v>823</v>
      </c>
      <c r="Y57" t="s">
        <v>830</v>
      </c>
      <c r="Z57" t="s">
        <v>828</v>
      </c>
      <c r="AA57">
        <v>4</v>
      </c>
      <c r="AB57">
        <v>6</v>
      </c>
      <c r="AC57">
        <v>76</v>
      </c>
      <c r="AD57">
        <v>4</v>
      </c>
      <c r="AE57">
        <v>2925</v>
      </c>
      <c r="AF57">
        <v>5024</v>
      </c>
      <c r="AG57">
        <v>64</v>
      </c>
      <c r="AH57">
        <v>2095</v>
      </c>
      <c r="AI57">
        <v>4</v>
      </c>
      <c r="AJ57">
        <v>87</v>
      </c>
      <c r="AK57">
        <v>1648</v>
      </c>
      <c r="AL57">
        <v>1576</v>
      </c>
      <c r="AM57">
        <v>11</v>
      </c>
      <c r="AN57">
        <v>885</v>
      </c>
      <c r="AO57" t="s">
        <v>826</v>
      </c>
    </row>
    <row r="58" spans="1:41">
      <c r="A58">
        <v>50</v>
      </c>
      <c r="B58" s="2">
        <v>45296.6160069444</v>
      </c>
      <c r="C58">
        <v>72.734</v>
      </c>
      <c r="D58" t="s">
        <v>821</v>
      </c>
      <c r="E58" t="s">
        <v>822</v>
      </c>
      <c r="F58">
        <v>59</v>
      </c>
      <c r="G58">
        <f t="shared" si="0"/>
        <v>0</v>
      </c>
      <c r="H58">
        <v>1</v>
      </c>
      <c r="I58">
        <v>2925</v>
      </c>
      <c r="J58">
        <v>5024</v>
      </c>
      <c r="K58">
        <v>29728</v>
      </c>
      <c r="L58" s="1">
        <v>-12493</v>
      </c>
      <c r="M58">
        <v>-12359</v>
      </c>
      <c r="N58">
        <v>37.8</v>
      </c>
      <c r="O58">
        <v>14</v>
      </c>
      <c r="P58">
        <v>65535</v>
      </c>
      <c r="Q58">
        <v>10547</v>
      </c>
      <c r="R58">
        <v>-32767</v>
      </c>
      <c r="S58">
        <v>35.1</v>
      </c>
      <c r="T58">
        <v>13</v>
      </c>
      <c r="U58">
        <v>100</v>
      </c>
      <c r="V58">
        <v>34800</v>
      </c>
      <c r="W58">
        <v>5000</v>
      </c>
      <c r="X58" t="s">
        <v>823</v>
      </c>
      <c r="Y58" t="s">
        <v>830</v>
      </c>
      <c r="Z58" t="s">
        <v>828</v>
      </c>
      <c r="AA58">
        <v>4</v>
      </c>
      <c r="AB58">
        <v>6</v>
      </c>
      <c r="AC58">
        <v>76</v>
      </c>
      <c r="AD58">
        <v>4</v>
      </c>
      <c r="AE58">
        <v>2922</v>
      </c>
      <c r="AF58">
        <v>5024</v>
      </c>
      <c r="AG58">
        <v>65</v>
      </c>
      <c r="AH58">
        <v>2098</v>
      </c>
      <c r="AI58">
        <v>4</v>
      </c>
      <c r="AJ58">
        <v>87</v>
      </c>
      <c r="AK58">
        <v>1648</v>
      </c>
      <c r="AL58">
        <v>1579</v>
      </c>
      <c r="AM58">
        <v>11</v>
      </c>
      <c r="AN58">
        <v>912</v>
      </c>
      <c r="AO58" t="s">
        <v>826</v>
      </c>
    </row>
    <row r="59" spans="1:41">
      <c r="A59">
        <v>51</v>
      </c>
      <c r="B59" s="2">
        <v>45296.6160416667</v>
      </c>
      <c r="C59">
        <v>75.09</v>
      </c>
      <c r="D59" t="s">
        <v>821</v>
      </c>
      <c r="E59" t="s">
        <v>822</v>
      </c>
      <c r="F59">
        <v>59</v>
      </c>
      <c r="G59">
        <f t="shared" si="0"/>
        <v>0</v>
      </c>
      <c r="H59">
        <v>1</v>
      </c>
      <c r="I59">
        <v>2915</v>
      </c>
      <c r="J59">
        <v>5024</v>
      </c>
      <c r="K59">
        <v>29704</v>
      </c>
      <c r="L59" s="1">
        <v>-12493</v>
      </c>
      <c r="M59">
        <v>-12376</v>
      </c>
      <c r="N59">
        <v>37.8</v>
      </c>
      <c r="O59">
        <v>14</v>
      </c>
      <c r="P59">
        <v>65535</v>
      </c>
      <c r="Q59">
        <v>10521</v>
      </c>
      <c r="R59">
        <v>-32767</v>
      </c>
      <c r="S59">
        <v>35.1</v>
      </c>
      <c r="T59">
        <v>13</v>
      </c>
      <c r="U59">
        <v>100</v>
      </c>
      <c r="V59">
        <v>34800</v>
      </c>
      <c r="W59">
        <v>5000</v>
      </c>
      <c r="X59" t="s">
        <v>823</v>
      </c>
      <c r="Y59" t="s">
        <v>830</v>
      </c>
      <c r="Z59" t="s">
        <v>828</v>
      </c>
      <c r="AA59">
        <v>4</v>
      </c>
      <c r="AB59">
        <v>6</v>
      </c>
      <c r="AC59">
        <v>76</v>
      </c>
      <c r="AD59">
        <v>4</v>
      </c>
      <c r="AE59">
        <v>2915</v>
      </c>
      <c r="AF59">
        <v>5024</v>
      </c>
      <c r="AG59">
        <v>67</v>
      </c>
      <c r="AH59">
        <v>2105</v>
      </c>
      <c r="AI59">
        <v>4</v>
      </c>
      <c r="AJ59">
        <v>87</v>
      </c>
      <c r="AK59">
        <v>1648</v>
      </c>
      <c r="AL59">
        <v>1586</v>
      </c>
      <c r="AM59">
        <v>11</v>
      </c>
      <c r="AN59">
        <v>914</v>
      </c>
      <c r="AO59" t="s">
        <v>826</v>
      </c>
    </row>
    <row r="60" spans="1:41">
      <c r="A60">
        <v>52</v>
      </c>
      <c r="B60" s="2">
        <v>45296.6160532407</v>
      </c>
      <c r="C60">
        <v>76.041</v>
      </c>
      <c r="D60" t="s">
        <v>821</v>
      </c>
      <c r="E60" t="s">
        <v>822</v>
      </c>
      <c r="F60">
        <v>58</v>
      </c>
      <c r="G60">
        <f t="shared" si="0"/>
        <v>1</v>
      </c>
      <c r="H60">
        <v>1</v>
      </c>
      <c r="I60">
        <v>2912</v>
      </c>
      <c r="J60">
        <v>5024</v>
      </c>
      <c r="K60">
        <v>29696</v>
      </c>
      <c r="L60" s="1">
        <v>-12493</v>
      </c>
      <c r="M60">
        <v>-12384</v>
      </c>
      <c r="N60">
        <v>37.8</v>
      </c>
      <c r="O60">
        <v>14</v>
      </c>
      <c r="P60">
        <v>65535</v>
      </c>
      <c r="Q60">
        <v>10509</v>
      </c>
      <c r="R60">
        <v>-32767</v>
      </c>
      <c r="S60">
        <v>35.1</v>
      </c>
      <c r="T60">
        <v>13</v>
      </c>
      <c r="U60">
        <v>100</v>
      </c>
      <c r="V60">
        <v>34800</v>
      </c>
      <c r="W60">
        <v>5000</v>
      </c>
      <c r="X60" t="s">
        <v>823</v>
      </c>
      <c r="Y60" t="s">
        <v>830</v>
      </c>
      <c r="Z60" t="s">
        <v>828</v>
      </c>
      <c r="AA60">
        <v>4</v>
      </c>
      <c r="AB60">
        <v>6</v>
      </c>
      <c r="AC60">
        <v>76</v>
      </c>
      <c r="AD60">
        <v>4</v>
      </c>
      <c r="AE60">
        <v>2912</v>
      </c>
      <c r="AF60">
        <v>5024</v>
      </c>
      <c r="AG60">
        <v>68</v>
      </c>
      <c r="AH60">
        <v>2108</v>
      </c>
      <c r="AI60">
        <v>4</v>
      </c>
      <c r="AJ60">
        <v>87</v>
      </c>
      <c r="AK60">
        <v>1648</v>
      </c>
      <c r="AL60">
        <v>1589</v>
      </c>
      <c r="AM60">
        <v>11</v>
      </c>
      <c r="AN60">
        <v>917</v>
      </c>
      <c r="AO60" t="s">
        <v>826</v>
      </c>
    </row>
    <row r="61" spans="1:41">
      <c r="A61">
        <v>53</v>
      </c>
      <c r="B61" s="2">
        <v>45296.6160648148</v>
      </c>
      <c r="C61">
        <v>76.997</v>
      </c>
      <c r="D61" t="s">
        <v>821</v>
      </c>
      <c r="E61" t="s">
        <v>822</v>
      </c>
      <c r="F61">
        <v>58</v>
      </c>
      <c r="G61">
        <f t="shared" si="0"/>
        <v>0</v>
      </c>
      <c r="H61">
        <v>1</v>
      </c>
      <c r="I61">
        <v>2908</v>
      </c>
      <c r="J61">
        <v>5024</v>
      </c>
      <c r="K61">
        <v>29688</v>
      </c>
      <c r="L61" s="1">
        <v>-12493</v>
      </c>
      <c r="M61">
        <v>-12391</v>
      </c>
      <c r="N61">
        <v>37.8</v>
      </c>
      <c r="O61">
        <v>14</v>
      </c>
      <c r="P61">
        <v>65535</v>
      </c>
      <c r="Q61">
        <v>10495</v>
      </c>
      <c r="R61">
        <v>-32767</v>
      </c>
      <c r="S61">
        <v>35.1</v>
      </c>
      <c r="T61">
        <v>13</v>
      </c>
      <c r="U61">
        <v>100</v>
      </c>
      <c r="V61">
        <v>34800</v>
      </c>
      <c r="W61">
        <v>5000</v>
      </c>
      <c r="X61" t="s">
        <v>823</v>
      </c>
      <c r="Y61" t="s">
        <v>830</v>
      </c>
      <c r="Z61" t="s">
        <v>828</v>
      </c>
      <c r="AA61">
        <v>4</v>
      </c>
      <c r="AB61">
        <v>6</v>
      </c>
      <c r="AC61">
        <v>76</v>
      </c>
      <c r="AD61">
        <v>4</v>
      </c>
      <c r="AE61">
        <v>2908</v>
      </c>
      <c r="AF61">
        <v>5024</v>
      </c>
      <c r="AG61">
        <v>69</v>
      </c>
      <c r="AH61">
        <v>2112</v>
      </c>
      <c r="AI61">
        <v>4</v>
      </c>
      <c r="AJ61">
        <v>87</v>
      </c>
      <c r="AK61">
        <v>1648</v>
      </c>
      <c r="AL61">
        <v>1593</v>
      </c>
      <c r="AM61">
        <v>11</v>
      </c>
      <c r="AN61">
        <v>929</v>
      </c>
      <c r="AO61" t="s">
        <v>826</v>
      </c>
    </row>
    <row r="62" spans="1:41">
      <c r="A62">
        <v>54</v>
      </c>
      <c r="B62" s="2">
        <v>45296.616087963</v>
      </c>
      <c r="C62">
        <v>79.373</v>
      </c>
      <c r="D62" t="s">
        <v>821</v>
      </c>
      <c r="E62" t="s">
        <v>822</v>
      </c>
      <c r="F62">
        <v>58</v>
      </c>
      <c r="G62">
        <f t="shared" si="0"/>
        <v>0</v>
      </c>
      <c r="H62">
        <v>1</v>
      </c>
      <c r="I62">
        <v>2901</v>
      </c>
      <c r="J62">
        <v>5024</v>
      </c>
      <c r="K62">
        <v>29680</v>
      </c>
      <c r="L62" s="1">
        <v>-12493</v>
      </c>
      <c r="M62">
        <v>-12404</v>
      </c>
      <c r="N62">
        <v>37.9</v>
      </c>
      <c r="O62">
        <v>14</v>
      </c>
      <c r="P62">
        <v>65535</v>
      </c>
      <c r="Q62">
        <v>10469</v>
      </c>
      <c r="R62">
        <v>-32767</v>
      </c>
      <c r="S62">
        <v>35.1</v>
      </c>
      <c r="T62">
        <v>13</v>
      </c>
      <c r="U62">
        <v>100</v>
      </c>
      <c r="V62">
        <v>34800</v>
      </c>
      <c r="W62">
        <v>5000</v>
      </c>
      <c r="X62" t="s">
        <v>823</v>
      </c>
      <c r="Y62" t="s">
        <v>830</v>
      </c>
      <c r="Z62" t="s">
        <v>828</v>
      </c>
      <c r="AA62">
        <v>4</v>
      </c>
      <c r="AB62">
        <v>6</v>
      </c>
      <c r="AC62">
        <v>76</v>
      </c>
      <c r="AD62">
        <v>4</v>
      </c>
      <c r="AE62">
        <v>2901</v>
      </c>
      <c r="AF62">
        <v>5024</v>
      </c>
      <c r="AG62">
        <v>71</v>
      </c>
      <c r="AH62">
        <v>2119</v>
      </c>
      <c r="AI62">
        <v>4</v>
      </c>
      <c r="AJ62">
        <v>87</v>
      </c>
      <c r="AK62">
        <v>1648</v>
      </c>
      <c r="AL62">
        <v>1603</v>
      </c>
      <c r="AM62">
        <v>11</v>
      </c>
      <c r="AN62">
        <v>913</v>
      </c>
      <c r="AO62" t="s">
        <v>826</v>
      </c>
    </row>
    <row r="63" spans="1:41">
      <c r="A63">
        <v>55</v>
      </c>
      <c r="B63" s="2">
        <v>45296.616099537</v>
      </c>
      <c r="C63">
        <v>80.319</v>
      </c>
      <c r="D63" t="s">
        <v>821</v>
      </c>
      <c r="E63" t="s">
        <v>822</v>
      </c>
      <c r="F63">
        <v>58</v>
      </c>
      <c r="G63">
        <f t="shared" si="0"/>
        <v>0</v>
      </c>
      <c r="H63">
        <v>1</v>
      </c>
      <c r="I63">
        <v>2898</v>
      </c>
      <c r="J63">
        <v>5024</v>
      </c>
      <c r="K63">
        <v>29672</v>
      </c>
      <c r="L63" s="1">
        <v>-12493</v>
      </c>
      <c r="M63">
        <v>-12410</v>
      </c>
      <c r="N63">
        <v>37.9</v>
      </c>
      <c r="O63">
        <v>14</v>
      </c>
      <c r="P63">
        <v>65535</v>
      </c>
      <c r="Q63">
        <v>10458</v>
      </c>
      <c r="R63">
        <v>-32767</v>
      </c>
      <c r="S63">
        <v>35.1</v>
      </c>
      <c r="T63">
        <v>13</v>
      </c>
      <c r="U63">
        <v>100</v>
      </c>
      <c r="V63">
        <v>34800</v>
      </c>
      <c r="W63">
        <v>5000</v>
      </c>
      <c r="X63" t="s">
        <v>823</v>
      </c>
      <c r="Y63" t="s">
        <v>830</v>
      </c>
      <c r="Z63" t="s">
        <v>828</v>
      </c>
      <c r="AA63">
        <v>4</v>
      </c>
      <c r="AB63">
        <v>6</v>
      </c>
      <c r="AC63">
        <v>76</v>
      </c>
      <c r="AD63">
        <v>4</v>
      </c>
      <c r="AE63">
        <v>2898</v>
      </c>
      <c r="AF63">
        <v>5024</v>
      </c>
      <c r="AG63">
        <v>72</v>
      </c>
      <c r="AH63">
        <v>2122</v>
      </c>
      <c r="AI63">
        <v>4</v>
      </c>
      <c r="AJ63">
        <v>87</v>
      </c>
      <c r="AK63">
        <v>1648</v>
      </c>
      <c r="AL63">
        <v>1603</v>
      </c>
      <c r="AM63">
        <v>11</v>
      </c>
      <c r="AN63">
        <v>906</v>
      </c>
      <c r="AO63" t="s">
        <v>826</v>
      </c>
    </row>
    <row r="64" spans="1:41">
      <c r="A64">
        <v>56</v>
      </c>
      <c r="B64" s="2">
        <v>45296.6161111111</v>
      </c>
      <c r="C64">
        <v>81.263</v>
      </c>
      <c r="D64" t="s">
        <v>821</v>
      </c>
      <c r="E64" t="s">
        <v>822</v>
      </c>
      <c r="F64">
        <v>58</v>
      </c>
      <c r="G64">
        <f t="shared" si="0"/>
        <v>0</v>
      </c>
      <c r="H64">
        <v>1</v>
      </c>
      <c r="I64">
        <v>2894</v>
      </c>
      <c r="J64">
        <v>5024</v>
      </c>
      <c r="K64">
        <v>29664</v>
      </c>
      <c r="L64" s="1">
        <v>-12493</v>
      </c>
      <c r="M64">
        <v>-12416</v>
      </c>
      <c r="N64">
        <v>37.9</v>
      </c>
      <c r="O64">
        <v>14</v>
      </c>
      <c r="P64">
        <v>65535</v>
      </c>
      <c r="Q64">
        <v>10443</v>
      </c>
      <c r="R64">
        <v>-32767</v>
      </c>
      <c r="S64">
        <v>35.1</v>
      </c>
      <c r="T64">
        <v>13</v>
      </c>
      <c r="U64">
        <v>100</v>
      </c>
      <c r="V64">
        <v>34800</v>
      </c>
      <c r="W64">
        <v>5000</v>
      </c>
      <c r="X64" t="s">
        <v>823</v>
      </c>
      <c r="Y64" t="s">
        <v>830</v>
      </c>
      <c r="Z64" t="s">
        <v>828</v>
      </c>
      <c r="AA64">
        <v>4</v>
      </c>
      <c r="AB64">
        <v>6</v>
      </c>
      <c r="AC64">
        <v>76</v>
      </c>
      <c r="AD64">
        <v>4</v>
      </c>
      <c r="AE64">
        <v>2894</v>
      </c>
      <c r="AF64">
        <v>5024</v>
      </c>
      <c r="AG64">
        <v>73</v>
      </c>
      <c r="AH64">
        <v>2126</v>
      </c>
      <c r="AI64">
        <v>4</v>
      </c>
      <c r="AJ64">
        <v>87</v>
      </c>
      <c r="AK64">
        <v>1648</v>
      </c>
      <c r="AL64">
        <v>1607</v>
      </c>
      <c r="AM64">
        <v>11</v>
      </c>
      <c r="AN64">
        <v>914</v>
      </c>
      <c r="AO64" t="s">
        <v>826</v>
      </c>
    </row>
    <row r="65" spans="1:41">
      <c r="A65">
        <v>57</v>
      </c>
      <c r="B65" s="2">
        <v>45296.6161342593</v>
      </c>
      <c r="C65">
        <v>83.636</v>
      </c>
      <c r="D65" t="s">
        <v>821</v>
      </c>
      <c r="E65" t="s">
        <v>822</v>
      </c>
      <c r="F65">
        <v>58</v>
      </c>
      <c r="G65">
        <f t="shared" si="0"/>
        <v>0</v>
      </c>
      <c r="H65">
        <v>1</v>
      </c>
      <c r="I65">
        <v>2887</v>
      </c>
      <c r="J65">
        <v>5024</v>
      </c>
      <c r="K65">
        <v>29648</v>
      </c>
      <c r="L65" s="1">
        <v>-12493</v>
      </c>
      <c r="M65">
        <v>-12426</v>
      </c>
      <c r="N65">
        <v>38</v>
      </c>
      <c r="O65">
        <v>14</v>
      </c>
      <c r="P65">
        <v>65535</v>
      </c>
      <c r="Q65">
        <v>10417</v>
      </c>
      <c r="R65">
        <v>-32767</v>
      </c>
      <c r="S65">
        <v>35.1</v>
      </c>
      <c r="T65">
        <v>13</v>
      </c>
      <c r="U65">
        <v>100</v>
      </c>
      <c r="V65">
        <v>34800</v>
      </c>
      <c r="W65">
        <v>5000</v>
      </c>
      <c r="X65" t="s">
        <v>823</v>
      </c>
      <c r="Y65" t="s">
        <v>830</v>
      </c>
      <c r="Z65" t="s">
        <v>828</v>
      </c>
      <c r="AA65">
        <v>4</v>
      </c>
      <c r="AB65">
        <v>6</v>
      </c>
      <c r="AC65">
        <v>76</v>
      </c>
      <c r="AD65">
        <v>4</v>
      </c>
      <c r="AE65">
        <v>2884</v>
      </c>
      <c r="AF65">
        <v>5024</v>
      </c>
      <c r="AG65">
        <v>76</v>
      </c>
      <c r="AH65">
        <v>2136</v>
      </c>
      <c r="AI65">
        <v>4</v>
      </c>
      <c r="AJ65">
        <v>87</v>
      </c>
      <c r="AK65">
        <v>1648</v>
      </c>
      <c r="AL65">
        <v>1617</v>
      </c>
      <c r="AM65">
        <v>11</v>
      </c>
      <c r="AN65">
        <v>899</v>
      </c>
      <c r="AO65" t="s">
        <v>826</v>
      </c>
    </row>
    <row r="66" spans="1:41">
      <c r="A66">
        <v>58</v>
      </c>
      <c r="B66" s="2">
        <v>45296.6161458333</v>
      </c>
      <c r="C66">
        <v>84.58</v>
      </c>
      <c r="D66" t="s">
        <v>821</v>
      </c>
      <c r="E66" t="s">
        <v>822</v>
      </c>
      <c r="F66">
        <v>58</v>
      </c>
      <c r="G66">
        <f t="shared" si="0"/>
        <v>0</v>
      </c>
      <c r="H66">
        <v>1</v>
      </c>
      <c r="I66">
        <v>2884</v>
      </c>
      <c r="J66">
        <v>5024</v>
      </c>
      <c r="K66">
        <v>29640</v>
      </c>
      <c r="L66" s="1">
        <v>-12493</v>
      </c>
      <c r="M66">
        <v>-12430</v>
      </c>
      <c r="N66">
        <v>38</v>
      </c>
      <c r="O66">
        <v>14</v>
      </c>
      <c r="P66">
        <v>65535</v>
      </c>
      <c r="Q66">
        <v>10406</v>
      </c>
      <c r="R66">
        <v>-32767</v>
      </c>
      <c r="S66">
        <v>35.1</v>
      </c>
      <c r="T66">
        <v>13</v>
      </c>
      <c r="U66">
        <v>100</v>
      </c>
      <c r="V66">
        <v>34800</v>
      </c>
      <c r="W66">
        <v>5000</v>
      </c>
      <c r="X66" t="s">
        <v>823</v>
      </c>
      <c r="Y66" t="s">
        <v>830</v>
      </c>
      <c r="Z66" t="s">
        <v>828</v>
      </c>
      <c r="AA66">
        <v>4</v>
      </c>
      <c r="AB66">
        <v>6</v>
      </c>
      <c r="AC66">
        <v>76</v>
      </c>
      <c r="AD66">
        <v>4</v>
      </c>
      <c r="AE66">
        <v>2880</v>
      </c>
      <c r="AF66">
        <v>5024</v>
      </c>
      <c r="AG66">
        <v>77</v>
      </c>
      <c r="AH66">
        <v>2140</v>
      </c>
      <c r="AI66">
        <v>4</v>
      </c>
      <c r="AJ66">
        <v>87</v>
      </c>
      <c r="AK66">
        <v>1648</v>
      </c>
      <c r="AL66">
        <v>1621</v>
      </c>
      <c r="AM66">
        <v>11</v>
      </c>
      <c r="AN66">
        <v>911</v>
      </c>
      <c r="AO66" t="s">
        <v>826</v>
      </c>
    </row>
    <row r="67" spans="1:41">
      <c r="A67">
        <v>59</v>
      </c>
      <c r="B67" s="2">
        <v>45296.6161574074</v>
      </c>
      <c r="C67">
        <v>85.527</v>
      </c>
      <c r="D67" t="s">
        <v>821</v>
      </c>
      <c r="E67" t="s">
        <v>822</v>
      </c>
      <c r="F67">
        <v>58</v>
      </c>
      <c r="G67">
        <f t="shared" si="0"/>
        <v>0</v>
      </c>
      <c r="H67">
        <v>1</v>
      </c>
      <c r="I67">
        <v>2880</v>
      </c>
      <c r="J67">
        <v>5024</v>
      </c>
      <c r="K67">
        <v>29632</v>
      </c>
      <c r="L67" s="1">
        <v>-12493</v>
      </c>
      <c r="M67">
        <v>-12434</v>
      </c>
      <c r="N67">
        <v>38</v>
      </c>
      <c r="O67">
        <v>14</v>
      </c>
      <c r="P67">
        <v>65535</v>
      </c>
      <c r="Q67">
        <v>10391</v>
      </c>
      <c r="R67">
        <v>-32767</v>
      </c>
      <c r="S67">
        <v>35.1</v>
      </c>
      <c r="T67">
        <v>13</v>
      </c>
      <c r="U67">
        <v>100</v>
      </c>
      <c r="V67">
        <v>34800</v>
      </c>
      <c r="W67">
        <v>5000</v>
      </c>
      <c r="X67" t="s">
        <v>823</v>
      </c>
      <c r="Y67" t="s">
        <v>830</v>
      </c>
      <c r="Z67" t="s">
        <v>828</v>
      </c>
      <c r="AA67">
        <v>4</v>
      </c>
      <c r="AB67">
        <v>6</v>
      </c>
      <c r="AC67">
        <v>76</v>
      </c>
      <c r="AD67">
        <v>4</v>
      </c>
      <c r="AE67">
        <v>2877</v>
      </c>
      <c r="AF67">
        <v>5024</v>
      </c>
      <c r="AG67">
        <v>78</v>
      </c>
      <c r="AH67">
        <v>2143</v>
      </c>
      <c r="AI67">
        <v>4</v>
      </c>
      <c r="AJ67">
        <v>87</v>
      </c>
      <c r="AK67">
        <v>1648</v>
      </c>
      <c r="AL67">
        <v>1624</v>
      </c>
      <c r="AM67">
        <v>11</v>
      </c>
      <c r="AN67">
        <v>900</v>
      </c>
      <c r="AO67" t="s">
        <v>826</v>
      </c>
    </row>
    <row r="68" spans="1:41">
      <c r="A68">
        <v>60</v>
      </c>
      <c r="B68" s="2">
        <v>45296.6161805556</v>
      </c>
      <c r="C68">
        <v>87.902</v>
      </c>
      <c r="D68" t="s">
        <v>821</v>
      </c>
      <c r="E68" t="s">
        <v>822</v>
      </c>
      <c r="F68">
        <v>58</v>
      </c>
      <c r="G68">
        <f t="shared" si="0"/>
        <v>0</v>
      </c>
      <c r="H68">
        <v>1</v>
      </c>
      <c r="I68">
        <v>2870</v>
      </c>
      <c r="J68">
        <v>5024</v>
      </c>
      <c r="K68">
        <v>29616</v>
      </c>
      <c r="L68" s="1">
        <v>-12493</v>
      </c>
      <c r="M68">
        <v>-12446</v>
      </c>
      <c r="N68">
        <v>38</v>
      </c>
      <c r="O68">
        <v>14</v>
      </c>
      <c r="P68">
        <v>65535</v>
      </c>
      <c r="Q68">
        <v>10354</v>
      </c>
      <c r="R68">
        <v>-32767</v>
      </c>
      <c r="S68">
        <v>35.1</v>
      </c>
      <c r="T68">
        <v>13</v>
      </c>
      <c r="U68">
        <v>100</v>
      </c>
      <c r="V68">
        <v>34800</v>
      </c>
      <c r="W68">
        <v>5000</v>
      </c>
      <c r="X68" t="s">
        <v>823</v>
      </c>
      <c r="Y68" t="s">
        <v>830</v>
      </c>
      <c r="Z68" t="s">
        <v>828</v>
      </c>
      <c r="AA68">
        <v>4</v>
      </c>
      <c r="AB68">
        <v>6</v>
      </c>
      <c r="AC68">
        <v>76</v>
      </c>
      <c r="AD68">
        <v>4</v>
      </c>
      <c r="AE68">
        <v>2870</v>
      </c>
      <c r="AF68">
        <v>5024</v>
      </c>
      <c r="AG68">
        <v>80</v>
      </c>
      <c r="AH68">
        <v>2150</v>
      </c>
      <c r="AI68">
        <v>4</v>
      </c>
      <c r="AJ68">
        <v>87</v>
      </c>
      <c r="AK68">
        <v>1648</v>
      </c>
      <c r="AL68">
        <v>1631</v>
      </c>
      <c r="AM68">
        <v>11</v>
      </c>
      <c r="AN68">
        <v>886</v>
      </c>
      <c r="AO68" t="s">
        <v>826</v>
      </c>
    </row>
    <row r="69" spans="1:41">
      <c r="A69">
        <v>61</v>
      </c>
      <c r="B69" s="2">
        <v>45296.6161921296</v>
      </c>
      <c r="C69">
        <v>88.826</v>
      </c>
      <c r="D69" t="s">
        <v>821</v>
      </c>
      <c r="E69" t="s">
        <v>822</v>
      </c>
      <c r="F69">
        <v>58</v>
      </c>
      <c r="G69">
        <f t="shared" si="0"/>
        <v>0</v>
      </c>
      <c r="H69">
        <v>1</v>
      </c>
      <c r="I69">
        <v>2866</v>
      </c>
      <c r="J69">
        <v>5024</v>
      </c>
      <c r="K69">
        <v>29608</v>
      </c>
      <c r="L69" s="1">
        <v>-12493</v>
      </c>
      <c r="M69">
        <v>-12449</v>
      </c>
      <c r="N69">
        <v>38</v>
      </c>
      <c r="O69">
        <v>14</v>
      </c>
      <c r="P69">
        <v>65535</v>
      </c>
      <c r="Q69">
        <v>10339</v>
      </c>
      <c r="R69">
        <v>-32767</v>
      </c>
      <c r="S69">
        <v>35.1</v>
      </c>
      <c r="T69">
        <v>13</v>
      </c>
      <c r="U69">
        <v>100</v>
      </c>
      <c r="V69">
        <v>34800</v>
      </c>
      <c r="W69">
        <v>5000</v>
      </c>
      <c r="X69" t="s">
        <v>823</v>
      </c>
      <c r="Y69" t="s">
        <v>830</v>
      </c>
      <c r="Z69" t="s">
        <v>828</v>
      </c>
      <c r="AA69">
        <v>4</v>
      </c>
      <c r="AB69">
        <v>6</v>
      </c>
      <c r="AC69">
        <v>76</v>
      </c>
      <c r="AD69">
        <v>4</v>
      </c>
      <c r="AE69">
        <v>2866</v>
      </c>
      <c r="AF69">
        <v>5024</v>
      </c>
      <c r="AG69">
        <v>81</v>
      </c>
      <c r="AH69">
        <v>2154</v>
      </c>
      <c r="AI69">
        <v>4</v>
      </c>
      <c r="AJ69">
        <v>87</v>
      </c>
      <c r="AK69">
        <v>1648</v>
      </c>
      <c r="AL69">
        <v>1635</v>
      </c>
      <c r="AM69">
        <v>11</v>
      </c>
      <c r="AN69">
        <v>899</v>
      </c>
      <c r="AO69" t="s">
        <v>826</v>
      </c>
    </row>
    <row r="70" spans="1:41">
      <c r="A70">
        <v>62</v>
      </c>
      <c r="B70" s="2">
        <v>45296.6162268519</v>
      </c>
      <c r="C70">
        <v>91.189</v>
      </c>
      <c r="D70" t="s">
        <v>821</v>
      </c>
      <c r="E70" t="s">
        <v>822</v>
      </c>
      <c r="F70">
        <v>57</v>
      </c>
      <c r="G70">
        <f t="shared" si="0"/>
        <v>1</v>
      </c>
      <c r="H70">
        <v>1</v>
      </c>
      <c r="I70">
        <v>2860</v>
      </c>
      <c r="J70">
        <v>5024</v>
      </c>
      <c r="K70">
        <v>29600</v>
      </c>
      <c r="L70" s="1">
        <v>-12495</v>
      </c>
      <c r="M70">
        <v>-12455</v>
      </c>
      <c r="N70">
        <v>38.1</v>
      </c>
      <c r="O70">
        <v>14</v>
      </c>
      <c r="P70">
        <v>65535</v>
      </c>
      <c r="Q70">
        <v>10317</v>
      </c>
      <c r="R70">
        <v>-32767</v>
      </c>
      <c r="S70">
        <v>35.2</v>
      </c>
      <c r="T70">
        <v>13</v>
      </c>
      <c r="U70">
        <v>100</v>
      </c>
      <c r="V70">
        <v>34800</v>
      </c>
      <c r="W70">
        <v>5000</v>
      </c>
      <c r="X70" t="s">
        <v>823</v>
      </c>
      <c r="Y70" t="s">
        <v>830</v>
      </c>
      <c r="Z70" t="s">
        <v>828</v>
      </c>
      <c r="AA70">
        <v>4</v>
      </c>
      <c r="AB70">
        <v>6</v>
      </c>
      <c r="AC70">
        <v>76</v>
      </c>
      <c r="AD70">
        <v>4</v>
      </c>
      <c r="AE70">
        <v>2860</v>
      </c>
      <c r="AF70">
        <v>5024</v>
      </c>
      <c r="AG70">
        <v>83</v>
      </c>
      <c r="AH70">
        <v>2160</v>
      </c>
      <c r="AI70">
        <v>4</v>
      </c>
      <c r="AJ70">
        <v>87</v>
      </c>
      <c r="AK70">
        <v>1648</v>
      </c>
      <c r="AL70">
        <v>1641</v>
      </c>
      <c r="AM70">
        <v>11</v>
      </c>
      <c r="AN70">
        <v>910</v>
      </c>
      <c r="AO70" t="s">
        <v>826</v>
      </c>
    </row>
    <row r="71" spans="1:41">
      <c r="A71">
        <v>63</v>
      </c>
      <c r="B71" s="2">
        <v>45296.6162384259</v>
      </c>
      <c r="C71">
        <v>92.135</v>
      </c>
      <c r="D71" t="s">
        <v>821</v>
      </c>
      <c r="E71" t="s">
        <v>822</v>
      </c>
      <c r="F71">
        <v>57</v>
      </c>
      <c r="G71">
        <f t="shared" si="0"/>
        <v>0</v>
      </c>
      <c r="H71">
        <v>1</v>
      </c>
      <c r="I71">
        <v>2856</v>
      </c>
      <c r="J71">
        <v>5024</v>
      </c>
      <c r="K71">
        <v>29592</v>
      </c>
      <c r="L71" s="1">
        <v>-12493</v>
      </c>
      <c r="M71">
        <v>-12457</v>
      </c>
      <c r="N71">
        <v>38.1</v>
      </c>
      <c r="O71">
        <v>14</v>
      </c>
      <c r="P71">
        <v>65535</v>
      </c>
      <c r="Q71">
        <v>10302</v>
      </c>
      <c r="R71">
        <v>-32767</v>
      </c>
      <c r="S71">
        <v>35.2</v>
      </c>
      <c r="T71">
        <v>13</v>
      </c>
      <c r="U71">
        <v>100</v>
      </c>
      <c r="V71">
        <v>34800</v>
      </c>
      <c r="W71">
        <v>5000</v>
      </c>
      <c r="X71" t="s">
        <v>823</v>
      </c>
      <c r="Y71" t="s">
        <v>830</v>
      </c>
      <c r="Z71" t="s">
        <v>828</v>
      </c>
      <c r="AA71">
        <v>4</v>
      </c>
      <c r="AB71">
        <v>6</v>
      </c>
      <c r="AC71">
        <v>76</v>
      </c>
      <c r="AD71">
        <v>4</v>
      </c>
      <c r="AE71">
        <v>2856</v>
      </c>
      <c r="AF71">
        <v>5024</v>
      </c>
      <c r="AG71">
        <v>84</v>
      </c>
      <c r="AH71">
        <v>2164</v>
      </c>
      <c r="AI71">
        <v>4</v>
      </c>
      <c r="AJ71">
        <v>87</v>
      </c>
      <c r="AK71">
        <v>1648</v>
      </c>
      <c r="AL71">
        <v>1645</v>
      </c>
      <c r="AM71">
        <v>11</v>
      </c>
      <c r="AN71">
        <v>905</v>
      </c>
      <c r="AO71" t="s">
        <v>826</v>
      </c>
    </row>
    <row r="72" spans="1:41">
      <c r="A72">
        <v>64</v>
      </c>
      <c r="B72" s="2">
        <v>45296.61625</v>
      </c>
      <c r="C72">
        <v>93.076</v>
      </c>
      <c r="D72" t="s">
        <v>821</v>
      </c>
      <c r="E72" t="s">
        <v>822</v>
      </c>
      <c r="F72">
        <v>57</v>
      </c>
      <c r="G72">
        <f t="shared" si="0"/>
        <v>0</v>
      </c>
      <c r="H72">
        <v>1</v>
      </c>
      <c r="I72">
        <v>2853</v>
      </c>
      <c r="J72">
        <v>5024</v>
      </c>
      <c r="K72">
        <v>29584</v>
      </c>
      <c r="L72" s="1">
        <v>-12493</v>
      </c>
      <c r="M72">
        <v>-12459</v>
      </c>
      <c r="N72">
        <v>38.1</v>
      </c>
      <c r="O72">
        <v>14</v>
      </c>
      <c r="P72">
        <v>65535</v>
      </c>
      <c r="Q72">
        <v>10291</v>
      </c>
      <c r="R72">
        <v>-32767</v>
      </c>
      <c r="S72">
        <v>35.2</v>
      </c>
      <c r="T72">
        <v>13</v>
      </c>
      <c r="U72">
        <v>100</v>
      </c>
      <c r="V72">
        <v>34800</v>
      </c>
      <c r="W72">
        <v>5000</v>
      </c>
      <c r="X72" t="s">
        <v>823</v>
      </c>
      <c r="Y72" t="s">
        <v>830</v>
      </c>
      <c r="Z72" t="s">
        <v>828</v>
      </c>
      <c r="AA72">
        <v>4</v>
      </c>
      <c r="AB72">
        <v>6</v>
      </c>
      <c r="AC72">
        <v>76</v>
      </c>
      <c r="AD72">
        <v>4</v>
      </c>
      <c r="AE72">
        <v>2853</v>
      </c>
      <c r="AF72">
        <v>5024</v>
      </c>
      <c r="AG72">
        <v>85</v>
      </c>
      <c r="AH72">
        <v>2167</v>
      </c>
      <c r="AI72">
        <v>4</v>
      </c>
      <c r="AJ72">
        <v>87</v>
      </c>
      <c r="AK72">
        <v>1648</v>
      </c>
      <c r="AL72">
        <v>1648</v>
      </c>
      <c r="AM72">
        <v>11</v>
      </c>
      <c r="AN72">
        <v>901</v>
      </c>
      <c r="AO72" t="s">
        <v>826</v>
      </c>
    </row>
    <row r="73" spans="1:41">
      <c r="A73">
        <v>65</v>
      </c>
      <c r="B73" s="2">
        <v>45296.6162731481</v>
      </c>
      <c r="C73">
        <v>95.435</v>
      </c>
      <c r="D73" t="s">
        <v>821</v>
      </c>
      <c r="E73" t="s">
        <v>822</v>
      </c>
      <c r="F73">
        <v>57</v>
      </c>
      <c r="G73">
        <f t="shared" ref="G73:G136" si="1">F72-F73</f>
        <v>0</v>
      </c>
      <c r="H73">
        <v>1</v>
      </c>
      <c r="I73">
        <v>2846</v>
      </c>
      <c r="J73">
        <v>5024</v>
      </c>
      <c r="K73">
        <v>29568</v>
      </c>
      <c r="L73" s="1">
        <v>-12495</v>
      </c>
      <c r="M73">
        <v>-12464</v>
      </c>
      <c r="N73">
        <v>38.2</v>
      </c>
      <c r="O73">
        <v>14</v>
      </c>
      <c r="P73">
        <v>65535</v>
      </c>
      <c r="Q73">
        <v>10265</v>
      </c>
      <c r="R73">
        <v>-32767</v>
      </c>
      <c r="S73">
        <v>35.2</v>
      </c>
      <c r="T73">
        <v>13</v>
      </c>
      <c r="U73">
        <v>100</v>
      </c>
      <c r="V73">
        <v>34800</v>
      </c>
      <c r="W73">
        <v>5000</v>
      </c>
      <c r="X73" t="s">
        <v>823</v>
      </c>
      <c r="Y73" t="s">
        <v>830</v>
      </c>
      <c r="Z73" t="s">
        <v>828</v>
      </c>
      <c r="AA73">
        <v>4</v>
      </c>
      <c r="AB73">
        <v>6</v>
      </c>
      <c r="AC73">
        <v>76</v>
      </c>
      <c r="AD73">
        <v>4</v>
      </c>
      <c r="AE73">
        <v>2846</v>
      </c>
      <c r="AF73">
        <v>5024</v>
      </c>
      <c r="AG73">
        <v>88</v>
      </c>
      <c r="AH73">
        <v>2178</v>
      </c>
      <c r="AI73">
        <v>4</v>
      </c>
      <c r="AJ73">
        <v>87</v>
      </c>
      <c r="AK73">
        <v>1648</v>
      </c>
      <c r="AL73">
        <v>1659</v>
      </c>
      <c r="AM73">
        <v>11</v>
      </c>
      <c r="AN73">
        <v>911</v>
      </c>
      <c r="AO73" t="s">
        <v>826</v>
      </c>
    </row>
    <row r="74" spans="1:41">
      <c r="A74">
        <v>66</v>
      </c>
      <c r="B74" s="2">
        <v>45296.6162847222</v>
      </c>
      <c r="C74">
        <v>96.383</v>
      </c>
      <c r="D74" t="s">
        <v>821</v>
      </c>
      <c r="E74" t="s">
        <v>822</v>
      </c>
      <c r="F74">
        <v>57</v>
      </c>
      <c r="G74">
        <f t="shared" si="1"/>
        <v>0</v>
      </c>
      <c r="H74">
        <v>1</v>
      </c>
      <c r="I74">
        <v>2842</v>
      </c>
      <c r="J74">
        <v>5024</v>
      </c>
      <c r="K74">
        <v>29560</v>
      </c>
      <c r="L74" s="1">
        <v>-12493</v>
      </c>
      <c r="M74">
        <v>-12466</v>
      </c>
      <c r="N74">
        <v>38.2</v>
      </c>
      <c r="O74">
        <v>14</v>
      </c>
      <c r="P74">
        <v>65535</v>
      </c>
      <c r="Q74">
        <v>10250</v>
      </c>
      <c r="R74">
        <v>-32767</v>
      </c>
      <c r="S74">
        <v>35.2</v>
      </c>
      <c r="T74">
        <v>13</v>
      </c>
      <c r="U74">
        <v>100</v>
      </c>
      <c r="V74">
        <v>34800</v>
      </c>
      <c r="W74">
        <v>5000</v>
      </c>
      <c r="X74" t="s">
        <v>823</v>
      </c>
      <c r="Y74" t="s">
        <v>830</v>
      </c>
      <c r="Z74" t="s">
        <v>828</v>
      </c>
      <c r="AA74">
        <v>4</v>
      </c>
      <c r="AB74">
        <v>6</v>
      </c>
      <c r="AC74">
        <v>76</v>
      </c>
      <c r="AD74">
        <v>4</v>
      </c>
      <c r="AE74">
        <v>2842</v>
      </c>
      <c r="AF74">
        <v>5024</v>
      </c>
      <c r="AG74">
        <v>88</v>
      </c>
      <c r="AH74">
        <v>2178</v>
      </c>
      <c r="AI74">
        <v>4</v>
      </c>
      <c r="AJ74">
        <v>87</v>
      </c>
      <c r="AK74">
        <v>1648</v>
      </c>
      <c r="AL74">
        <v>1662</v>
      </c>
      <c r="AM74">
        <v>11</v>
      </c>
      <c r="AN74">
        <v>905</v>
      </c>
      <c r="AO74" t="s">
        <v>826</v>
      </c>
    </row>
    <row r="75" spans="1:41">
      <c r="A75">
        <v>67</v>
      </c>
      <c r="B75" s="2">
        <v>45296.6162962963</v>
      </c>
      <c r="C75">
        <v>97.324</v>
      </c>
      <c r="D75" t="s">
        <v>821</v>
      </c>
      <c r="E75" t="s">
        <v>822</v>
      </c>
      <c r="F75">
        <v>57</v>
      </c>
      <c r="G75">
        <f t="shared" si="1"/>
        <v>0</v>
      </c>
      <c r="H75">
        <v>1</v>
      </c>
      <c r="I75">
        <v>2839</v>
      </c>
      <c r="J75">
        <v>5024</v>
      </c>
      <c r="K75">
        <v>29560</v>
      </c>
      <c r="L75" s="1">
        <v>-12493</v>
      </c>
      <c r="M75">
        <v>-12468</v>
      </c>
      <c r="N75">
        <v>38.2</v>
      </c>
      <c r="O75">
        <v>14</v>
      </c>
      <c r="P75">
        <v>65535</v>
      </c>
      <c r="Q75">
        <v>10239</v>
      </c>
      <c r="R75">
        <v>-32767</v>
      </c>
      <c r="S75">
        <v>35.3</v>
      </c>
      <c r="T75">
        <v>13</v>
      </c>
      <c r="U75">
        <v>100</v>
      </c>
      <c r="V75">
        <v>34800</v>
      </c>
      <c r="W75">
        <v>5000</v>
      </c>
      <c r="X75" t="s">
        <v>823</v>
      </c>
      <c r="Y75" t="s">
        <v>830</v>
      </c>
      <c r="Z75" t="s">
        <v>828</v>
      </c>
      <c r="AA75">
        <v>4</v>
      </c>
      <c r="AB75">
        <v>6</v>
      </c>
      <c r="AC75">
        <v>76</v>
      </c>
      <c r="AD75">
        <v>4</v>
      </c>
      <c r="AE75">
        <v>2839</v>
      </c>
      <c r="AF75">
        <v>5024</v>
      </c>
      <c r="AG75">
        <v>89</v>
      </c>
      <c r="AH75">
        <v>2181</v>
      </c>
      <c r="AI75">
        <v>4</v>
      </c>
      <c r="AJ75">
        <v>87</v>
      </c>
      <c r="AK75">
        <v>1648</v>
      </c>
      <c r="AL75">
        <v>1662</v>
      </c>
      <c r="AM75">
        <v>11</v>
      </c>
      <c r="AN75">
        <v>900</v>
      </c>
      <c r="AO75" t="s">
        <v>826</v>
      </c>
    </row>
    <row r="76" spans="1:41">
      <c r="A76">
        <v>68</v>
      </c>
      <c r="B76" s="2">
        <v>45296.6163194444</v>
      </c>
      <c r="C76">
        <v>99.702</v>
      </c>
      <c r="D76" t="s">
        <v>821</v>
      </c>
      <c r="E76" t="s">
        <v>822</v>
      </c>
      <c r="F76">
        <v>57</v>
      </c>
      <c r="G76">
        <f t="shared" si="1"/>
        <v>0</v>
      </c>
      <c r="H76">
        <v>1</v>
      </c>
      <c r="I76">
        <v>2832</v>
      </c>
      <c r="J76">
        <v>5024</v>
      </c>
      <c r="K76">
        <v>29544</v>
      </c>
      <c r="L76" s="1">
        <v>-12493</v>
      </c>
      <c r="M76">
        <v>-12471</v>
      </c>
      <c r="N76">
        <v>38.2</v>
      </c>
      <c r="O76">
        <v>14</v>
      </c>
      <c r="P76">
        <v>65535</v>
      </c>
      <c r="Q76">
        <v>10199</v>
      </c>
      <c r="R76">
        <v>-32767</v>
      </c>
      <c r="S76">
        <v>35.3</v>
      </c>
      <c r="T76">
        <v>13</v>
      </c>
      <c r="U76">
        <v>100</v>
      </c>
      <c r="V76">
        <v>34800</v>
      </c>
      <c r="W76">
        <v>5000</v>
      </c>
      <c r="X76" t="s">
        <v>823</v>
      </c>
      <c r="Y76" t="s">
        <v>830</v>
      </c>
      <c r="Z76" t="s">
        <v>828</v>
      </c>
      <c r="AA76">
        <v>4</v>
      </c>
      <c r="AB76">
        <v>6</v>
      </c>
      <c r="AC76">
        <v>76</v>
      </c>
      <c r="AD76">
        <v>4</v>
      </c>
      <c r="AE76">
        <v>2828</v>
      </c>
      <c r="AF76">
        <v>5024</v>
      </c>
      <c r="AG76">
        <v>92</v>
      </c>
      <c r="AH76">
        <v>2192</v>
      </c>
      <c r="AI76">
        <v>4</v>
      </c>
      <c r="AJ76">
        <v>87</v>
      </c>
      <c r="AK76">
        <v>1648</v>
      </c>
      <c r="AL76">
        <v>1673</v>
      </c>
      <c r="AM76">
        <v>11</v>
      </c>
      <c r="AN76">
        <v>899</v>
      </c>
      <c r="AO76" t="s">
        <v>826</v>
      </c>
    </row>
    <row r="77" spans="1:41">
      <c r="A77">
        <v>69</v>
      </c>
      <c r="B77" s="2">
        <v>45296.6163310185</v>
      </c>
      <c r="C77">
        <v>100.656</v>
      </c>
      <c r="D77" t="s">
        <v>821</v>
      </c>
      <c r="E77" t="s">
        <v>822</v>
      </c>
      <c r="F77">
        <v>57</v>
      </c>
      <c r="G77">
        <f t="shared" si="1"/>
        <v>0</v>
      </c>
      <c r="H77">
        <v>1</v>
      </c>
      <c r="I77">
        <v>2828</v>
      </c>
      <c r="J77">
        <v>5024</v>
      </c>
      <c r="K77">
        <v>29536</v>
      </c>
      <c r="L77" s="1">
        <v>-12493</v>
      </c>
      <c r="M77">
        <v>-12472</v>
      </c>
      <c r="N77">
        <v>38.2</v>
      </c>
      <c r="O77">
        <v>14</v>
      </c>
      <c r="P77">
        <v>65535</v>
      </c>
      <c r="Q77">
        <v>10199</v>
      </c>
      <c r="R77">
        <v>-32767</v>
      </c>
      <c r="S77">
        <v>35.3</v>
      </c>
      <c r="T77">
        <v>13</v>
      </c>
      <c r="U77">
        <v>100</v>
      </c>
      <c r="V77">
        <v>34800</v>
      </c>
      <c r="W77">
        <v>5000</v>
      </c>
      <c r="X77" t="s">
        <v>823</v>
      </c>
      <c r="Y77" t="s">
        <v>830</v>
      </c>
      <c r="Z77" t="s">
        <v>828</v>
      </c>
      <c r="AA77">
        <v>4</v>
      </c>
      <c r="AB77">
        <v>6</v>
      </c>
      <c r="AC77">
        <v>76</v>
      </c>
      <c r="AD77">
        <v>4</v>
      </c>
      <c r="AE77">
        <v>2825</v>
      </c>
      <c r="AF77">
        <v>5024</v>
      </c>
      <c r="AG77">
        <v>93</v>
      </c>
      <c r="AH77">
        <v>2195</v>
      </c>
      <c r="AI77">
        <v>4</v>
      </c>
      <c r="AJ77">
        <v>87</v>
      </c>
      <c r="AK77">
        <v>1648</v>
      </c>
      <c r="AL77">
        <v>1676</v>
      </c>
      <c r="AM77">
        <v>11</v>
      </c>
      <c r="AN77">
        <v>912</v>
      </c>
      <c r="AO77" t="s">
        <v>826</v>
      </c>
    </row>
    <row r="78" spans="1:41">
      <c r="A78">
        <v>70</v>
      </c>
      <c r="B78" s="2">
        <v>45296.6163425926</v>
      </c>
      <c r="C78">
        <v>101.603</v>
      </c>
      <c r="D78" t="s">
        <v>821</v>
      </c>
      <c r="E78" t="s">
        <v>822</v>
      </c>
      <c r="F78">
        <v>57</v>
      </c>
      <c r="G78">
        <f t="shared" si="1"/>
        <v>0</v>
      </c>
      <c r="H78">
        <v>1</v>
      </c>
      <c r="I78">
        <v>2825</v>
      </c>
      <c r="J78">
        <v>5024</v>
      </c>
      <c r="K78">
        <v>29528</v>
      </c>
      <c r="L78" s="1">
        <v>-12493</v>
      </c>
      <c r="M78">
        <v>-12474</v>
      </c>
      <c r="N78">
        <v>38.2</v>
      </c>
      <c r="O78">
        <v>14</v>
      </c>
      <c r="P78">
        <v>65535</v>
      </c>
      <c r="Q78">
        <v>10187</v>
      </c>
      <c r="R78">
        <v>-32767</v>
      </c>
      <c r="S78">
        <v>35.3</v>
      </c>
      <c r="T78">
        <v>13</v>
      </c>
      <c r="U78">
        <v>100</v>
      </c>
      <c r="V78">
        <v>34800</v>
      </c>
      <c r="W78">
        <v>5000</v>
      </c>
      <c r="X78" t="s">
        <v>823</v>
      </c>
      <c r="Y78" t="s">
        <v>830</v>
      </c>
      <c r="Z78" t="s">
        <v>828</v>
      </c>
      <c r="AA78">
        <v>4</v>
      </c>
      <c r="AB78">
        <v>6</v>
      </c>
      <c r="AC78">
        <v>76</v>
      </c>
      <c r="AD78">
        <v>4</v>
      </c>
      <c r="AE78">
        <v>2821</v>
      </c>
      <c r="AF78">
        <v>5024</v>
      </c>
      <c r="AG78">
        <v>94</v>
      </c>
      <c r="AH78">
        <v>2199</v>
      </c>
      <c r="AI78">
        <v>4</v>
      </c>
      <c r="AJ78">
        <v>87</v>
      </c>
      <c r="AK78">
        <v>1648</v>
      </c>
      <c r="AL78">
        <v>1680</v>
      </c>
      <c r="AM78">
        <v>11</v>
      </c>
      <c r="AN78">
        <v>903</v>
      </c>
      <c r="AO78" t="s">
        <v>826</v>
      </c>
    </row>
    <row r="79" spans="1:41">
      <c r="A79">
        <v>71</v>
      </c>
      <c r="B79" s="2">
        <v>45296.6163773148</v>
      </c>
      <c r="C79">
        <v>103.969</v>
      </c>
      <c r="D79" t="s">
        <v>821</v>
      </c>
      <c r="E79" t="s">
        <v>822</v>
      </c>
      <c r="F79">
        <v>57</v>
      </c>
      <c r="G79">
        <f t="shared" si="1"/>
        <v>0</v>
      </c>
      <c r="H79">
        <v>1</v>
      </c>
      <c r="I79">
        <v>2814</v>
      </c>
      <c r="J79">
        <v>5024</v>
      </c>
      <c r="K79">
        <v>29512</v>
      </c>
      <c r="L79" s="1">
        <v>-12493</v>
      </c>
      <c r="M79">
        <v>-12478</v>
      </c>
      <c r="N79">
        <v>38.3</v>
      </c>
      <c r="O79">
        <v>14</v>
      </c>
      <c r="P79">
        <v>65535</v>
      </c>
      <c r="Q79">
        <v>10147</v>
      </c>
      <c r="R79">
        <v>-32767</v>
      </c>
      <c r="S79">
        <v>35.4</v>
      </c>
      <c r="T79">
        <v>13</v>
      </c>
      <c r="U79">
        <v>100</v>
      </c>
      <c r="V79">
        <v>34800</v>
      </c>
      <c r="W79">
        <v>5000</v>
      </c>
      <c r="X79" t="s">
        <v>823</v>
      </c>
      <c r="Y79" t="s">
        <v>830</v>
      </c>
      <c r="Z79" t="s">
        <v>828</v>
      </c>
      <c r="AA79">
        <v>4</v>
      </c>
      <c r="AB79">
        <v>6</v>
      </c>
      <c r="AC79">
        <v>76</v>
      </c>
      <c r="AD79">
        <v>4</v>
      </c>
      <c r="AE79">
        <v>2814</v>
      </c>
      <c r="AF79">
        <v>5024</v>
      </c>
      <c r="AG79">
        <v>96</v>
      </c>
      <c r="AH79">
        <v>2206</v>
      </c>
      <c r="AI79">
        <v>4</v>
      </c>
      <c r="AJ79">
        <v>87</v>
      </c>
      <c r="AK79">
        <v>1648</v>
      </c>
      <c r="AL79">
        <v>1687</v>
      </c>
      <c r="AM79">
        <v>11</v>
      </c>
      <c r="AN79">
        <v>911</v>
      </c>
      <c r="AO79" t="s">
        <v>826</v>
      </c>
    </row>
    <row r="80" spans="1:41">
      <c r="A80">
        <v>72</v>
      </c>
      <c r="B80" s="2">
        <v>45296.6163888889</v>
      </c>
      <c r="C80">
        <v>104.92</v>
      </c>
      <c r="D80" t="s">
        <v>821</v>
      </c>
      <c r="E80" t="s">
        <v>822</v>
      </c>
      <c r="F80">
        <v>56</v>
      </c>
      <c r="G80">
        <f t="shared" si="1"/>
        <v>1</v>
      </c>
      <c r="H80">
        <v>1</v>
      </c>
      <c r="I80">
        <v>2811</v>
      </c>
      <c r="J80">
        <v>5024</v>
      </c>
      <c r="K80">
        <v>29504</v>
      </c>
      <c r="L80" s="1">
        <v>-12495</v>
      </c>
      <c r="M80">
        <v>-12479</v>
      </c>
      <c r="N80">
        <v>38.3</v>
      </c>
      <c r="O80">
        <v>14</v>
      </c>
      <c r="P80">
        <v>65535</v>
      </c>
      <c r="Q80">
        <v>10136</v>
      </c>
      <c r="R80">
        <v>-32767</v>
      </c>
      <c r="S80">
        <v>35.4</v>
      </c>
      <c r="T80">
        <v>13</v>
      </c>
      <c r="U80">
        <v>100</v>
      </c>
      <c r="V80">
        <v>34800</v>
      </c>
      <c r="W80">
        <v>5000</v>
      </c>
      <c r="X80" t="s">
        <v>823</v>
      </c>
      <c r="Y80" t="s">
        <v>830</v>
      </c>
      <c r="Z80" t="s">
        <v>828</v>
      </c>
      <c r="AA80">
        <v>4</v>
      </c>
      <c r="AB80">
        <v>6</v>
      </c>
      <c r="AC80">
        <v>76</v>
      </c>
      <c r="AD80">
        <v>4</v>
      </c>
      <c r="AE80">
        <v>2811</v>
      </c>
      <c r="AF80">
        <v>5024</v>
      </c>
      <c r="AG80">
        <v>97</v>
      </c>
      <c r="AH80">
        <v>2209</v>
      </c>
      <c r="AI80">
        <v>4</v>
      </c>
      <c r="AJ80">
        <v>87</v>
      </c>
      <c r="AK80">
        <v>1648</v>
      </c>
      <c r="AL80">
        <v>1690</v>
      </c>
      <c r="AM80">
        <v>11</v>
      </c>
      <c r="AN80">
        <v>913</v>
      </c>
      <c r="AO80" t="s">
        <v>826</v>
      </c>
    </row>
    <row r="81" spans="1:41">
      <c r="A81">
        <v>73</v>
      </c>
      <c r="B81" s="2">
        <v>45296.616412037</v>
      </c>
      <c r="C81">
        <v>107.284</v>
      </c>
      <c r="D81" t="s">
        <v>821</v>
      </c>
      <c r="E81" t="s">
        <v>822</v>
      </c>
      <c r="F81">
        <v>56</v>
      </c>
      <c r="G81">
        <f t="shared" si="1"/>
        <v>0</v>
      </c>
      <c r="H81">
        <v>1</v>
      </c>
      <c r="I81">
        <v>2804</v>
      </c>
      <c r="J81">
        <v>5024</v>
      </c>
      <c r="K81">
        <v>29496</v>
      </c>
      <c r="L81" s="1">
        <v>-12493</v>
      </c>
      <c r="M81">
        <v>-12481</v>
      </c>
      <c r="N81">
        <v>38.4</v>
      </c>
      <c r="O81">
        <v>13</v>
      </c>
      <c r="P81">
        <v>65535</v>
      </c>
      <c r="Q81">
        <v>10110</v>
      </c>
      <c r="R81">
        <v>-32767</v>
      </c>
      <c r="S81">
        <v>35.4</v>
      </c>
      <c r="T81">
        <v>13</v>
      </c>
      <c r="U81">
        <v>100</v>
      </c>
      <c r="V81">
        <v>34800</v>
      </c>
      <c r="W81">
        <v>5000</v>
      </c>
      <c r="X81" t="s">
        <v>823</v>
      </c>
      <c r="Y81" t="s">
        <v>830</v>
      </c>
      <c r="Z81" t="s">
        <v>828</v>
      </c>
      <c r="AA81">
        <v>4</v>
      </c>
      <c r="AB81">
        <v>6</v>
      </c>
      <c r="AC81">
        <v>76</v>
      </c>
      <c r="AD81">
        <v>4</v>
      </c>
      <c r="AE81">
        <v>2804</v>
      </c>
      <c r="AF81">
        <v>5024</v>
      </c>
      <c r="AG81">
        <v>99</v>
      </c>
      <c r="AH81">
        <v>2216</v>
      </c>
      <c r="AI81">
        <v>4</v>
      </c>
      <c r="AJ81">
        <v>87</v>
      </c>
      <c r="AK81">
        <v>1648</v>
      </c>
      <c r="AL81">
        <v>1697</v>
      </c>
      <c r="AM81">
        <v>11</v>
      </c>
      <c r="AN81">
        <v>907</v>
      </c>
      <c r="AO81" t="s">
        <v>826</v>
      </c>
    </row>
    <row r="82" spans="1:41">
      <c r="A82">
        <v>74</v>
      </c>
      <c r="B82" s="2">
        <v>45296.6164236111</v>
      </c>
      <c r="C82">
        <v>108.228</v>
      </c>
      <c r="D82" t="s">
        <v>821</v>
      </c>
      <c r="E82" t="s">
        <v>822</v>
      </c>
      <c r="F82">
        <v>56</v>
      </c>
      <c r="G82">
        <f t="shared" si="1"/>
        <v>0</v>
      </c>
      <c r="H82">
        <v>1</v>
      </c>
      <c r="I82">
        <v>2801</v>
      </c>
      <c r="J82">
        <v>5024</v>
      </c>
      <c r="K82">
        <v>29488</v>
      </c>
      <c r="L82" s="1">
        <v>-12495</v>
      </c>
      <c r="M82">
        <v>-12481</v>
      </c>
      <c r="N82">
        <v>38.4</v>
      </c>
      <c r="O82">
        <v>13</v>
      </c>
      <c r="P82">
        <v>65535</v>
      </c>
      <c r="Q82">
        <v>10099</v>
      </c>
      <c r="R82">
        <v>-32767</v>
      </c>
      <c r="S82">
        <v>35.4</v>
      </c>
      <c r="T82">
        <v>13</v>
      </c>
      <c r="U82">
        <v>100</v>
      </c>
      <c r="V82">
        <v>34800</v>
      </c>
      <c r="W82">
        <v>5000</v>
      </c>
      <c r="X82" t="s">
        <v>823</v>
      </c>
      <c r="Y82" t="s">
        <v>830</v>
      </c>
      <c r="Z82" t="s">
        <v>828</v>
      </c>
      <c r="AA82">
        <v>4</v>
      </c>
      <c r="AB82">
        <v>6</v>
      </c>
      <c r="AC82">
        <v>76</v>
      </c>
      <c r="AD82">
        <v>4</v>
      </c>
      <c r="AE82">
        <v>2801</v>
      </c>
      <c r="AF82">
        <v>5024</v>
      </c>
      <c r="AG82">
        <v>100</v>
      </c>
      <c r="AH82">
        <v>2219</v>
      </c>
      <c r="AI82">
        <v>4</v>
      </c>
      <c r="AJ82">
        <v>87</v>
      </c>
      <c r="AK82">
        <v>1648</v>
      </c>
      <c r="AL82">
        <v>1700</v>
      </c>
      <c r="AM82">
        <v>11</v>
      </c>
      <c r="AN82">
        <v>905</v>
      </c>
      <c r="AO82" t="s">
        <v>826</v>
      </c>
    </row>
    <row r="83" spans="1:41">
      <c r="A83">
        <v>75</v>
      </c>
      <c r="B83" s="2">
        <v>45296.6164351852</v>
      </c>
      <c r="C83">
        <v>109.17</v>
      </c>
      <c r="D83" t="s">
        <v>821</v>
      </c>
      <c r="E83" t="s">
        <v>822</v>
      </c>
      <c r="F83">
        <v>56</v>
      </c>
      <c r="G83">
        <f t="shared" si="1"/>
        <v>0</v>
      </c>
      <c r="H83">
        <v>1</v>
      </c>
      <c r="I83">
        <v>2797</v>
      </c>
      <c r="J83">
        <v>5024</v>
      </c>
      <c r="K83">
        <v>29480</v>
      </c>
      <c r="L83" s="1">
        <v>-12493</v>
      </c>
      <c r="M83">
        <v>-12482</v>
      </c>
      <c r="N83">
        <v>38.4</v>
      </c>
      <c r="O83">
        <v>13</v>
      </c>
      <c r="P83">
        <v>65535</v>
      </c>
      <c r="Q83">
        <v>10084</v>
      </c>
      <c r="R83">
        <v>-32767</v>
      </c>
      <c r="S83">
        <v>35.4</v>
      </c>
      <c r="T83">
        <v>13</v>
      </c>
      <c r="U83">
        <v>100</v>
      </c>
      <c r="V83">
        <v>34800</v>
      </c>
      <c r="W83">
        <v>5000</v>
      </c>
      <c r="X83" t="s">
        <v>823</v>
      </c>
      <c r="Y83" t="s">
        <v>830</v>
      </c>
      <c r="Z83" t="s">
        <v>828</v>
      </c>
      <c r="AA83">
        <v>4</v>
      </c>
      <c r="AB83">
        <v>6</v>
      </c>
      <c r="AC83">
        <v>76</v>
      </c>
      <c r="AD83">
        <v>4</v>
      </c>
      <c r="AE83">
        <v>2797</v>
      </c>
      <c r="AF83">
        <v>5024</v>
      </c>
      <c r="AG83">
        <v>101</v>
      </c>
      <c r="AH83">
        <v>2223</v>
      </c>
      <c r="AI83">
        <v>4</v>
      </c>
      <c r="AJ83">
        <v>87</v>
      </c>
      <c r="AK83">
        <v>1648</v>
      </c>
      <c r="AL83">
        <v>1704</v>
      </c>
      <c r="AM83">
        <v>11</v>
      </c>
      <c r="AN83">
        <v>901</v>
      </c>
      <c r="AO83" t="s">
        <v>826</v>
      </c>
    </row>
    <row r="84" spans="1:41">
      <c r="A84">
        <v>76</v>
      </c>
      <c r="B84" s="2">
        <v>45296.6164583333</v>
      </c>
      <c r="C84">
        <v>111.51</v>
      </c>
      <c r="D84" t="s">
        <v>821</v>
      </c>
      <c r="E84" t="s">
        <v>822</v>
      </c>
      <c r="F84">
        <v>56</v>
      </c>
      <c r="G84">
        <f t="shared" si="1"/>
        <v>0</v>
      </c>
      <c r="H84">
        <v>1</v>
      </c>
      <c r="I84">
        <v>2790</v>
      </c>
      <c r="J84">
        <v>5024</v>
      </c>
      <c r="K84">
        <v>29472</v>
      </c>
      <c r="L84" s="1">
        <v>-12493</v>
      </c>
      <c r="M84">
        <v>-12484</v>
      </c>
      <c r="N84">
        <v>38.4</v>
      </c>
      <c r="O84">
        <v>13</v>
      </c>
      <c r="P84">
        <v>65535</v>
      </c>
      <c r="Q84">
        <v>10058</v>
      </c>
      <c r="R84">
        <v>-32767</v>
      </c>
      <c r="S84">
        <v>35.4</v>
      </c>
      <c r="T84">
        <v>13</v>
      </c>
      <c r="U84">
        <v>100</v>
      </c>
      <c r="V84">
        <v>34800</v>
      </c>
      <c r="W84">
        <v>5000</v>
      </c>
      <c r="X84" t="s">
        <v>823</v>
      </c>
      <c r="Y84" t="s">
        <v>830</v>
      </c>
      <c r="Z84" t="s">
        <v>828</v>
      </c>
      <c r="AA84">
        <v>4</v>
      </c>
      <c r="AB84">
        <v>6</v>
      </c>
      <c r="AC84">
        <v>76</v>
      </c>
      <c r="AD84">
        <v>4</v>
      </c>
      <c r="AE84">
        <v>2787</v>
      </c>
      <c r="AF84">
        <v>5024</v>
      </c>
      <c r="AG84">
        <v>104</v>
      </c>
      <c r="AH84">
        <v>2233</v>
      </c>
      <c r="AI84">
        <v>4</v>
      </c>
      <c r="AJ84">
        <v>87</v>
      </c>
      <c r="AK84">
        <v>1648</v>
      </c>
      <c r="AL84">
        <v>1714</v>
      </c>
      <c r="AM84">
        <v>11</v>
      </c>
      <c r="AN84">
        <v>903</v>
      </c>
      <c r="AO84" t="s">
        <v>826</v>
      </c>
    </row>
    <row r="85" spans="1:41">
      <c r="A85">
        <v>77</v>
      </c>
      <c r="B85" s="2">
        <v>45296.6164699074</v>
      </c>
      <c r="C85">
        <v>112.449</v>
      </c>
      <c r="D85" t="s">
        <v>821</v>
      </c>
      <c r="E85" t="s">
        <v>822</v>
      </c>
      <c r="F85">
        <v>56</v>
      </c>
      <c r="G85">
        <f t="shared" si="1"/>
        <v>0</v>
      </c>
      <c r="H85">
        <v>1</v>
      </c>
      <c r="I85">
        <v>2787</v>
      </c>
      <c r="J85">
        <v>5024</v>
      </c>
      <c r="K85">
        <v>29464</v>
      </c>
      <c r="L85" s="1">
        <v>-12493</v>
      </c>
      <c r="M85">
        <v>-12484</v>
      </c>
      <c r="N85">
        <v>38.4</v>
      </c>
      <c r="O85">
        <v>13</v>
      </c>
      <c r="P85">
        <v>65535</v>
      </c>
      <c r="Q85">
        <v>10047</v>
      </c>
      <c r="R85">
        <v>-32767</v>
      </c>
      <c r="S85">
        <v>35.4</v>
      </c>
      <c r="T85">
        <v>13</v>
      </c>
      <c r="U85">
        <v>100</v>
      </c>
      <c r="V85">
        <v>34800</v>
      </c>
      <c r="W85">
        <v>5000</v>
      </c>
      <c r="X85" t="s">
        <v>823</v>
      </c>
      <c r="Y85" t="s">
        <v>830</v>
      </c>
      <c r="Z85" t="s">
        <v>828</v>
      </c>
      <c r="AA85">
        <v>4</v>
      </c>
      <c r="AB85">
        <v>6</v>
      </c>
      <c r="AC85">
        <v>76</v>
      </c>
      <c r="AD85">
        <v>4</v>
      </c>
      <c r="AE85">
        <v>2787</v>
      </c>
      <c r="AF85">
        <v>5024</v>
      </c>
      <c r="AG85">
        <v>105</v>
      </c>
      <c r="AH85">
        <v>2237</v>
      </c>
      <c r="AI85">
        <v>4</v>
      </c>
      <c r="AJ85">
        <v>87</v>
      </c>
      <c r="AK85">
        <v>1648</v>
      </c>
      <c r="AL85">
        <v>1718</v>
      </c>
      <c r="AM85">
        <v>11</v>
      </c>
      <c r="AN85">
        <v>900</v>
      </c>
      <c r="AO85" t="s">
        <v>826</v>
      </c>
    </row>
    <row r="86" spans="1:41">
      <c r="A86">
        <v>78</v>
      </c>
      <c r="B86" s="2">
        <v>45296.6164814815</v>
      </c>
      <c r="C86">
        <v>113.387</v>
      </c>
      <c r="D86" t="s">
        <v>821</v>
      </c>
      <c r="E86" t="s">
        <v>822</v>
      </c>
      <c r="F86">
        <v>56</v>
      </c>
      <c r="G86">
        <f t="shared" si="1"/>
        <v>0</v>
      </c>
      <c r="H86">
        <v>1</v>
      </c>
      <c r="I86">
        <v>2783</v>
      </c>
      <c r="J86">
        <v>5024</v>
      </c>
      <c r="K86">
        <v>29456</v>
      </c>
      <c r="L86" s="1">
        <v>-12495</v>
      </c>
      <c r="M86">
        <v>-12485</v>
      </c>
      <c r="N86">
        <v>38.4</v>
      </c>
      <c r="O86">
        <v>13</v>
      </c>
      <c r="P86">
        <v>65535</v>
      </c>
      <c r="Q86">
        <v>10033</v>
      </c>
      <c r="R86">
        <v>-32767</v>
      </c>
      <c r="S86">
        <v>35.4</v>
      </c>
      <c r="T86">
        <v>13</v>
      </c>
      <c r="U86">
        <v>100</v>
      </c>
      <c r="V86">
        <v>34800</v>
      </c>
      <c r="W86">
        <v>5000</v>
      </c>
      <c r="X86" t="s">
        <v>823</v>
      </c>
      <c r="Y86" t="s">
        <v>830</v>
      </c>
      <c r="Z86" t="s">
        <v>828</v>
      </c>
      <c r="AA86">
        <v>4</v>
      </c>
      <c r="AB86">
        <v>6</v>
      </c>
      <c r="AC86">
        <v>76</v>
      </c>
      <c r="AD86">
        <v>4</v>
      </c>
      <c r="AE86">
        <v>2783</v>
      </c>
      <c r="AF86">
        <v>5024</v>
      </c>
      <c r="AG86">
        <v>105</v>
      </c>
      <c r="AH86">
        <v>2237</v>
      </c>
      <c r="AI86">
        <v>4</v>
      </c>
      <c r="AJ86">
        <v>87</v>
      </c>
      <c r="AK86">
        <v>1648</v>
      </c>
      <c r="AL86">
        <v>1721</v>
      </c>
      <c r="AM86">
        <v>11</v>
      </c>
      <c r="AN86">
        <v>899</v>
      </c>
      <c r="AO86" t="s">
        <v>826</v>
      </c>
    </row>
    <row r="87" spans="1:41">
      <c r="A87">
        <v>79</v>
      </c>
      <c r="B87" s="2">
        <v>45296.6165046296</v>
      </c>
      <c r="C87">
        <v>115.748</v>
      </c>
      <c r="D87" t="s">
        <v>821</v>
      </c>
      <c r="E87" t="s">
        <v>822</v>
      </c>
      <c r="F87">
        <v>56</v>
      </c>
      <c r="G87">
        <f t="shared" si="1"/>
        <v>0</v>
      </c>
      <c r="H87">
        <v>1</v>
      </c>
      <c r="I87">
        <v>2776</v>
      </c>
      <c r="J87">
        <v>5024</v>
      </c>
      <c r="K87">
        <v>29440</v>
      </c>
      <c r="L87" s="1">
        <v>-12495</v>
      </c>
      <c r="M87">
        <v>-12487</v>
      </c>
      <c r="N87">
        <v>38.5</v>
      </c>
      <c r="O87">
        <v>13</v>
      </c>
      <c r="P87">
        <v>65535</v>
      </c>
      <c r="Q87">
        <v>9996</v>
      </c>
      <c r="R87">
        <v>-32767</v>
      </c>
      <c r="S87">
        <v>35.5</v>
      </c>
      <c r="T87">
        <v>13</v>
      </c>
      <c r="U87">
        <v>100</v>
      </c>
      <c r="V87">
        <v>34800</v>
      </c>
      <c r="W87">
        <v>5000</v>
      </c>
      <c r="X87" t="s">
        <v>823</v>
      </c>
      <c r="Y87" t="s">
        <v>830</v>
      </c>
      <c r="Z87" t="s">
        <v>828</v>
      </c>
      <c r="AA87">
        <v>4</v>
      </c>
      <c r="AB87">
        <v>6</v>
      </c>
      <c r="AC87">
        <v>76</v>
      </c>
      <c r="AD87">
        <v>4</v>
      </c>
      <c r="AE87">
        <v>2773</v>
      </c>
      <c r="AF87">
        <v>5024</v>
      </c>
      <c r="AG87">
        <v>108</v>
      </c>
      <c r="AH87">
        <v>2247</v>
      </c>
      <c r="AI87">
        <v>4</v>
      </c>
      <c r="AJ87">
        <v>87</v>
      </c>
      <c r="AK87">
        <v>1648</v>
      </c>
      <c r="AL87">
        <v>1728</v>
      </c>
      <c r="AM87">
        <v>11</v>
      </c>
      <c r="AN87">
        <v>913</v>
      </c>
      <c r="AO87" t="s">
        <v>826</v>
      </c>
    </row>
    <row r="88" spans="1:41">
      <c r="A88">
        <v>80</v>
      </c>
      <c r="B88" s="2">
        <v>45296.6165162037</v>
      </c>
      <c r="C88">
        <v>116.698</v>
      </c>
      <c r="D88" t="s">
        <v>821</v>
      </c>
      <c r="E88" t="s">
        <v>822</v>
      </c>
      <c r="F88">
        <v>56</v>
      </c>
      <c r="G88">
        <f t="shared" si="1"/>
        <v>0</v>
      </c>
      <c r="H88">
        <v>1</v>
      </c>
      <c r="I88">
        <v>2773</v>
      </c>
      <c r="J88">
        <v>5024</v>
      </c>
      <c r="K88">
        <v>29440</v>
      </c>
      <c r="L88" s="1">
        <v>-12495</v>
      </c>
      <c r="M88">
        <v>-12487</v>
      </c>
      <c r="N88">
        <v>38.5</v>
      </c>
      <c r="O88">
        <v>13</v>
      </c>
      <c r="P88">
        <v>65535</v>
      </c>
      <c r="Q88">
        <v>9981</v>
      </c>
      <c r="R88">
        <v>-32767</v>
      </c>
      <c r="S88">
        <v>35.5</v>
      </c>
      <c r="T88">
        <v>13</v>
      </c>
      <c r="U88">
        <v>100</v>
      </c>
      <c r="V88">
        <v>34800</v>
      </c>
      <c r="W88">
        <v>5000</v>
      </c>
      <c r="X88" t="s">
        <v>823</v>
      </c>
      <c r="Y88" t="s">
        <v>830</v>
      </c>
      <c r="Z88" t="s">
        <v>828</v>
      </c>
      <c r="AA88">
        <v>4</v>
      </c>
      <c r="AB88">
        <v>6</v>
      </c>
      <c r="AC88">
        <v>76</v>
      </c>
      <c r="AD88">
        <v>4</v>
      </c>
      <c r="AE88">
        <v>2769</v>
      </c>
      <c r="AF88">
        <v>5024</v>
      </c>
      <c r="AG88">
        <v>109</v>
      </c>
      <c r="AH88">
        <v>2251</v>
      </c>
      <c r="AI88">
        <v>4</v>
      </c>
      <c r="AJ88">
        <v>87</v>
      </c>
      <c r="AK88">
        <v>1648</v>
      </c>
      <c r="AL88">
        <v>1732</v>
      </c>
      <c r="AM88">
        <v>11</v>
      </c>
      <c r="AN88">
        <v>887</v>
      </c>
      <c r="AO88" t="s">
        <v>826</v>
      </c>
    </row>
    <row r="89" spans="1:41">
      <c r="A89">
        <v>81</v>
      </c>
      <c r="B89" s="2">
        <v>45296.6165277778</v>
      </c>
      <c r="C89">
        <v>117.627</v>
      </c>
      <c r="D89" t="s">
        <v>821</v>
      </c>
      <c r="E89" t="s">
        <v>822</v>
      </c>
      <c r="F89">
        <v>56</v>
      </c>
      <c r="G89">
        <f t="shared" si="1"/>
        <v>0</v>
      </c>
      <c r="H89">
        <v>1</v>
      </c>
      <c r="I89">
        <v>2769</v>
      </c>
      <c r="J89">
        <v>5024</v>
      </c>
      <c r="K89">
        <v>29432</v>
      </c>
      <c r="L89" s="1">
        <v>-12493</v>
      </c>
      <c r="M89">
        <v>-12487</v>
      </c>
      <c r="N89">
        <v>38.5</v>
      </c>
      <c r="O89">
        <v>13</v>
      </c>
      <c r="P89">
        <v>65535</v>
      </c>
      <c r="Q89">
        <v>9981</v>
      </c>
      <c r="R89">
        <v>-32767</v>
      </c>
      <c r="S89">
        <v>35.5</v>
      </c>
      <c r="T89">
        <v>13</v>
      </c>
      <c r="U89">
        <v>100</v>
      </c>
      <c r="V89">
        <v>34800</v>
      </c>
      <c r="W89">
        <v>5000</v>
      </c>
      <c r="X89" t="s">
        <v>823</v>
      </c>
      <c r="Y89" t="s">
        <v>830</v>
      </c>
      <c r="Z89" t="s">
        <v>828</v>
      </c>
      <c r="AA89">
        <v>4</v>
      </c>
      <c r="AB89">
        <v>6</v>
      </c>
      <c r="AC89">
        <v>76</v>
      </c>
      <c r="AD89">
        <v>4</v>
      </c>
      <c r="AE89">
        <v>2766</v>
      </c>
      <c r="AF89">
        <v>5024</v>
      </c>
      <c r="AG89">
        <v>110</v>
      </c>
      <c r="AH89">
        <v>2254</v>
      </c>
      <c r="AI89">
        <v>4</v>
      </c>
      <c r="AJ89">
        <v>87</v>
      </c>
      <c r="AK89">
        <v>1648</v>
      </c>
      <c r="AL89">
        <v>1735</v>
      </c>
      <c r="AM89">
        <v>11</v>
      </c>
      <c r="AN89">
        <v>909</v>
      </c>
      <c r="AO89" t="s">
        <v>826</v>
      </c>
    </row>
    <row r="90" spans="1:41">
      <c r="A90">
        <v>82</v>
      </c>
      <c r="B90" s="2">
        <v>45296.6165625</v>
      </c>
      <c r="C90">
        <v>119.974</v>
      </c>
      <c r="D90" t="s">
        <v>821</v>
      </c>
      <c r="E90" t="s">
        <v>822</v>
      </c>
      <c r="F90">
        <v>55</v>
      </c>
      <c r="G90">
        <f t="shared" si="1"/>
        <v>1</v>
      </c>
      <c r="H90">
        <v>1</v>
      </c>
      <c r="I90">
        <v>2759</v>
      </c>
      <c r="J90">
        <v>5024</v>
      </c>
      <c r="K90">
        <v>29416</v>
      </c>
      <c r="L90" s="1">
        <v>-12495</v>
      </c>
      <c r="M90">
        <v>-12489</v>
      </c>
      <c r="N90">
        <v>38.6</v>
      </c>
      <c r="O90">
        <v>13</v>
      </c>
      <c r="P90">
        <v>65535</v>
      </c>
      <c r="Q90">
        <v>9944</v>
      </c>
      <c r="R90">
        <v>-32767</v>
      </c>
      <c r="S90">
        <v>35.5</v>
      </c>
      <c r="T90">
        <v>13</v>
      </c>
      <c r="U90">
        <v>100</v>
      </c>
      <c r="V90">
        <v>34800</v>
      </c>
      <c r="W90">
        <v>5000</v>
      </c>
      <c r="X90" t="s">
        <v>823</v>
      </c>
      <c r="Y90" t="s">
        <v>830</v>
      </c>
      <c r="Z90" t="s">
        <v>828</v>
      </c>
      <c r="AA90">
        <v>4</v>
      </c>
      <c r="AB90">
        <v>6</v>
      </c>
      <c r="AC90">
        <v>76</v>
      </c>
      <c r="AD90">
        <v>4</v>
      </c>
      <c r="AE90">
        <v>2759</v>
      </c>
      <c r="AF90">
        <v>5024</v>
      </c>
      <c r="AG90">
        <v>112</v>
      </c>
      <c r="AH90">
        <v>2261</v>
      </c>
      <c r="AI90">
        <v>4</v>
      </c>
      <c r="AJ90">
        <v>87</v>
      </c>
      <c r="AK90">
        <v>1648</v>
      </c>
      <c r="AL90">
        <v>1742</v>
      </c>
      <c r="AM90">
        <v>11</v>
      </c>
      <c r="AN90">
        <v>906</v>
      </c>
      <c r="AO90" t="s">
        <v>826</v>
      </c>
    </row>
    <row r="91" spans="1:41">
      <c r="A91">
        <v>83</v>
      </c>
      <c r="B91" s="2">
        <v>45296.6165740741</v>
      </c>
      <c r="C91">
        <v>120.918</v>
      </c>
      <c r="D91" t="s">
        <v>821</v>
      </c>
      <c r="E91" t="s">
        <v>822</v>
      </c>
      <c r="F91">
        <v>55</v>
      </c>
      <c r="G91">
        <f t="shared" si="1"/>
        <v>0</v>
      </c>
      <c r="H91">
        <v>1</v>
      </c>
      <c r="I91">
        <v>2755</v>
      </c>
      <c r="J91">
        <v>5024</v>
      </c>
      <c r="K91">
        <v>29416</v>
      </c>
      <c r="L91" s="1">
        <v>-12493</v>
      </c>
      <c r="M91">
        <v>-12489</v>
      </c>
      <c r="N91">
        <v>38.6</v>
      </c>
      <c r="O91">
        <v>13</v>
      </c>
      <c r="P91">
        <v>65535</v>
      </c>
      <c r="Q91">
        <v>9930</v>
      </c>
      <c r="R91">
        <v>-32767</v>
      </c>
      <c r="S91">
        <v>35.5</v>
      </c>
      <c r="T91">
        <v>13</v>
      </c>
      <c r="U91">
        <v>100</v>
      </c>
      <c r="V91">
        <v>34800</v>
      </c>
      <c r="W91">
        <v>5000</v>
      </c>
      <c r="X91" t="s">
        <v>823</v>
      </c>
      <c r="Y91" t="s">
        <v>830</v>
      </c>
      <c r="Z91" t="s">
        <v>828</v>
      </c>
      <c r="AA91">
        <v>4</v>
      </c>
      <c r="AB91">
        <v>6</v>
      </c>
      <c r="AC91">
        <v>76</v>
      </c>
      <c r="AD91">
        <v>4</v>
      </c>
      <c r="AE91">
        <v>2755</v>
      </c>
      <c r="AF91">
        <v>5024</v>
      </c>
      <c r="AG91">
        <v>113</v>
      </c>
      <c r="AH91">
        <v>2265</v>
      </c>
      <c r="AI91">
        <v>4</v>
      </c>
      <c r="AJ91">
        <v>87</v>
      </c>
      <c r="AK91">
        <v>1648</v>
      </c>
      <c r="AL91">
        <v>1746</v>
      </c>
      <c r="AM91">
        <v>11</v>
      </c>
      <c r="AN91">
        <v>902</v>
      </c>
      <c r="AO91" t="s">
        <v>826</v>
      </c>
    </row>
    <row r="92" spans="1:41">
      <c r="A92">
        <v>84</v>
      </c>
      <c r="B92" s="2">
        <v>45296.6165972222</v>
      </c>
      <c r="C92">
        <v>123.278</v>
      </c>
      <c r="D92" t="s">
        <v>821</v>
      </c>
      <c r="E92" t="s">
        <v>822</v>
      </c>
      <c r="F92">
        <v>55</v>
      </c>
      <c r="G92">
        <f t="shared" si="1"/>
        <v>0</v>
      </c>
      <c r="H92">
        <v>1</v>
      </c>
      <c r="I92">
        <v>2748</v>
      </c>
      <c r="J92">
        <v>5024</v>
      </c>
      <c r="K92">
        <v>29400</v>
      </c>
      <c r="L92" s="1">
        <v>-12493</v>
      </c>
      <c r="M92">
        <v>-12490</v>
      </c>
      <c r="N92">
        <v>38.6</v>
      </c>
      <c r="O92">
        <v>13</v>
      </c>
      <c r="P92">
        <v>65535</v>
      </c>
      <c r="Q92">
        <v>9904</v>
      </c>
      <c r="R92">
        <v>-32767</v>
      </c>
      <c r="S92">
        <v>35.6</v>
      </c>
      <c r="T92">
        <v>13</v>
      </c>
      <c r="U92">
        <v>100</v>
      </c>
      <c r="V92">
        <v>34800</v>
      </c>
      <c r="W92">
        <v>5000</v>
      </c>
      <c r="X92" t="s">
        <v>823</v>
      </c>
      <c r="Y92" t="s">
        <v>830</v>
      </c>
      <c r="Z92" t="s">
        <v>828</v>
      </c>
      <c r="AA92">
        <v>4</v>
      </c>
      <c r="AB92">
        <v>6</v>
      </c>
      <c r="AC92">
        <v>76</v>
      </c>
      <c r="AD92">
        <v>4</v>
      </c>
      <c r="AE92">
        <v>2748</v>
      </c>
      <c r="AF92">
        <v>5024</v>
      </c>
      <c r="AG92">
        <v>115</v>
      </c>
      <c r="AH92">
        <v>2272</v>
      </c>
      <c r="AI92">
        <v>4</v>
      </c>
      <c r="AJ92">
        <v>87</v>
      </c>
      <c r="AK92">
        <v>1648</v>
      </c>
      <c r="AL92">
        <v>1753</v>
      </c>
      <c r="AM92">
        <v>11</v>
      </c>
      <c r="AN92">
        <v>913</v>
      </c>
      <c r="AO92" t="s">
        <v>826</v>
      </c>
    </row>
    <row r="93" spans="1:41">
      <c r="A93">
        <v>85</v>
      </c>
      <c r="B93" s="2">
        <v>45296.6166087963</v>
      </c>
      <c r="C93">
        <v>124.229</v>
      </c>
      <c r="D93" t="s">
        <v>821</v>
      </c>
      <c r="E93" t="s">
        <v>822</v>
      </c>
      <c r="F93">
        <v>55</v>
      </c>
      <c r="G93">
        <f t="shared" si="1"/>
        <v>0</v>
      </c>
      <c r="H93">
        <v>1</v>
      </c>
      <c r="I93">
        <v>2745</v>
      </c>
      <c r="J93">
        <v>5024</v>
      </c>
      <c r="K93">
        <v>29392</v>
      </c>
      <c r="L93" s="1">
        <v>-12495</v>
      </c>
      <c r="M93">
        <v>-12490</v>
      </c>
      <c r="N93">
        <v>38.6</v>
      </c>
      <c r="O93">
        <v>13</v>
      </c>
      <c r="P93">
        <v>65535</v>
      </c>
      <c r="Q93">
        <v>9893</v>
      </c>
      <c r="R93">
        <v>-32767</v>
      </c>
      <c r="S93">
        <v>35.6</v>
      </c>
      <c r="T93">
        <v>13</v>
      </c>
      <c r="U93">
        <v>100</v>
      </c>
      <c r="V93">
        <v>34800</v>
      </c>
      <c r="W93">
        <v>5000</v>
      </c>
      <c r="X93" t="s">
        <v>823</v>
      </c>
      <c r="Y93" t="s">
        <v>830</v>
      </c>
      <c r="Z93" t="s">
        <v>828</v>
      </c>
      <c r="AA93">
        <v>4</v>
      </c>
      <c r="AB93">
        <v>6</v>
      </c>
      <c r="AC93">
        <v>76</v>
      </c>
      <c r="AD93">
        <v>4</v>
      </c>
      <c r="AE93">
        <v>2745</v>
      </c>
      <c r="AF93">
        <v>5024</v>
      </c>
      <c r="AG93">
        <v>116</v>
      </c>
      <c r="AH93">
        <v>2275</v>
      </c>
      <c r="AI93">
        <v>4</v>
      </c>
      <c r="AJ93">
        <v>87</v>
      </c>
      <c r="AK93">
        <v>1648</v>
      </c>
      <c r="AL93">
        <v>1756</v>
      </c>
      <c r="AM93">
        <v>11</v>
      </c>
      <c r="AN93">
        <v>902</v>
      </c>
      <c r="AO93" t="s">
        <v>826</v>
      </c>
    </row>
    <row r="94" spans="1:41">
      <c r="A94">
        <v>86</v>
      </c>
      <c r="B94" s="2">
        <v>45296.6166203704</v>
      </c>
      <c r="C94">
        <v>125.171</v>
      </c>
      <c r="D94" t="s">
        <v>821</v>
      </c>
      <c r="E94" t="s">
        <v>822</v>
      </c>
      <c r="F94">
        <v>55</v>
      </c>
      <c r="G94">
        <f t="shared" si="1"/>
        <v>0</v>
      </c>
      <c r="H94">
        <v>1</v>
      </c>
      <c r="I94">
        <v>2742</v>
      </c>
      <c r="J94">
        <v>5024</v>
      </c>
      <c r="K94">
        <v>29384</v>
      </c>
      <c r="L94" s="1">
        <v>-12493</v>
      </c>
      <c r="M94">
        <v>-12490</v>
      </c>
      <c r="N94">
        <v>38.6</v>
      </c>
      <c r="O94">
        <v>13</v>
      </c>
      <c r="P94">
        <v>65535</v>
      </c>
      <c r="Q94">
        <v>9882</v>
      </c>
      <c r="R94">
        <v>-32767</v>
      </c>
      <c r="S94">
        <v>35.6</v>
      </c>
      <c r="T94">
        <v>13</v>
      </c>
      <c r="U94">
        <v>100</v>
      </c>
      <c r="V94">
        <v>34800</v>
      </c>
      <c r="W94">
        <v>5000</v>
      </c>
      <c r="X94" t="s">
        <v>823</v>
      </c>
      <c r="Y94" t="s">
        <v>830</v>
      </c>
      <c r="Z94" t="s">
        <v>828</v>
      </c>
      <c r="AA94">
        <v>4</v>
      </c>
      <c r="AB94">
        <v>6</v>
      </c>
      <c r="AC94">
        <v>76</v>
      </c>
      <c r="AD94">
        <v>4</v>
      </c>
      <c r="AE94">
        <v>2742</v>
      </c>
      <c r="AF94">
        <v>5024</v>
      </c>
      <c r="AG94">
        <v>117</v>
      </c>
      <c r="AH94">
        <v>2278</v>
      </c>
      <c r="AI94">
        <v>4</v>
      </c>
      <c r="AJ94">
        <v>87</v>
      </c>
      <c r="AK94">
        <v>1648</v>
      </c>
      <c r="AL94">
        <v>1759</v>
      </c>
      <c r="AM94">
        <v>11</v>
      </c>
      <c r="AN94">
        <v>914</v>
      </c>
      <c r="AO94" t="s">
        <v>826</v>
      </c>
    </row>
    <row r="95" spans="1:41">
      <c r="A95">
        <v>87</v>
      </c>
      <c r="B95" s="2">
        <v>45296.6166435185</v>
      </c>
      <c r="C95">
        <v>127.526</v>
      </c>
      <c r="D95" t="s">
        <v>821</v>
      </c>
      <c r="E95" t="s">
        <v>822</v>
      </c>
      <c r="F95">
        <v>55</v>
      </c>
      <c r="G95">
        <f t="shared" si="1"/>
        <v>0</v>
      </c>
      <c r="H95">
        <v>1</v>
      </c>
      <c r="I95">
        <v>2735</v>
      </c>
      <c r="J95">
        <v>5024</v>
      </c>
      <c r="K95">
        <v>29376</v>
      </c>
      <c r="L95" s="1">
        <v>-12493</v>
      </c>
      <c r="M95">
        <v>-12491</v>
      </c>
      <c r="N95">
        <v>38.6</v>
      </c>
      <c r="O95">
        <v>13</v>
      </c>
      <c r="P95">
        <v>65535</v>
      </c>
      <c r="Q95">
        <v>9856</v>
      </c>
      <c r="R95">
        <v>-32767</v>
      </c>
      <c r="S95">
        <v>35.6</v>
      </c>
      <c r="T95">
        <v>13</v>
      </c>
      <c r="U95">
        <v>100</v>
      </c>
      <c r="V95">
        <v>34800</v>
      </c>
      <c r="W95">
        <v>5000</v>
      </c>
      <c r="X95" t="s">
        <v>823</v>
      </c>
      <c r="Y95" t="s">
        <v>830</v>
      </c>
      <c r="Z95" t="s">
        <v>828</v>
      </c>
      <c r="AA95">
        <v>4</v>
      </c>
      <c r="AB95">
        <v>6</v>
      </c>
      <c r="AC95">
        <v>76</v>
      </c>
      <c r="AD95">
        <v>4</v>
      </c>
      <c r="AE95">
        <v>2731</v>
      </c>
      <c r="AF95">
        <v>5024</v>
      </c>
      <c r="AG95">
        <v>120</v>
      </c>
      <c r="AH95">
        <v>2289</v>
      </c>
      <c r="AI95">
        <v>4</v>
      </c>
      <c r="AJ95">
        <v>87</v>
      </c>
      <c r="AK95">
        <v>1648</v>
      </c>
      <c r="AL95">
        <v>1770</v>
      </c>
      <c r="AM95">
        <v>11</v>
      </c>
      <c r="AN95">
        <v>930</v>
      </c>
      <c r="AO95" t="s">
        <v>826</v>
      </c>
    </row>
    <row r="96" spans="1:41">
      <c r="A96">
        <v>88</v>
      </c>
      <c r="B96" s="2">
        <v>45296.6166550926</v>
      </c>
      <c r="C96">
        <v>128.494</v>
      </c>
      <c r="D96" t="s">
        <v>821</v>
      </c>
      <c r="E96" t="s">
        <v>822</v>
      </c>
      <c r="F96">
        <v>55</v>
      </c>
      <c r="G96">
        <f t="shared" si="1"/>
        <v>0</v>
      </c>
      <c r="H96">
        <v>1</v>
      </c>
      <c r="I96">
        <v>2731</v>
      </c>
      <c r="J96">
        <v>5024</v>
      </c>
      <c r="K96">
        <v>29368</v>
      </c>
      <c r="L96" s="1">
        <v>-12495</v>
      </c>
      <c r="M96">
        <v>-12491</v>
      </c>
      <c r="N96">
        <v>38.6</v>
      </c>
      <c r="O96">
        <v>13</v>
      </c>
      <c r="P96">
        <v>65535</v>
      </c>
      <c r="Q96">
        <v>9841</v>
      </c>
      <c r="R96">
        <v>-32767</v>
      </c>
      <c r="S96">
        <v>35.6</v>
      </c>
      <c r="T96">
        <v>13</v>
      </c>
      <c r="U96">
        <v>100</v>
      </c>
      <c r="V96">
        <v>34800</v>
      </c>
      <c r="W96">
        <v>5000</v>
      </c>
      <c r="X96" t="s">
        <v>823</v>
      </c>
      <c r="Y96" t="s">
        <v>830</v>
      </c>
      <c r="Z96" t="s">
        <v>828</v>
      </c>
      <c r="AA96">
        <v>4</v>
      </c>
      <c r="AB96">
        <v>6</v>
      </c>
      <c r="AC96">
        <v>76</v>
      </c>
      <c r="AD96">
        <v>4</v>
      </c>
      <c r="AE96">
        <v>2728</v>
      </c>
      <c r="AF96">
        <v>5024</v>
      </c>
      <c r="AG96">
        <v>121</v>
      </c>
      <c r="AH96">
        <v>2292</v>
      </c>
      <c r="AI96">
        <v>4</v>
      </c>
      <c r="AJ96">
        <v>87</v>
      </c>
      <c r="AK96">
        <v>1648</v>
      </c>
      <c r="AL96">
        <v>1773</v>
      </c>
      <c r="AM96">
        <v>11</v>
      </c>
      <c r="AN96">
        <v>903</v>
      </c>
      <c r="AO96" t="s">
        <v>826</v>
      </c>
    </row>
    <row r="97" spans="1:41">
      <c r="A97">
        <v>89</v>
      </c>
      <c r="B97" s="2">
        <v>45296.6166666667</v>
      </c>
      <c r="C97">
        <v>129.431</v>
      </c>
      <c r="D97" t="s">
        <v>821</v>
      </c>
      <c r="E97" t="s">
        <v>822</v>
      </c>
      <c r="F97">
        <v>55</v>
      </c>
      <c r="G97">
        <f t="shared" si="1"/>
        <v>0</v>
      </c>
      <c r="H97">
        <v>1</v>
      </c>
      <c r="I97">
        <v>2728</v>
      </c>
      <c r="J97">
        <v>5024</v>
      </c>
      <c r="K97">
        <v>29360</v>
      </c>
      <c r="L97" s="1">
        <v>-12495</v>
      </c>
      <c r="M97">
        <v>-12491</v>
      </c>
      <c r="N97">
        <v>38.7</v>
      </c>
      <c r="O97">
        <v>13</v>
      </c>
      <c r="P97">
        <v>65535</v>
      </c>
      <c r="Q97">
        <v>9830</v>
      </c>
      <c r="R97">
        <v>-32767</v>
      </c>
      <c r="S97">
        <v>35.6</v>
      </c>
      <c r="T97">
        <v>13</v>
      </c>
      <c r="U97">
        <v>100</v>
      </c>
      <c r="V97">
        <v>34800</v>
      </c>
      <c r="W97">
        <v>5000</v>
      </c>
      <c r="X97" t="s">
        <v>823</v>
      </c>
      <c r="Y97" t="s">
        <v>830</v>
      </c>
      <c r="Z97" t="s">
        <v>828</v>
      </c>
      <c r="AA97">
        <v>4</v>
      </c>
      <c r="AB97">
        <v>6</v>
      </c>
      <c r="AC97">
        <v>76</v>
      </c>
      <c r="AD97">
        <v>4</v>
      </c>
      <c r="AE97">
        <v>2728</v>
      </c>
      <c r="AF97">
        <v>5024</v>
      </c>
      <c r="AG97">
        <v>122</v>
      </c>
      <c r="AH97">
        <v>2296</v>
      </c>
      <c r="AI97">
        <v>4</v>
      </c>
      <c r="AJ97">
        <v>87</v>
      </c>
      <c r="AK97">
        <v>1648</v>
      </c>
      <c r="AL97">
        <v>1777</v>
      </c>
      <c r="AM97">
        <v>11</v>
      </c>
      <c r="AN97">
        <v>904</v>
      </c>
      <c r="AO97" t="s">
        <v>826</v>
      </c>
    </row>
    <row r="98" spans="1:41">
      <c r="A98">
        <v>90</v>
      </c>
      <c r="B98" s="2">
        <v>45296.6166898148</v>
      </c>
      <c r="C98">
        <v>131.774</v>
      </c>
      <c r="D98" t="s">
        <v>821</v>
      </c>
      <c r="E98" t="s">
        <v>822</v>
      </c>
      <c r="F98">
        <v>55</v>
      </c>
      <c r="G98">
        <f t="shared" si="1"/>
        <v>0</v>
      </c>
      <c r="H98">
        <v>1</v>
      </c>
      <c r="I98">
        <v>2721</v>
      </c>
      <c r="J98">
        <v>5024</v>
      </c>
      <c r="K98">
        <v>29352</v>
      </c>
      <c r="L98" s="1">
        <v>-12493</v>
      </c>
      <c r="M98">
        <v>-12492</v>
      </c>
      <c r="N98">
        <v>38.7</v>
      </c>
      <c r="O98">
        <v>13</v>
      </c>
      <c r="P98">
        <v>65535</v>
      </c>
      <c r="Q98">
        <v>9790</v>
      </c>
      <c r="R98">
        <v>-32767</v>
      </c>
      <c r="S98">
        <v>35.7</v>
      </c>
      <c r="T98">
        <v>13</v>
      </c>
      <c r="U98">
        <v>100</v>
      </c>
      <c r="V98">
        <v>34800</v>
      </c>
      <c r="W98">
        <v>5000</v>
      </c>
      <c r="X98" t="s">
        <v>823</v>
      </c>
      <c r="Y98" t="s">
        <v>830</v>
      </c>
      <c r="Z98" t="s">
        <v>828</v>
      </c>
      <c r="AA98">
        <v>4</v>
      </c>
      <c r="AB98">
        <v>6</v>
      </c>
      <c r="AC98">
        <v>76</v>
      </c>
      <c r="AD98">
        <v>4</v>
      </c>
      <c r="AE98">
        <v>2717</v>
      </c>
      <c r="AF98">
        <v>5024</v>
      </c>
      <c r="AG98">
        <v>124</v>
      </c>
      <c r="AH98">
        <v>2303</v>
      </c>
      <c r="AI98">
        <v>4</v>
      </c>
      <c r="AJ98">
        <v>87</v>
      </c>
      <c r="AK98">
        <v>1648</v>
      </c>
      <c r="AL98">
        <v>1784</v>
      </c>
      <c r="AM98">
        <v>11</v>
      </c>
      <c r="AN98">
        <v>904</v>
      </c>
      <c r="AO98" t="s">
        <v>826</v>
      </c>
    </row>
    <row r="99" spans="1:41">
      <c r="A99">
        <v>91</v>
      </c>
      <c r="B99" s="2">
        <v>45296.6167013889</v>
      </c>
      <c r="C99">
        <v>132.716</v>
      </c>
      <c r="D99" t="s">
        <v>821</v>
      </c>
      <c r="E99" t="s">
        <v>822</v>
      </c>
      <c r="F99">
        <v>55</v>
      </c>
      <c r="G99">
        <f t="shared" si="1"/>
        <v>0</v>
      </c>
      <c r="H99">
        <v>1</v>
      </c>
      <c r="I99">
        <v>2717</v>
      </c>
      <c r="J99">
        <v>5024</v>
      </c>
      <c r="K99">
        <v>29352</v>
      </c>
      <c r="L99" s="1">
        <v>-12493</v>
      </c>
      <c r="M99">
        <v>-12492</v>
      </c>
      <c r="N99">
        <v>38.7</v>
      </c>
      <c r="O99">
        <v>13</v>
      </c>
      <c r="P99">
        <v>65535</v>
      </c>
      <c r="Q99">
        <v>9779</v>
      </c>
      <c r="R99">
        <v>-32767</v>
      </c>
      <c r="S99">
        <v>35.7</v>
      </c>
      <c r="T99">
        <v>13</v>
      </c>
      <c r="U99">
        <v>100</v>
      </c>
      <c r="V99">
        <v>34800</v>
      </c>
      <c r="W99">
        <v>5000</v>
      </c>
      <c r="X99" t="s">
        <v>823</v>
      </c>
      <c r="Y99" t="s">
        <v>830</v>
      </c>
      <c r="Z99" t="s">
        <v>828</v>
      </c>
      <c r="AA99">
        <v>4</v>
      </c>
      <c r="AB99">
        <v>6</v>
      </c>
      <c r="AC99">
        <v>76</v>
      </c>
      <c r="AD99">
        <v>4</v>
      </c>
      <c r="AE99">
        <v>2714</v>
      </c>
      <c r="AF99">
        <v>5024</v>
      </c>
      <c r="AG99">
        <v>125</v>
      </c>
      <c r="AH99">
        <v>2306</v>
      </c>
      <c r="AI99">
        <v>4</v>
      </c>
      <c r="AJ99">
        <v>87</v>
      </c>
      <c r="AK99">
        <v>1648</v>
      </c>
      <c r="AL99">
        <v>1787</v>
      </c>
      <c r="AM99">
        <v>11</v>
      </c>
      <c r="AN99">
        <v>900</v>
      </c>
      <c r="AO99" t="s">
        <v>826</v>
      </c>
    </row>
    <row r="100" spans="1:41">
      <c r="A100">
        <v>92</v>
      </c>
      <c r="B100" s="2">
        <v>45296.616712963</v>
      </c>
      <c r="C100">
        <v>133.657</v>
      </c>
      <c r="D100" t="s">
        <v>821</v>
      </c>
      <c r="E100" t="s">
        <v>822</v>
      </c>
      <c r="F100">
        <v>55</v>
      </c>
      <c r="G100">
        <f t="shared" si="1"/>
        <v>0</v>
      </c>
      <c r="H100">
        <v>1</v>
      </c>
      <c r="I100">
        <v>2714</v>
      </c>
      <c r="J100">
        <v>5024</v>
      </c>
      <c r="K100">
        <v>29344</v>
      </c>
      <c r="L100" s="1">
        <v>-12495</v>
      </c>
      <c r="M100">
        <v>-12492</v>
      </c>
      <c r="N100">
        <v>38.7</v>
      </c>
      <c r="O100">
        <v>13</v>
      </c>
      <c r="P100">
        <v>65535</v>
      </c>
      <c r="Q100">
        <v>9779</v>
      </c>
      <c r="R100">
        <v>-32767</v>
      </c>
      <c r="S100">
        <v>35.7</v>
      </c>
      <c r="T100">
        <v>13</v>
      </c>
      <c r="U100">
        <v>100</v>
      </c>
      <c r="V100">
        <v>34800</v>
      </c>
      <c r="W100">
        <v>5000</v>
      </c>
      <c r="X100" t="s">
        <v>823</v>
      </c>
      <c r="Y100" t="s">
        <v>830</v>
      </c>
      <c r="Z100" t="s">
        <v>828</v>
      </c>
      <c r="AA100">
        <v>4</v>
      </c>
      <c r="AB100">
        <v>6</v>
      </c>
      <c r="AC100">
        <v>76</v>
      </c>
      <c r="AD100">
        <v>4</v>
      </c>
      <c r="AE100">
        <v>2710</v>
      </c>
      <c r="AF100">
        <v>5024</v>
      </c>
      <c r="AG100">
        <v>126</v>
      </c>
      <c r="AH100">
        <v>2310</v>
      </c>
      <c r="AI100">
        <v>4</v>
      </c>
      <c r="AJ100">
        <v>87</v>
      </c>
      <c r="AK100">
        <v>1648</v>
      </c>
      <c r="AL100">
        <v>1791</v>
      </c>
      <c r="AM100">
        <v>11</v>
      </c>
      <c r="AN100">
        <v>912</v>
      </c>
      <c r="AO100" t="s">
        <v>826</v>
      </c>
    </row>
    <row r="101" spans="1:41">
      <c r="A101">
        <v>93</v>
      </c>
      <c r="B101" s="2">
        <v>45296.6167476852</v>
      </c>
      <c r="C101">
        <v>136.032</v>
      </c>
      <c r="D101" t="s">
        <v>821</v>
      </c>
      <c r="E101" t="s">
        <v>822</v>
      </c>
      <c r="F101">
        <v>54</v>
      </c>
      <c r="G101">
        <f t="shared" si="1"/>
        <v>1</v>
      </c>
      <c r="H101">
        <v>1</v>
      </c>
      <c r="I101">
        <v>2703</v>
      </c>
      <c r="J101">
        <v>5024</v>
      </c>
      <c r="K101">
        <v>29328</v>
      </c>
      <c r="L101" s="1">
        <v>-12495</v>
      </c>
      <c r="M101">
        <v>-12492</v>
      </c>
      <c r="N101">
        <v>38.7</v>
      </c>
      <c r="O101">
        <v>13</v>
      </c>
      <c r="P101">
        <v>65535</v>
      </c>
      <c r="Q101">
        <v>9739</v>
      </c>
      <c r="R101">
        <v>-32767</v>
      </c>
      <c r="S101">
        <v>35.7</v>
      </c>
      <c r="T101">
        <v>13</v>
      </c>
      <c r="U101">
        <v>100</v>
      </c>
      <c r="V101">
        <v>34800</v>
      </c>
      <c r="W101">
        <v>5000</v>
      </c>
      <c r="X101" t="s">
        <v>823</v>
      </c>
      <c r="Y101" t="s">
        <v>830</v>
      </c>
      <c r="Z101" t="s">
        <v>828</v>
      </c>
      <c r="AA101">
        <v>4</v>
      </c>
      <c r="AB101">
        <v>6</v>
      </c>
      <c r="AC101">
        <v>76</v>
      </c>
      <c r="AD101">
        <v>4</v>
      </c>
      <c r="AE101">
        <v>2703</v>
      </c>
      <c r="AF101">
        <v>5024</v>
      </c>
      <c r="AG101">
        <v>128</v>
      </c>
      <c r="AH101">
        <v>2317</v>
      </c>
      <c r="AI101">
        <v>4</v>
      </c>
      <c r="AJ101">
        <v>87</v>
      </c>
      <c r="AK101">
        <v>1648</v>
      </c>
      <c r="AL101">
        <v>1798</v>
      </c>
      <c r="AM101">
        <v>11</v>
      </c>
      <c r="AN101">
        <v>908</v>
      </c>
      <c r="AO101" t="s">
        <v>826</v>
      </c>
    </row>
    <row r="102" spans="1:41">
      <c r="A102">
        <v>94</v>
      </c>
      <c r="B102" s="2">
        <v>45296.6167592593</v>
      </c>
      <c r="C102">
        <v>136.981</v>
      </c>
      <c r="D102" t="s">
        <v>821</v>
      </c>
      <c r="E102" t="s">
        <v>822</v>
      </c>
      <c r="F102">
        <v>54</v>
      </c>
      <c r="G102">
        <f t="shared" si="1"/>
        <v>0</v>
      </c>
      <c r="H102">
        <v>1</v>
      </c>
      <c r="I102">
        <v>2700</v>
      </c>
      <c r="J102">
        <v>5024</v>
      </c>
      <c r="K102">
        <v>29320</v>
      </c>
      <c r="L102" s="1">
        <v>-12495</v>
      </c>
      <c r="M102">
        <v>-12493</v>
      </c>
      <c r="N102">
        <v>38.7</v>
      </c>
      <c r="O102">
        <v>13</v>
      </c>
      <c r="P102">
        <v>65535</v>
      </c>
      <c r="Q102">
        <v>9728</v>
      </c>
      <c r="R102">
        <v>-32767</v>
      </c>
      <c r="S102">
        <v>35.7</v>
      </c>
      <c r="T102">
        <v>13</v>
      </c>
      <c r="U102">
        <v>100</v>
      </c>
      <c r="V102">
        <v>34800</v>
      </c>
      <c r="W102">
        <v>5000</v>
      </c>
      <c r="X102" t="s">
        <v>823</v>
      </c>
      <c r="Y102" t="s">
        <v>830</v>
      </c>
      <c r="Z102" t="s">
        <v>828</v>
      </c>
      <c r="AA102">
        <v>4</v>
      </c>
      <c r="AB102">
        <v>6</v>
      </c>
      <c r="AC102">
        <v>76</v>
      </c>
      <c r="AD102">
        <v>4</v>
      </c>
      <c r="AE102">
        <v>2700</v>
      </c>
      <c r="AF102">
        <v>5024</v>
      </c>
      <c r="AG102">
        <v>129</v>
      </c>
      <c r="AH102">
        <v>2320</v>
      </c>
      <c r="AI102">
        <v>4</v>
      </c>
      <c r="AJ102">
        <v>87</v>
      </c>
      <c r="AK102">
        <v>1648</v>
      </c>
      <c r="AL102">
        <v>1801</v>
      </c>
      <c r="AM102">
        <v>11</v>
      </c>
      <c r="AN102">
        <v>914</v>
      </c>
      <c r="AO102" t="s">
        <v>826</v>
      </c>
    </row>
    <row r="103" spans="1:41">
      <c r="A103">
        <v>95</v>
      </c>
      <c r="B103" s="2">
        <v>45296.6167824074</v>
      </c>
      <c r="C103">
        <v>139.354</v>
      </c>
      <c r="D103" t="s">
        <v>821</v>
      </c>
      <c r="E103" t="s">
        <v>822</v>
      </c>
      <c r="F103">
        <v>54</v>
      </c>
      <c r="G103">
        <f t="shared" si="1"/>
        <v>0</v>
      </c>
      <c r="H103">
        <v>1</v>
      </c>
      <c r="I103">
        <v>2693</v>
      </c>
      <c r="J103">
        <v>5024</v>
      </c>
      <c r="K103">
        <v>29312</v>
      </c>
      <c r="L103" s="1">
        <v>-12495</v>
      </c>
      <c r="M103">
        <v>-12493</v>
      </c>
      <c r="N103">
        <v>38.8</v>
      </c>
      <c r="O103">
        <v>13</v>
      </c>
      <c r="P103">
        <v>65535</v>
      </c>
      <c r="Q103">
        <v>9702</v>
      </c>
      <c r="R103">
        <v>-32767</v>
      </c>
      <c r="S103">
        <v>35.8</v>
      </c>
      <c r="T103">
        <v>13</v>
      </c>
      <c r="U103">
        <v>100</v>
      </c>
      <c r="V103">
        <v>34800</v>
      </c>
      <c r="W103">
        <v>5000</v>
      </c>
      <c r="X103" t="s">
        <v>823</v>
      </c>
      <c r="Y103" t="s">
        <v>830</v>
      </c>
      <c r="Z103" t="s">
        <v>828</v>
      </c>
      <c r="AA103">
        <v>4</v>
      </c>
      <c r="AB103">
        <v>6</v>
      </c>
      <c r="AC103">
        <v>76</v>
      </c>
      <c r="AD103">
        <v>4</v>
      </c>
      <c r="AE103">
        <v>2693</v>
      </c>
      <c r="AF103">
        <v>5024</v>
      </c>
      <c r="AG103">
        <v>131</v>
      </c>
      <c r="AH103">
        <v>2327</v>
      </c>
      <c r="AI103">
        <v>4</v>
      </c>
      <c r="AJ103">
        <v>87</v>
      </c>
      <c r="AK103">
        <v>1648</v>
      </c>
      <c r="AL103">
        <v>1812</v>
      </c>
      <c r="AM103">
        <v>11</v>
      </c>
      <c r="AN103">
        <v>899</v>
      </c>
      <c r="AO103" t="s">
        <v>826</v>
      </c>
    </row>
    <row r="104" spans="1:41">
      <c r="A104">
        <v>96</v>
      </c>
      <c r="B104" s="2">
        <v>45296.6167939815</v>
      </c>
      <c r="C104">
        <v>140.305</v>
      </c>
      <c r="D104" t="s">
        <v>821</v>
      </c>
      <c r="E104" t="s">
        <v>822</v>
      </c>
      <c r="F104">
        <v>54</v>
      </c>
      <c r="G104">
        <f t="shared" si="1"/>
        <v>0</v>
      </c>
      <c r="H104">
        <v>1</v>
      </c>
      <c r="I104">
        <v>2689</v>
      </c>
      <c r="J104">
        <v>5024</v>
      </c>
      <c r="K104">
        <v>29304</v>
      </c>
      <c r="L104" s="1">
        <v>-12495</v>
      </c>
      <c r="M104">
        <v>-12493</v>
      </c>
      <c r="N104">
        <v>38.8</v>
      </c>
      <c r="O104">
        <v>13</v>
      </c>
      <c r="P104">
        <v>65535</v>
      </c>
      <c r="Q104">
        <v>9687</v>
      </c>
      <c r="R104">
        <v>-32767</v>
      </c>
      <c r="S104">
        <v>35.8</v>
      </c>
      <c r="T104">
        <v>13</v>
      </c>
      <c r="U104">
        <v>100</v>
      </c>
      <c r="V104">
        <v>34800</v>
      </c>
      <c r="W104">
        <v>5000</v>
      </c>
      <c r="X104" t="s">
        <v>823</v>
      </c>
      <c r="Y104" t="s">
        <v>830</v>
      </c>
      <c r="Z104" t="s">
        <v>828</v>
      </c>
      <c r="AA104">
        <v>4</v>
      </c>
      <c r="AB104">
        <v>6</v>
      </c>
      <c r="AC104">
        <v>76</v>
      </c>
      <c r="AD104">
        <v>4</v>
      </c>
      <c r="AE104">
        <v>2689</v>
      </c>
      <c r="AF104">
        <v>5024</v>
      </c>
      <c r="AG104">
        <v>132</v>
      </c>
      <c r="AH104">
        <v>2331</v>
      </c>
      <c r="AI104">
        <v>4</v>
      </c>
      <c r="AJ104">
        <v>87</v>
      </c>
      <c r="AK104">
        <v>1648</v>
      </c>
      <c r="AL104">
        <v>1812</v>
      </c>
      <c r="AM104">
        <v>11</v>
      </c>
      <c r="AN104">
        <v>903</v>
      </c>
      <c r="AO104" t="s">
        <v>826</v>
      </c>
    </row>
    <row r="105" spans="1:41">
      <c r="A105">
        <v>97</v>
      </c>
      <c r="B105" s="2">
        <v>45296.6168055556</v>
      </c>
      <c r="C105">
        <v>141.242</v>
      </c>
      <c r="D105" t="s">
        <v>821</v>
      </c>
      <c r="E105" t="s">
        <v>822</v>
      </c>
      <c r="F105">
        <v>54</v>
      </c>
      <c r="G105">
        <f t="shared" si="1"/>
        <v>0</v>
      </c>
      <c r="H105">
        <v>1</v>
      </c>
      <c r="I105">
        <v>2686</v>
      </c>
      <c r="J105">
        <v>5024</v>
      </c>
      <c r="K105">
        <v>29296</v>
      </c>
      <c r="L105" s="1">
        <v>-12493</v>
      </c>
      <c r="M105">
        <v>-12493</v>
      </c>
      <c r="N105">
        <v>38.8</v>
      </c>
      <c r="O105">
        <v>13</v>
      </c>
      <c r="P105">
        <v>65535</v>
      </c>
      <c r="Q105">
        <v>9677</v>
      </c>
      <c r="R105">
        <v>-32767</v>
      </c>
      <c r="S105">
        <v>35.8</v>
      </c>
      <c r="T105">
        <v>13</v>
      </c>
      <c r="U105">
        <v>100</v>
      </c>
      <c r="V105">
        <v>34800</v>
      </c>
      <c r="W105">
        <v>5000</v>
      </c>
      <c r="X105" t="s">
        <v>823</v>
      </c>
      <c r="Y105" t="s">
        <v>830</v>
      </c>
      <c r="Z105" t="s">
        <v>828</v>
      </c>
      <c r="AA105">
        <v>4</v>
      </c>
      <c r="AB105">
        <v>6</v>
      </c>
      <c r="AC105">
        <v>76</v>
      </c>
      <c r="AD105">
        <v>4</v>
      </c>
      <c r="AE105">
        <v>2686</v>
      </c>
      <c r="AF105">
        <v>5024</v>
      </c>
      <c r="AG105">
        <v>133</v>
      </c>
      <c r="AH105">
        <v>2334</v>
      </c>
      <c r="AI105">
        <v>4</v>
      </c>
      <c r="AJ105">
        <v>87</v>
      </c>
      <c r="AK105">
        <v>1648</v>
      </c>
      <c r="AL105">
        <v>1815</v>
      </c>
      <c r="AM105">
        <v>11</v>
      </c>
      <c r="AN105">
        <v>905</v>
      </c>
      <c r="AO105" t="s">
        <v>826</v>
      </c>
    </row>
    <row r="106" spans="1:41">
      <c r="A106">
        <v>98</v>
      </c>
      <c r="B106" s="2">
        <v>45296.6168287037</v>
      </c>
      <c r="C106">
        <v>143.606</v>
      </c>
      <c r="D106" t="s">
        <v>821</v>
      </c>
      <c r="E106" t="s">
        <v>822</v>
      </c>
      <c r="F106">
        <v>54</v>
      </c>
      <c r="G106">
        <f t="shared" si="1"/>
        <v>0</v>
      </c>
      <c r="H106">
        <v>1</v>
      </c>
      <c r="I106">
        <v>2679</v>
      </c>
      <c r="J106">
        <v>5024</v>
      </c>
      <c r="K106">
        <v>29288</v>
      </c>
      <c r="L106" s="1">
        <v>-12495</v>
      </c>
      <c r="M106">
        <v>-12493</v>
      </c>
      <c r="N106">
        <v>38.8</v>
      </c>
      <c r="O106">
        <v>13</v>
      </c>
      <c r="P106">
        <v>65535</v>
      </c>
      <c r="Q106">
        <v>9651</v>
      </c>
      <c r="R106">
        <v>-32767</v>
      </c>
      <c r="S106">
        <v>35.8</v>
      </c>
      <c r="T106">
        <v>13</v>
      </c>
      <c r="U106">
        <v>100</v>
      </c>
      <c r="V106">
        <v>34800</v>
      </c>
      <c r="W106">
        <v>5000</v>
      </c>
      <c r="X106" t="s">
        <v>823</v>
      </c>
      <c r="Y106" t="s">
        <v>830</v>
      </c>
      <c r="Z106" t="s">
        <v>828</v>
      </c>
      <c r="AA106">
        <v>4</v>
      </c>
      <c r="AB106">
        <v>6</v>
      </c>
      <c r="AC106">
        <v>76</v>
      </c>
      <c r="AD106">
        <v>4</v>
      </c>
      <c r="AE106">
        <v>2676</v>
      </c>
      <c r="AF106">
        <v>5024</v>
      </c>
      <c r="AG106">
        <v>136</v>
      </c>
      <c r="AH106">
        <v>2344</v>
      </c>
      <c r="AI106">
        <v>4</v>
      </c>
      <c r="AJ106">
        <v>87</v>
      </c>
      <c r="AK106">
        <v>1648</v>
      </c>
      <c r="AL106">
        <v>1825</v>
      </c>
      <c r="AM106">
        <v>11</v>
      </c>
      <c r="AN106">
        <v>915</v>
      </c>
      <c r="AO106" t="s">
        <v>826</v>
      </c>
    </row>
    <row r="107" spans="1:41">
      <c r="A107">
        <v>99</v>
      </c>
      <c r="B107" s="2">
        <v>45296.6168402778</v>
      </c>
      <c r="C107">
        <v>144.557</v>
      </c>
      <c r="D107" t="s">
        <v>821</v>
      </c>
      <c r="E107" t="s">
        <v>822</v>
      </c>
      <c r="F107">
        <v>54</v>
      </c>
      <c r="G107">
        <f t="shared" si="1"/>
        <v>0</v>
      </c>
      <c r="H107">
        <v>1</v>
      </c>
      <c r="I107">
        <v>2676</v>
      </c>
      <c r="J107">
        <v>5024</v>
      </c>
      <c r="K107">
        <v>29280</v>
      </c>
      <c r="L107" s="1">
        <v>-12495</v>
      </c>
      <c r="M107">
        <v>-12493</v>
      </c>
      <c r="N107">
        <v>38.9</v>
      </c>
      <c r="O107">
        <v>13</v>
      </c>
      <c r="P107">
        <v>65535</v>
      </c>
      <c r="Q107">
        <v>9640</v>
      </c>
      <c r="R107">
        <v>-32767</v>
      </c>
      <c r="S107">
        <v>35.8</v>
      </c>
      <c r="T107">
        <v>13</v>
      </c>
      <c r="U107">
        <v>100</v>
      </c>
      <c r="V107">
        <v>34800</v>
      </c>
      <c r="W107">
        <v>5000</v>
      </c>
      <c r="X107" t="s">
        <v>823</v>
      </c>
      <c r="Y107" t="s">
        <v>830</v>
      </c>
      <c r="Z107" t="s">
        <v>828</v>
      </c>
      <c r="AA107">
        <v>4</v>
      </c>
      <c r="AB107">
        <v>6</v>
      </c>
      <c r="AC107">
        <v>76</v>
      </c>
      <c r="AD107">
        <v>4</v>
      </c>
      <c r="AE107">
        <v>2672</v>
      </c>
      <c r="AF107">
        <v>5024</v>
      </c>
      <c r="AG107">
        <v>137</v>
      </c>
      <c r="AH107">
        <v>2348</v>
      </c>
      <c r="AI107">
        <v>4</v>
      </c>
      <c r="AJ107">
        <v>87</v>
      </c>
      <c r="AK107">
        <v>1648</v>
      </c>
      <c r="AL107">
        <v>1829</v>
      </c>
      <c r="AM107">
        <v>11</v>
      </c>
      <c r="AN107">
        <v>901</v>
      </c>
      <c r="AO107" t="s">
        <v>826</v>
      </c>
    </row>
    <row r="108" spans="1:41">
      <c r="A108">
        <v>100</v>
      </c>
      <c r="B108" s="2">
        <v>45296.6168518519</v>
      </c>
      <c r="C108">
        <v>145.496</v>
      </c>
      <c r="D108" t="s">
        <v>821</v>
      </c>
      <c r="E108" t="s">
        <v>822</v>
      </c>
      <c r="F108">
        <v>54</v>
      </c>
      <c r="G108">
        <f t="shared" si="1"/>
        <v>0</v>
      </c>
      <c r="H108">
        <v>1</v>
      </c>
      <c r="I108">
        <v>2672</v>
      </c>
      <c r="J108">
        <v>5024</v>
      </c>
      <c r="K108">
        <v>29272</v>
      </c>
      <c r="L108" s="1">
        <v>-12493</v>
      </c>
      <c r="M108">
        <v>-12493</v>
      </c>
      <c r="N108">
        <v>38.9</v>
      </c>
      <c r="O108">
        <v>13</v>
      </c>
      <c r="P108">
        <v>65535</v>
      </c>
      <c r="Q108">
        <v>9625</v>
      </c>
      <c r="R108">
        <v>-32767</v>
      </c>
      <c r="S108">
        <v>35.9</v>
      </c>
      <c r="T108">
        <v>13</v>
      </c>
      <c r="U108">
        <v>100</v>
      </c>
      <c r="V108">
        <v>34800</v>
      </c>
      <c r="W108">
        <v>5000</v>
      </c>
      <c r="X108" t="s">
        <v>823</v>
      </c>
      <c r="Y108" t="s">
        <v>830</v>
      </c>
      <c r="Z108" t="s">
        <v>828</v>
      </c>
      <c r="AA108">
        <v>4</v>
      </c>
      <c r="AB108">
        <v>6</v>
      </c>
      <c r="AC108">
        <v>76</v>
      </c>
      <c r="AD108">
        <v>4</v>
      </c>
      <c r="AE108">
        <v>2669</v>
      </c>
      <c r="AF108">
        <v>5024</v>
      </c>
      <c r="AG108">
        <v>138</v>
      </c>
      <c r="AH108">
        <v>2351</v>
      </c>
      <c r="AI108">
        <v>4</v>
      </c>
      <c r="AJ108">
        <v>87</v>
      </c>
      <c r="AK108">
        <v>1648</v>
      </c>
      <c r="AL108">
        <v>1832</v>
      </c>
      <c r="AM108">
        <v>11</v>
      </c>
      <c r="AN108">
        <v>901</v>
      </c>
      <c r="AO108" t="s">
        <v>826</v>
      </c>
    </row>
    <row r="109" spans="1:41">
      <c r="A109">
        <v>101</v>
      </c>
      <c r="B109" s="2">
        <v>45296.616875</v>
      </c>
      <c r="C109">
        <v>147.838</v>
      </c>
      <c r="D109" t="s">
        <v>821</v>
      </c>
      <c r="E109" t="s">
        <v>822</v>
      </c>
      <c r="F109">
        <v>53</v>
      </c>
      <c r="G109">
        <f t="shared" si="1"/>
        <v>1</v>
      </c>
      <c r="H109">
        <v>1</v>
      </c>
      <c r="I109">
        <v>2662</v>
      </c>
      <c r="J109">
        <v>5024</v>
      </c>
      <c r="K109">
        <v>29256</v>
      </c>
      <c r="L109" s="1">
        <v>-12493</v>
      </c>
      <c r="M109">
        <v>-12493</v>
      </c>
      <c r="N109">
        <v>38.9</v>
      </c>
      <c r="O109">
        <v>13</v>
      </c>
      <c r="P109">
        <v>65535</v>
      </c>
      <c r="Q109">
        <v>9589</v>
      </c>
      <c r="R109">
        <v>-32767</v>
      </c>
      <c r="S109">
        <v>35.9</v>
      </c>
      <c r="T109">
        <v>13</v>
      </c>
      <c r="U109">
        <v>100</v>
      </c>
      <c r="V109">
        <v>34800</v>
      </c>
      <c r="W109">
        <v>5000</v>
      </c>
      <c r="X109" t="s">
        <v>823</v>
      </c>
      <c r="Y109" t="s">
        <v>830</v>
      </c>
      <c r="Z109" t="s">
        <v>828</v>
      </c>
      <c r="AA109">
        <v>4</v>
      </c>
      <c r="AB109">
        <v>6</v>
      </c>
      <c r="AC109">
        <v>76</v>
      </c>
      <c r="AD109">
        <v>4</v>
      </c>
      <c r="AE109">
        <v>2662</v>
      </c>
      <c r="AF109">
        <v>5024</v>
      </c>
      <c r="AG109">
        <v>140</v>
      </c>
      <c r="AH109">
        <v>2358</v>
      </c>
      <c r="AI109">
        <v>4</v>
      </c>
      <c r="AJ109">
        <v>87</v>
      </c>
      <c r="AK109">
        <v>1648</v>
      </c>
      <c r="AL109">
        <v>1839</v>
      </c>
      <c r="AM109">
        <v>11</v>
      </c>
      <c r="AN109">
        <v>915</v>
      </c>
      <c r="AO109" t="s">
        <v>826</v>
      </c>
    </row>
    <row r="110" spans="1:41">
      <c r="A110">
        <v>102</v>
      </c>
      <c r="B110" s="2">
        <v>45296.6168865741</v>
      </c>
      <c r="C110">
        <v>148.789</v>
      </c>
      <c r="D110" t="s">
        <v>821</v>
      </c>
      <c r="E110" t="s">
        <v>822</v>
      </c>
      <c r="F110">
        <v>53</v>
      </c>
      <c r="G110">
        <f t="shared" si="1"/>
        <v>0</v>
      </c>
      <c r="H110">
        <v>1</v>
      </c>
      <c r="I110">
        <v>2662</v>
      </c>
      <c r="J110">
        <v>5024</v>
      </c>
      <c r="K110">
        <v>29256</v>
      </c>
      <c r="L110" s="1">
        <v>-12495</v>
      </c>
      <c r="M110">
        <v>-12494</v>
      </c>
      <c r="N110">
        <v>38.9</v>
      </c>
      <c r="O110">
        <v>13</v>
      </c>
      <c r="P110">
        <v>65535</v>
      </c>
      <c r="Q110">
        <v>9574</v>
      </c>
      <c r="R110">
        <v>-32767</v>
      </c>
      <c r="S110">
        <v>35.9</v>
      </c>
      <c r="T110">
        <v>13</v>
      </c>
      <c r="U110">
        <v>100</v>
      </c>
      <c r="V110">
        <v>34800</v>
      </c>
      <c r="W110">
        <v>5000</v>
      </c>
      <c r="X110" t="s">
        <v>823</v>
      </c>
      <c r="Y110" t="s">
        <v>830</v>
      </c>
      <c r="Z110" t="s">
        <v>828</v>
      </c>
      <c r="AA110">
        <v>4</v>
      </c>
      <c r="AB110">
        <v>6</v>
      </c>
      <c r="AC110">
        <v>76</v>
      </c>
      <c r="AD110">
        <v>4</v>
      </c>
      <c r="AE110">
        <v>2658</v>
      </c>
      <c r="AF110">
        <v>5024</v>
      </c>
      <c r="AG110">
        <v>141</v>
      </c>
      <c r="AH110">
        <v>2362</v>
      </c>
      <c r="AI110">
        <v>4</v>
      </c>
      <c r="AJ110">
        <v>87</v>
      </c>
      <c r="AK110">
        <v>1648</v>
      </c>
      <c r="AL110">
        <v>1843</v>
      </c>
      <c r="AM110">
        <v>11</v>
      </c>
      <c r="AN110">
        <v>905</v>
      </c>
      <c r="AO110" t="s">
        <v>826</v>
      </c>
    </row>
    <row r="111" spans="1:41">
      <c r="A111">
        <v>103</v>
      </c>
      <c r="B111" s="2">
        <v>45296.6168981481</v>
      </c>
      <c r="C111">
        <v>149.729</v>
      </c>
      <c r="D111" t="s">
        <v>821</v>
      </c>
      <c r="E111" t="s">
        <v>822</v>
      </c>
      <c r="F111">
        <v>53</v>
      </c>
      <c r="G111">
        <f t="shared" si="1"/>
        <v>0</v>
      </c>
      <c r="H111">
        <v>1</v>
      </c>
      <c r="I111">
        <v>2658</v>
      </c>
      <c r="J111">
        <v>5024</v>
      </c>
      <c r="K111">
        <v>29256</v>
      </c>
      <c r="L111" s="1">
        <v>-12495</v>
      </c>
      <c r="M111">
        <v>-12494</v>
      </c>
      <c r="N111">
        <v>39</v>
      </c>
      <c r="O111">
        <v>13</v>
      </c>
      <c r="P111">
        <v>65535</v>
      </c>
      <c r="Q111">
        <v>9563</v>
      </c>
      <c r="R111">
        <v>-32767</v>
      </c>
      <c r="S111">
        <v>35.9</v>
      </c>
      <c r="T111">
        <v>13</v>
      </c>
      <c r="U111">
        <v>100</v>
      </c>
      <c r="V111">
        <v>34800</v>
      </c>
      <c r="W111">
        <v>5000</v>
      </c>
      <c r="X111" t="s">
        <v>823</v>
      </c>
      <c r="Y111" t="s">
        <v>830</v>
      </c>
      <c r="Z111" t="s">
        <v>828</v>
      </c>
      <c r="AA111">
        <v>4</v>
      </c>
      <c r="AB111">
        <v>6</v>
      </c>
      <c r="AC111">
        <v>76</v>
      </c>
      <c r="AD111">
        <v>4</v>
      </c>
      <c r="AE111">
        <v>2655</v>
      </c>
      <c r="AF111">
        <v>5024</v>
      </c>
      <c r="AG111">
        <v>142</v>
      </c>
      <c r="AH111">
        <v>2365</v>
      </c>
      <c r="AI111">
        <v>4</v>
      </c>
      <c r="AJ111">
        <v>87</v>
      </c>
      <c r="AK111">
        <v>1648</v>
      </c>
      <c r="AL111">
        <v>1846</v>
      </c>
      <c r="AM111">
        <v>11</v>
      </c>
      <c r="AN111">
        <v>902</v>
      </c>
      <c r="AO111" t="s">
        <v>826</v>
      </c>
    </row>
    <row r="112" spans="1:41">
      <c r="A112">
        <v>104</v>
      </c>
      <c r="B112" s="2">
        <v>45296.6169328704</v>
      </c>
      <c r="C112">
        <v>152.08</v>
      </c>
      <c r="D112" t="s">
        <v>821</v>
      </c>
      <c r="E112" t="s">
        <v>822</v>
      </c>
      <c r="F112">
        <v>53</v>
      </c>
      <c r="G112">
        <f t="shared" si="1"/>
        <v>0</v>
      </c>
      <c r="H112">
        <v>1</v>
      </c>
      <c r="I112">
        <v>2648</v>
      </c>
      <c r="J112">
        <v>5024</v>
      </c>
      <c r="K112">
        <v>29232</v>
      </c>
      <c r="L112" s="1">
        <v>-12493</v>
      </c>
      <c r="M112">
        <v>-12494</v>
      </c>
      <c r="N112">
        <v>39</v>
      </c>
      <c r="O112">
        <v>13</v>
      </c>
      <c r="P112">
        <v>65535</v>
      </c>
      <c r="Q112">
        <v>9538</v>
      </c>
      <c r="R112">
        <v>-32767</v>
      </c>
      <c r="S112">
        <v>36</v>
      </c>
      <c r="T112">
        <v>13</v>
      </c>
      <c r="U112">
        <v>100</v>
      </c>
      <c r="V112">
        <v>34800</v>
      </c>
      <c r="W112">
        <v>5000</v>
      </c>
      <c r="X112" t="s">
        <v>823</v>
      </c>
      <c r="Y112" t="s">
        <v>830</v>
      </c>
      <c r="Z112" t="s">
        <v>828</v>
      </c>
      <c r="AA112">
        <v>4</v>
      </c>
      <c r="AB112">
        <v>6</v>
      </c>
      <c r="AC112">
        <v>76</v>
      </c>
      <c r="AD112">
        <v>4</v>
      </c>
      <c r="AE112">
        <v>2648</v>
      </c>
      <c r="AF112">
        <v>5024</v>
      </c>
      <c r="AG112">
        <v>144</v>
      </c>
      <c r="AH112">
        <v>2372</v>
      </c>
      <c r="AI112">
        <v>4</v>
      </c>
      <c r="AJ112">
        <v>87</v>
      </c>
      <c r="AK112">
        <v>1648</v>
      </c>
      <c r="AL112">
        <v>1853</v>
      </c>
      <c r="AM112">
        <v>11</v>
      </c>
      <c r="AN112">
        <v>910</v>
      </c>
      <c r="AO112" t="s">
        <v>826</v>
      </c>
    </row>
    <row r="113" spans="1:41">
      <c r="A113">
        <v>105</v>
      </c>
      <c r="B113" s="2">
        <v>45296.6169444444</v>
      </c>
      <c r="C113">
        <v>153.026</v>
      </c>
      <c r="D113" t="s">
        <v>821</v>
      </c>
      <c r="E113" t="s">
        <v>822</v>
      </c>
      <c r="F113">
        <v>53</v>
      </c>
      <c r="G113">
        <f t="shared" si="1"/>
        <v>0</v>
      </c>
      <c r="H113">
        <v>1</v>
      </c>
      <c r="I113">
        <v>2644</v>
      </c>
      <c r="J113">
        <v>5024</v>
      </c>
      <c r="K113">
        <v>29232</v>
      </c>
      <c r="L113" s="1">
        <v>-12495</v>
      </c>
      <c r="M113">
        <v>-12494</v>
      </c>
      <c r="N113">
        <v>39</v>
      </c>
      <c r="O113">
        <v>13</v>
      </c>
      <c r="P113">
        <v>65535</v>
      </c>
      <c r="Q113">
        <v>9523</v>
      </c>
      <c r="R113">
        <v>-32767</v>
      </c>
      <c r="S113">
        <v>36</v>
      </c>
      <c r="T113">
        <v>13</v>
      </c>
      <c r="U113">
        <v>100</v>
      </c>
      <c r="V113">
        <v>34800</v>
      </c>
      <c r="W113">
        <v>5000</v>
      </c>
      <c r="X113" t="s">
        <v>823</v>
      </c>
      <c r="Y113" t="s">
        <v>830</v>
      </c>
      <c r="Z113" t="s">
        <v>828</v>
      </c>
      <c r="AA113">
        <v>4</v>
      </c>
      <c r="AB113">
        <v>6</v>
      </c>
      <c r="AC113">
        <v>76</v>
      </c>
      <c r="AD113">
        <v>4</v>
      </c>
      <c r="AE113">
        <v>2644</v>
      </c>
      <c r="AF113">
        <v>5024</v>
      </c>
      <c r="AG113">
        <v>145</v>
      </c>
      <c r="AH113">
        <v>2376</v>
      </c>
      <c r="AI113">
        <v>4</v>
      </c>
      <c r="AJ113">
        <v>87</v>
      </c>
      <c r="AK113">
        <v>1648</v>
      </c>
      <c r="AL113">
        <v>1857</v>
      </c>
      <c r="AM113">
        <v>11</v>
      </c>
      <c r="AN113">
        <v>901</v>
      </c>
      <c r="AO113" t="s">
        <v>826</v>
      </c>
    </row>
    <row r="114" spans="1:41">
      <c r="A114">
        <v>106</v>
      </c>
      <c r="B114" s="2">
        <v>45296.6169675926</v>
      </c>
      <c r="C114">
        <v>155.373</v>
      </c>
      <c r="D114" t="s">
        <v>821</v>
      </c>
      <c r="E114" t="s">
        <v>822</v>
      </c>
      <c r="F114">
        <v>53</v>
      </c>
      <c r="G114">
        <f t="shared" si="1"/>
        <v>0</v>
      </c>
      <c r="H114">
        <v>1</v>
      </c>
      <c r="I114">
        <v>2637</v>
      </c>
      <c r="J114">
        <v>5024</v>
      </c>
      <c r="K114">
        <v>29216</v>
      </c>
      <c r="L114" s="1">
        <v>-12493</v>
      </c>
      <c r="M114">
        <v>-12494</v>
      </c>
      <c r="N114">
        <v>39</v>
      </c>
      <c r="O114">
        <v>13</v>
      </c>
      <c r="P114">
        <v>65535</v>
      </c>
      <c r="Q114">
        <v>9497</v>
      </c>
      <c r="R114">
        <v>-32767</v>
      </c>
      <c r="S114">
        <v>36</v>
      </c>
      <c r="T114">
        <v>13</v>
      </c>
      <c r="U114">
        <v>100</v>
      </c>
      <c r="V114">
        <v>34800</v>
      </c>
      <c r="W114">
        <v>5000</v>
      </c>
      <c r="X114" t="s">
        <v>823</v>
      </c>
      <c r="Y114" t="s">
        <v>830</v>
      </c>
      <c r="Z114" t="s">
        <v>828</v>
      </c>
      <c r="AA114">
        <v>4</v>
      </c>
      <c r="AB114">
        <v>6</v>
      </c>
      <c r="AC114">
        <v>76</v>
      </c>
      <c r="AD114">
        <v>4</v>
      </c>
      <c r="AE114">
        <v>2637</v>
      </c>
      <c r="AF114">
        <v>5024</v>
      </c>
      <c r="AG114">
        <v>147</v>
      </c>
      <c r="AH114">
        <v>2383</v>
      </c>
      <c r="AI114">
        <v>4</v>
      </c>
      <c r="AJ114">
        <v>87</v>
      </c>
      <c r="AK114">
        <v>1648</v>
      </c>
      <c r="AL114">
        <v>1867</v>
      </c>
      <c r="AM114">
        <v>11</v>
      </c>
      <c r="AN114">
        <v>910</v>
      </c>
      <c r="AO114" t="s">
        <v>826</v>
      </c>
    </row>
    <row r="115" spans="1:41">
      <c r="A115">
        <v>107</v>
      </c>
      <c r="B115" s="2">
        <v>45296.6169791667</v>
      </c>
      <c r="C115">
        <v>156.324</v>
      </c>
      <c r="D115" t="s">
        <v>821</v>
      </c>
      <c r="E115" t="s">
        <v>822</v>
      </c>
      <c r="F115">
        <v>53</v>
      </c>
      <c r="G115">
        <f t="shared" si="1"/>
        <v>0</v>
      </c>
      <c r="H115">
        <v>1</v>
      </c>
      <c r="I115">
        <v>2634</v>
      </c>
      <c r="J115">
        <v>5024</v>
      </c>
      <c r="K115">
        <v>29216</v>
      </c>
      <c r="L115" s="1">
        <v>-12495</v>
      </c>
      <c r="M115">
        <v>-12494</v>
      </c>
      <c r="N115">
        <v>39</v>
      </c>
      <c r="O115">
        <v>13</v>
      </c>
      <c r="P115">
        <v>65535</v>
      </c>
      <c r="Q115">
        <v>9486</v>
      </c>
      <c r="R115">
        <v>-32767</v>
      </c>
      <c r="S115">
        <v>36</v>
      </c>
      <c r="T115">
        <v>13</v>
      </c>
      <c r="U115">
        <v>100</v>
      </c>
      <c r="V115">
        <v>34800</v>
      </c>
      <c r="W115">
        <v>5000</v>
      </c>
      <c r="X115" t="s">
        <v>823</v>
      </c>
      <c r="Y115" t="s">
        <v>830</v>
      </c>
      <c r="Z115" t="s">
        <v>828</v>
      </c>
      <c r="AA115">
        <v>5</v>
      </c>
      <c r="AB115">
        <v>6</v>
      </c>
      <c r="AC115">
        <v>76</v>
      </c>
      <c r="AD115">
        <v>4</v>
      </c>
      <c r="AE115">
        <v>2634</v>
      </c>
      <c r="AF115">
        <v>5024</v>
      </c>
      <c r="AG115">
        <v>148</v>
      </c>
      <c r="AH115">
        <v>2386</v>
      </c>
      <c r="AI115">
        <v>4</v>
      </c>
      <c r="AJ115">
        <v>87</v>
      </c>
      <c r="AK115">
        <v>1648</v>
      </c>
      <c r="AL115">
        <v>1867</v>
      </c>
      <c r="AM115">
        <v>11</v>
      </c>
      <c r="AN115">
        <v>901</v>
      </c>
      <c r="AO115" t="s">
        <v>826</v>
      </c>
    </row>
    <row r="116" spans="1:41">
      <c r="A116">
        <v>108</v>
      </c>
      <c r="B116" s="2">
        <v>45296.6169907407</v>
      </c>
      <c r="C116">
        <v>157.261</v>
      </c>
      <c r="D116" t="s">
        <v>821</v>
      </c>
      <c r="E116" t="s">
        <v>822</v>
      </c>
      <c r="F116">
        <v>53</v>
      </c>
      <c r="G116">
        <f t="shared" si="1"/>
        <v>0</v>
      </c>
      <c r="H116">
        <v>1</v>
      </c>
      <c r="I116">
        <v>2630</v>
      </c>
      <c r="J116">
        <v>5024</v>
      </c>
      <c r="K116">
        <v>29208</v>
      </c>
      <c r="L116" s="1">
        <v>-12495</v>
      </c>
      <c r="M116">
        <v>-12494</v>
      </c>
      <c r="N116">
        <v>39.1</v>
      </c>
      <c r="O116">
        <v>13</v>
      </c>
      <c r="P116">
        <v>65535</v>
      </c>
      <c r="Q116">
        <v>9472</v>
      </c>
      <c r="R116">
        <v>-32767</v>
      </c>
      <c r="S116">
        <v>36</v>
      </c>
      <c r="T116">
        <v>13</v>
      </c>
      <c r="U116">
        <v>100</v>
      </c>
      <c r="V116">
        <v>34800</v>
      </c>
      <c r="W116">
        <v>5000</v>
      </c>
      <c r="X116" t="s">
        <v>823</v>
      </c>
      <c r="Y116" t="s">
        <v>830</v>
      </c>
      <c r="Z116" t="s">
        <v>828</v>
      </c>
      <c r="AA116">
        <v>5</v>
      </c>
      <c r="AB116">
        <v>6</v>
      </c>
      <c r="AC116">
        <v>76</v>
      </c>
      <c r="AD116">
        <v>4</v>
      </c>
      <c r="AE116">
        <v>2630</v>
      </c>
      <c r="AF116">
        <v>5024</v>
      </c>
      <c r="AG116">
        <v>149</v>
      </c>
      <c r="AH116">
        <v>2390</v>
      </c>
      <c r="AI116">
        <v>4</v>
      </c>
      <c r="AJ116">
        <v>87</v>
      </c>
      <c r="AK116">
        <v>1648</v>
      </c>
      <c r="AL116">
        <v>1871</v>
      </c>
      <c r="AM116">
        <v>11</v>
      </c>
      <c r="AN116">
        <v>901</v>
      </c>
      <c r="AO116" t="s">
        <v>826</v>
      </c>
    </row>
    <row r="117" spans="1:41">
      <c r="A117">
        <v>109</v>
      </c>
      <c r="B117" s="2">
        <v>45296.6170138889</v>
      </c>
      <c r="C117">
        <v>159.626</v>
      </c>
      <c r="D117" t="s">
        <v>821</v>
      </c>
      <c r="E117" t="s">
        <v>822</v>
      </c>
      <c r="F117">
        <v>53</v>
      </c>
      <c r="G117">
        <f t="shared" si="1"/>
        <v>0</v>
      </c>
      <c r="H117">
        <v>1</v>
      </c>
      <c r="I117">
        <v>2624</v>
      </c>
      <c r="J117">
        <v>5024</v>
      </c>
      <c r="K117">
        <v>29200</v>
      </c>
      <c r="L117" s="1">
        <v>-12495</v>
      </c>
      <c r="M117">
        <v>-12494</v>
      </c>
      <c r="N117">
        <v>39.1</v>
      </c>
      <c r="O117">
        <v>13</v>
      </c>
      <c r="P117">
        <v>65535</v>
      </c>
      <c r="Q117">
        <v>9450</v>
      </c>
      <c r="R117">
        <v>-32767</v>
      </c>
      <c r="S117">
        <v>36.1</v>
      </c>
      <c r="T117">
        <v>13</v>
      </c>
      <c r="U117">
        <v>100</v>
      </c>
      <c r="V117">
        <v>34800</v>
      </c>
      <c r="W117">
        <v>5000</v>
      </c>
      <c r="X117" t="s">
        <v>823</v>
      </c>
      <c r="Y117" t="s">
        <v>830</v>
      </c>
      <c r="Z117" t="s">
        <v>828</v>
      </c>
      <c r="AA117">
        <v>5</v>
      </c>
      <c r="AB117">
        <v>6</v>
      </c>
      <c r="AC117">
        <v>76</v>
      </c>
      <c r="AD117">
        <v>4</v>
      </c>
      <c r="AE117">
        <v>2620</v>
      </c>
      <c r="AF117">
        <v>5024</v>
      </c>
      <c r="AG117">
        <v>152</v>
      </c>
      <c r="AH117">
        <v>2400</v>
      </c>
      <c r="AI117">
        <v>4</v>
      </c>
      <c r="AJ117">
        <v>87</v>
      </c>
      <c r="AK117">
        <v>1648</v>
      </c>
      <c r="AL117">
        <v>1881</v>
      </c>
      <c r="AM117">
        <v>11</v>
      </c>
      <c r="AN117">
        <v>908</v>
      </c>
      <c r="AO117" t="s">
        <v>826</v>
      </c>
    </row>
    <row r="118" spans="1:41">
      <c r="A118">
        <v>110</v>
      </c>
      <c r="B118" s="2">
        <v>45296.617025463</v>
      </c>
      <c r="C118">
        <v>160.572</v>
      </c>
      <c r="D118" t="s">
        <v>821</v>
      </c>
      <c r="E118" t="s">
        <v>822</v>
      </c>
      <c r="F118">
        <v>53</v>
      </c>
      <c r="G118">
        <f t="shared" si="1"/>
        <v>0</v>
      </c>
      <c r="H118">
        <v>1</v>
      </c>
      <c r="I118">
        <v>2620</v>
      </c>
      <c r="J118">
        <v>5024</v>
      </c>
      <c r="K118">
        <v>29192</v>
      </c>
      <c r="L118" s="1">
        <v>-12495</v>
      </c>
      <c r="M118">
        <v>-12494</v>
      </c>
      <c r="N118">
        <v>39.1</v>
      </c>
      <c r="O118">
        <v>13</v>
      </c>
      <c r="P118">
        <v>65535</v>
      </c>
      <c r="Q118">
        <v>9435</v>
      </c>
      <c r="R118">
        <v>-32767</v>
      </c>
      <c r="S118">
        <v>36.1</v>
      </c>
      <c r="T118">
        <v>13</v>
      </c>
      <c r="U118">
        <v>100</v>
      </c>
      <c r="V118">
        <v>34800</v>
      </c>
      <c r="W118">
        <v>5000</v>
      </c>
      <c r="X118" t="s">
        <v>823</v>
      </c>
      <c r="Y118" t="s">
        <v>830</v>
      </c>
      <c r="Z118" t="s">
        <v>828</v>
      </c>
      <c r="AA118">
        <v>5</v>
      </c>
      <c r="AB118">
        <v>6</v>
      </c>
      <c r="AC118">
        <v>76</v>
      </c>
      <c r="AD118">
        <v>4</v>
      </c>
      <c r="AE118">
        <v>2617</v>
      </c>
      <c r="AF118">
        <v>5024</v>
      </c>
      <c r="AG118">
        <v>153</v>
      </c>
      <c r="AH118">
        <v>2403</v>
      </c>
      <c r="AI118">
        <v>4</v>
      </c>
      <c r="AJ118">
        <v>87</v>
      </c>
      <c r="AK118">
        <v>1648</v>
      </c>
      <c r="AL118">
        <v>1884</v>
      </c>
      <c r="AM118">
        <v>11</v>
      </c>
      <c r="AN118">
        <v>902</v>
      </c>
      <c r="AO118" t="s">
        <v>826</v>
      </c>
    </row>
    <row r="119" spans="1:41">
      <c r="A119">
        <v>111</v>
      </c>
      <c r="B119" s="2">
        <v>45296.617037037</v>
      </c>
      <c r="C119">
        <v>161.512</v>
      </c>
      <c r="D119" t="s">
        <v>821</v>
      </c>
      <c r="E119" t="s">
        <v>822</v>
      </c>
      <c r="F119">
        <v>53</v>
      </c>
      <c r="G119">
        <f t="shared" si="1"/>
        <v>0</v>
      </c>
      <c r="H119">
        <v>1</v>
      </c>
      <c r="I119">
        <v>2617</v>
      </c>
      <c r="J119">
        <v>5024</v>
      </c>
      <c r="K119">
        <v>29192</v>
      </c>
      <c r="L119" s="1">
        <v>-12493</v>
      </c>
      <c r="M119">
        <v>-12494</v>
      </c>
      <c r="N119">
        <v>39.1</v>
      </c>
      <c r="O119">
        <v>13</v>
      </c>
      <c r="P119">
        <v>65535</v>
      </c>
      <c r="Q119">
        <v>9424</v>
      </c>
      <c r="R119">
        <v>-32767</v>
      </c>
      <c r="S119">
        <v>36.1</v>
      </c>
      <c r="T119">
        <v>13</v>
      </c>
      <c r="U119">
        <v>100</v>
      </c>
      <c r="V119">
        <v>34800</v>
      </c>
      <c r="W119">
        <v>5000</v>
      </c>
      <c r="X119" t="s">
        <v>823</v>
      </c>
      <c r="Y119" t="s">
        <v>830</v>
      </c>
      <c r="Z119" t="s">
        <v>828</v>
      </c>
      <c r="AA119">
        <v>5</v>
      </c>
      <c r="AB119">
        <v>6</v>
      </c>
      <c r="AC119">
        <v>76</v>
      </c>
      <c r="AD119">
        <v>4</v>
      </c>
      <c r="AE119">
        <v>2613</v>
      </c>
      <c r="AF119">
        <v>5024</v>
      </c>
      <c r="AG119">
        <v>154</v>
      </c>
      <c r="AH119">
        <v>2407</v>
      </c>
      <c r="AI119">
        <v>4</v>
      </c>
      <c r="AJ119">
        <v>87</v>
      </c>
      <c r="AK119">
        <v>1648</v>
      </c>
      <c r="AL119">
        <v>1888</v>
      </c>
      <c r="AM119">
        <v>11</v>
      </c>
      <c r="AN119">
        <v>899</v>
      </c>
      <c r="AO119" t="s">
        <v>826</v>
      </c>
    </row>
    <row r="120" spans="1:41">
      <c r="A120">
        <v>112</v>
      </c>
      <c r="B120" s="2">
        <v>45296.6170601852</v>
      </c>
      <c r="C120">
        <v>163.875</v>
      </c>
      <c r="D120" t="s">
        <v>821</v>
      </c>
      <c r="E120" t="s">
        <v>822</v>
      </c>
      <c r="F120">
        <v>52</v>
      </c>
      <c r="G120">
        <f t="shared" si="1"/>
        <v>1</v>
      </c>
      <c r="H120">
        <v>1</v>
      </c>
      <c r="I120">
        <v>2606</v>
      </c>
      <c r="J120">
        <v>5024</v>
      </c>
      <c r="K120">
        <v>29176</v>
      </c>
      <c r="L120" s="1">
        <v>-12495</v>
      </c>
      <c r="M120">
        <v>-12494</v>
      </c>
      <c r="N120">
        <v>39.1</v>
      </c>
      <c r="O120">
        <v>13</v>
      </c>
      <c r="P120">
        <v>65535</v>
      </c>
      <c r="Q120">
        <v>9384</v>
      </c>
      <c r="R120">
        <v>-32767</v>
      </c>
      <c r="S120">
        <v>36.1</v>
      </c>
      <c r="T120">
        <v>13</v>
      </c>
      <c r="U120">
        <v>100</v>
      </c>
      <c r="V120">
        <v>34800</v>
      </c>
      <c r="W120">
        <v>5000</v>
      </c>
      <c r="X120" t="s">
        <v>823</v>
      </c>
      <c r="Y120" t="s">
        <v>830</v>
      </c>
      <c r="Z120" t="s">
        <v>828</v>
      </c>
      <c r="AA120">
        <v>5</v>
      </c>
      <c r="AB120">
        <v>6</v>
      </c>
      <c r="AC120">
        <v>76</v>
      </c>
      <c r="AD120">
        <v>4</v>
      </c>
      <c r="AE120">
        <v>2606</v>
      </c>
      <c r="AF120">
        <v>5024</v>
      </c>
      <c r="AG120">
        <v>156</v>
      </c>
      <c r="AH120">
        <v>2414</v>
      </c>
      <c r="AI120">
        <v>4</v>
      </c>
      <c r="AJ120">
        <v>87</v>
      </c>
      <c r="AK120">
        <v>1648</v>
      </c>
      <c r="AL120">
        <v>1895</v>
      </c>
      <c r="AM120">
        <v>11</v>
      </c>
      <c r="AN120">
        <v>906</v>
      </c>
      <c r="AO120" t="s">
        <v>826</v>
      </c>
    </row>
    <row r="121" spans="1:41">
      <c r="A121">
        <v>113</v>
      </c>
      <c r="B121" s="2">
        <v>45296.6170717593</v>
      </c>
      <c r="C121">
        <v>164.824</v>
      </c>
      <c r="D121" t="s">
        <v>821</v>
      </c>
      <c r="E121" t="s">
        <v>822</v>
      </c>
      <c r="F121">
        <v>52</v>
      </c>
      <c r="G121">
        <f t="shared" si="1"/>
        <v>0</v>
      </c>
      <c r="H121">
        <v>1</v>
      </c>
      <c r="I121">
        <v>2603</v>
      </c>
      <c r="J121">
        <v>5024</v>
      </c>
      <c r="K121">
        <v>29168</v>
      </c>
      <c r="L121" s="1">
        <v>-12495</v>
      </c>
      <c r="M121">
        <v>-12494</v>
      </c>
      <c r="N121">
        <v>39.2</v>
      </c>
      <c r="O121">
        <v>13</v>
      </c>
      <c r="P121">
        <v>65535</v>
      </c>
      <c r="Q121">
        <v>9373</v>
      </c>
      <c r="R121">
        <v>-32767</v>
      </c>
      <c r="S121">
        <v>36.1</v>
      </c>
      <c r="T121">
        <v>13</v>
      </c>
      <c r="U121">
        <v>100</v>
      </c>
      <c r="V121">
        <v>34800</v>
      </c>
      <c r="W121">
        <v>5000</v>
      </c>
      <c r="X121" t="s">
        <v>823</v>
      </c>
      <c r="Y121" t="s">
        <v>830</v>
      </c>
      <c r="Z121" t="s">
        <v>828</v>
      </c>
      <c r="AA121">
        <v>5</v>
      </c>
      <c r="AB121">
        <v>6</v>
      </c>
      <c r="AC121">
        <v>76</v>
      </c>
      <c r="AD121">
        <v>4</v>
      </c>
      <c r="AE121">
        <v>2603</v>
      </c>
      <c r="AF121">
        <v>5024</v>
      </c>
      <c r="AG121">
        <v>157</v>
      </c>
      <c r="AH121">
        <v>2417</v>
      </c>
      <c r="AI121">
        <v>4</v>
      </c>
      <c r="AJ121">
        <v>87</v>
      </c>
      <c r="AK121">
        <v>1648</v>
      </c>
      <c r="AL121">
        <v>1898</v>
      </c>
      <c r="AM121">
        <v>11</v>
      </c>
      <c r="AN121">
        <v>900</v>
      </c>
      <c r="AO121" t="s">
        <v>826</v>
      </c>
    </row>
    <row r="122" spans="1:41">
      <c r="A122">
        <v>114</v>
      </c>
      <c r="B122" s="2">
        <v>45296.6170833333</v>
      </c>
      <c r="C122">
        <v>165.773</v>
      </c>
      <c r="D122" t="s">
        <v>821</v>
      </c>
      <c r="E122" t="s">
        <v>822</v>
      </c>
      <c r="F122">
        <v>52</v>
      </c>
      <c r="G122">
        <f t="shared" si="1"/>
        <v>0</v>
      </c>
      <c r="H122">
        <v>1</v>
      </c>
      <c r="I122">
        <v>2603</v>
      </c>
      <c r="J122">
        <v>5024</v>
      </c>
      <c r="K122">
        <v>29168</v>
      </c>
      <c r="L122" s="1">
        <v>-12495</v>
      </c>
      <c r="M122">
        <v>-12494</v>
      </c>
      <c r="N122">
        <v>39.2</v>
      </c>
      <c r="O122">
        <v>12</v>
      </c>
      <c r="P122">
        <v>65535</v>
      </c>
      <c r="Q122">
        <v>9359</v>
      </c>
      <c r="R122">
        <v>-32767</v>
      </c>
      <c r="S122">
        <v>36.1</v>
      </c>
      <c r="T122">
        <v>13</v>
      </c>
      <c r="U122">
        <v>100</v>
      </c>
      <c r="V122">
        <v>34800</v>
      </c>
      <c r="W122">
        <v>5000</v>
      </c>
      <c r="X122" t="s">
        <v>823</v>
      </c>
      <c r="Y122" t="s">
        <v>830</v>
      </c>
      <c r="Z122" t="s">
        <v>828</v>
      </c>
      <c r="AA122">
        <v>5</v>
      </c>
      <c r="AB122">
        <v>6</v>
      </c>
      <c r="AC122">
        <v>76</v>
      </c>
      <c r="AD122">
        <v>4</v>
      </c>
      <c r="AE122">
        <v>2599</v>
      </c>
      <c r="AF122">
        <v>5024</v>
      </c>
      <c r="AG122">
        <v>158</v>
      </c>
      <c r="AH122">
        <v>2421</v>
      </c>
      <c r="AI122">
        <v>4</v>
      </c>
      <c r="AJ122">
        <v>87</v>
      </c>
      <c r="AK122">
        <v>1648</v>
      </c>
      <c r="AL122">
        <v>1902</v>
      </c>
      <c r="AM122">
        <v>11</v>
      </c>
      <c r="AN122">
        <v>902</v>
      </c>
      <c r="AO122" t="s">
        <v>826</v>
      </c>
    </row>
    <row r="123" spans="1:41">
      <c r="A123">
        <v>115</v>
      </c>
      <c r="B123" s="2">
        <v>45296.6171180556</v>
      </c>
      <c r="C123">
        <v>168.126</v>
      </c>
      <c r="D123" t="s">
        <v>821</v>
      </c>
      <c r="E123" t="s">
        <v>822</v>
      </c>
      <c r="F123">
        <v>52</v>
      </c>
      <c r="G123">
        <f t="shared" si="1"/>
        <v>0</v>
      </c>
      <c r="H123">
        <v>1</v>
      </c>
      <c r="I123">
        <v>2592</v>
      </c>
      <c r="J123">
        <v>5024</v>
      </c>
      <c r="K123">
        <v>29152</v>
      </c>
      <c r="L123" s="1">
        <v>-12493</v>
      </c>
      <c r="M123">
        <v>-12494</v>
      </c>
      <c r="N123">
        <v>39.2</v>
      </c>
      <c r="O123">
        <v>12</v>
      </c>
      <c r="P123">
        <v>65535</v>
      </c>
      <c r="Q123">
        <v>9333</v>
      </c>
      <c r="R123">
        <v>-32767</v>
      </c>
      <c r="S123">
        <v>36.2</v>
      </c>
      <c r="T123">
        <v>13</v>
      </c>
      <c r="U123">
        <v>100</v>
      </c>
      <c r="V123">
        <v>34800</v>
      </c>
      <c r="W123">
        <v>5000</v>
      </c>
      <c r="X123" t="s">
        <v>823</v>
      </c>
      <c r="Y123" t="s">
        <v>830</v>
      </c>
      <c r="Z123" t="s">
        <v>828</v>
      </c>
      <c r="AA123">
        <v>5</v>
      </c>
      <c r="AB123">
        <v>6</v>
      </c>
      <c r="AC123">
        <v>76</v>
      </c>
      <c r="AD123">
        <v>4</v>
      </c>
      <c r="AE123">
        <v>2592</v>
      </c>
      <c r="AF123">
        <v>5024</v>
      </c>
      <c r="AG123">
        <v>160</v>
      </c>
      <c r="AH123">
        <v>2428</v>
      </c>
      <c r="AI123">
        <v>4</v>
      </c>
      <c r="AJ123">
        <v>87</v>
      </c>
      <c r="AK123">
        <v>1648</v>
      </c>
      <c r="AL123">
        <v>1909</v>
      </c>
      <c r="AM123">
        <v>11</v>
      </c>
      <c r="AN123">
        <v>910</v>
      </c>
      <c r="AO123" t="s">
        <v>826</v>
      </c>
    </row>
    <row r="124" spans="1:41">
      <c r="A124">
        <v>116</v>
      </c>
      <c r="B124" s="2">
        <v>45296.6171296296</v>
      </c>
      <c r="C124">
        <v>169.075</v>
      </c>
      <c r="D124" t="s">
        <v>821</v>
      </c>
      <c r="E124" t="s">
        <v>822</v>
      </c>
      <c r="F124">
        <v>52</v>
      </c>
      <c r="G124">
        <f t="shared" si="1"/>
        <v>0</v>
      </c>
      <c r="H124">
        <v>1</v>
      </c>
      <c r="I124">
        <v>2589</v>
      </c>
      <c r="J124">
        <v>5024</v>
      </c>
      <c r="K124">
        <v>29152</v>
      </c>
      <c r="L124" s="1">
        <v>-12495</v>
      </c>
      <c r="M124">
        <v>-12494</v>
      </c>
      <c r="N124">
        <v>39.2</v>
      </c>
      <c r="O124">
        <v>12</v>
      </c>
      <c r="P124">
        <v>65535</v>
      </c>
      <c r="Q124">
        <v>9322</v>
      </c>
      <c r="R124">
        <v>-32767</v>
      </c>
      <c r="S124">
        <v>36.2</v>
      </c>
      <c r="T124">
        <v>13</v>
      </c>
      <c r="U124">
        <v>100</v>
      </c>
      <c r="V124">
        <v>34800</v>
      </c>
      <c r="W124">
        <v>5000</v>
      </c>
      <c r="X124" t="s">
        <v>823</v>
      </c>
      <c r="Y124" t="s">
        <v>830</v>
      </c>
      <c r="Z124" t="s">
        <v>828</v>
      </c>
      <c r="AA124">
        <v>5</v>
      </c>
      <c r="AB124">
        <v>6</v>
      </c>
      <c r="AC124">
        <v>76</v>
      </c>
      <c r="AD124">
        <v>4</v>
      </c>
      <c r="AE124">
        <v>2589</v>
      </c>
      <c r="AF124">
        <v>5024</v>
      </c>
      <c r="AG124">
        <v>161</v>
      </c>
      <c r="AH124">
        <v>2431</v>
      </c>
      <c r="AI124">
        <v>4</v>
      </c>
      <c r="AJ124">
        <v>87</v>
      </c>
      <c r="AK124">
        <v>1648</v>
      </c>
      <c r="AL124">
        <v>1912</v>
      </c>
      <c r="AM124">
        <v>11</v>
      </c>
      <c r="AN124">
        <v>900</v>
      </c>
      <c r="AO124" t="s">
        <v>826</v>
      </c>
    </row>
    <row r="125" spans="1:41">
      <c r="A125">
        <v>117</v>
      </c>
      <c r="B125" s="2">
        <v>45296.6171527778</v>
      </c>
      <c r="C125">
        <v>171.437</v>
      </c>
      <c r="D125" t="s">
        <v>821</v>
      </c>
      <c r="E125" t="s">
        <v>822</v>
      </c>
      <c r="F125">
        <v>52</v>
      </c>
      <c r="G125">
        <f t="shared" si="1"/>
        <v>0</v>
      </c>
      <c r="H125">
        <v>1</v>
      </c>
      <c r="I125">
        <v>2582</v>
      </c>
      <c r="J125">
        <v>5024</v>
      </c>
      <c r="K125">
        <v>29136</v>
      </c>
      <c r="L125" s="1">
        <v>-12495</v>
      </c>
      <c r="M125">
        <v>-12494</v>
      </c>
      <c r="N125">
        <v>39.3</v>
      </c>
      <c r="O125">
        <v>12</v>
      </c>
      <c r="P125">
        <v>65535</v>
      </c>
      <c r="Q125">
        <v>9297</v>
      </c>
      <c r="R125">
        <v>-32767</v>
      </c>
      <c r="S125">
        <v>36.2</v>
      </c>
      <c r="T125">
        <v>13</v>
      </c>
      <c r="U125">
        <v>100</v>
      </c>
      <c r="V125">
        <v>34800</v>
      </c>
      <c r="W125">
        <v>5000</v>
      </c>
      <c r="X125" t="s">
        <v>823</v>
      </c>
      <c r="Y125" t="s">
        <v>830</v>
      </c>
      <c r="Z125" t="s">
        <v>828</v>
      </c>
      <c r="AA125">
        <v>5</v>
      </c>
      <c r="AB125">
        <v>6</v>
      </c>
      <c r="AC125">
        <v>76</v>
      </c>
      <c r="AD125">
        <v>4</v>
      </c>
      <c r="AE125">
        <v>2582</v>
      </c>
      <c r="AF125">
        <v>5024</v>
      </c>
      <c r="AG125">
        <v>164</v>
      </c>
      <c r="AH125">
        <v>2442</v>
      </c>
      <c r="AI125">
        <v>4</v>
      </c>
      <c r="AJ125">
        <v>87</v>
      </c>
      <c r="AK125">
        <v>1648</v>
      </c>
      <c r="AL125">
        <v>1923</v>
      </c>
      <c r="AM125">
        <v>11</v>
      </c>
      <c r="AN125">
        <v>910</v>
      </c>
      <c r="AO125" t="s">
        <v>826</v>
      </c>
    </row>
    <row r="126" spans="1:41">
      <c r="A126">
        <v>118</v>
      </c>
      <c r="B126" s="2">
        <v>45296.6171643519</v>
      </c>
      <c r="C126">
        <v>172.39</v>
      </c>
      <c r="D126" t="s">
        <v>821</v>
      </c>
      <c r="E126" t="s">
        <v>822</v>
      </c>
      <c r="F126">
        <v>52</v>
      </c>
      <c r="G126">
        <f t="shared" si="1"/>
        <v>0</v>
      </c>
      <c r="H126">
        <v>1</v>
      </c>
      <c r="I126">
        <v>2578</v>
      </c>
      <c r="J126">
        <v>5024</v>
      </c>
      <c r="K126">
        <v>29128</v>
      </c>
      <c r="L126" s="1">
        <v>-12495</v>
      </c>
      <c r="M126">
        <v>-12494</v>
      </c>
      <c r="N126">
        <v>39.3</v>
      </c>
      <c r="O126">
        <v>12</v>
      </c>
      <c r="P126">
        <v>65535</v>
      </c>
      <c r="Q126">
        <v>9282</v>
      </c>
      <c r="R126">
        <v>-32767</v>
      </c>
      <c r="S126">
        <v>36.2</v>
      </c>
      <c r="T126">
        <v>13</v>
      </c>
      <c r="U126">
        <v>100</v>
      </c>
      <c r="V126">
        <v>34800</v>
      </c>
      <c r="W126">
        <v>5000</v>
      </c>
      <c r="X126" t="s">
        <v>823</v>
      </c>
      <c r="Y126" t="s">
        <v>830</v>
      </c>
      <c r="Z126" t="s">
        <v>828</v>
      </c>
      <c r="AA126">
        <v>5</v>
      </c>
      <c r="AB126">
        <v>6</v>
      </c>
      <c r="AC126">
        <v>76</v>
      </c>
      <c r="AD126">
        <v>4</v>
      </c>
      <c r="AE126">
        <v>2578</v>
      </c>
      <c r="AF126">
        <v>5024</v>
      </c>
      <c r="AG126">
        <v>164</v>
      </c>
      <c r="AH126">
        <v>2442</v>
      </c>
      <c r="AI126">
        <v>4</v>
      </c>
      <c r="AJ126">
        <v>87</v>
      </c>
      <c r="AK126">
        <v>1648</v>
      </c>
      <c r="AL126">
        <v>1926</v>
      </c>
      <c r="AM126">
        <v>11</v>
      </c>
      <c r="AN126">
        <v>912</v>
      </c>
      <c r="AO126" t="s">
        <v>826</v>
      </c>
    </row>
    <row r="127" spans="1:41">
      <c r="A127">
        <v>119</v>
      </c>
      <c r="B127" s="2">
        <v>45296.6171759259</v>
      </c>
      <c r="C127">
        <v>173.335</v>
      </c>
      <c r="D127" t="s">
        <v>821</v>
      </c>
      <c r="E127" t="s">
        <v>822</v>
      </c>
      <c r="F127">
        <v>52</v>
      </c>
      <c r="G127">
        <f t="shared" si="1"/>
        <v>0</v>
      </c>
      <c r="H127">
        <v>1</v>
      </c>
      <c r="I127">
        <v>2575</v>
      </c>
      <c r="J127">
        <v>5024</v>
      </c>
      <c r="K127">
        <v>29128</v>
      </c>
      <c r="L127" s="1">
        <v>-12495</v>
      </c>
      <c r="M127">
        <v>-12495</v>
      </c>
      <c r="N127">
        <v>39.3</v>
      </c>
      <c r="O127">
        <v>12</v>
      </c>
      <c r="P127">
        <v>65535</v>
      </c>
      <c r="Q127">
        <v>9271</v>
      </c>
      <c r="R127">
        <v>-32767</v>
      </c>
      <c r="S127">
        <v>36.2</v>
      </c>
      <c r="T127">
        <v>13</v>
      </c>
      <c r="U127">
        <v>100</v>
      </c>
      <c r="V127">
        <v>34800</v>
      </c>
      <c r="W127">
        <v>5000</v>
      </c>
      <c r="X127" t="s">
        <v>823</v>
      </c>
      <c r="Y127" t="s">
        <v>830</v>
      </c>
      <c r="Z127" t="s">
        <v>828</v>
      </c>
      <c r="AA127">
        <v>5</v>
      </c>
      <c r="AB127">
        <v>6</v>
      </c>
      <c r="AC127">
        <v>76</v>
      </c>
      <c r="AD127">
        <v>4</v>
      </c>
      <c r="AE127">
        <v>2575</v>
      </c>
      <c r="AF127">
        <v>5024</v>
      </c>
      <c r="AG127">
        <v>165</v>
      </c>
      <c r="AH127">
        <v>2445</v>
      </c>
      <c r="AI127">
        <v>4</v>
      </c>
      <c r="AJ127">
        <v>87</v>
      </c>
      <c r="AK127">
        <v>1648</v>
      </c>
      <c r="AL127">
        <v>1926</v>
      </c>
      <c r="AM127">
        <v>11</v>
      </c>
      <c r="AN127">
        <v>905</v>
      </c>
      <c r="AO127" t="s">
        <v>826</v>
      </c>
    </row>
    <row r="128" spans="1:41">
      <c r="A128">
        <v>120</v>
      </c>
      <c r="B128" s="2">
        <v>45296.6171990741</v>
      </c>
      <c r="C128">
        <v>175.685</v>
      </c>
      <c r="D128" t="s">
        <v>821</v>
      </c>
      <c r="E128" t="s">
        <v>822</v>
      </c>
      <c r="F128">
        <v>52</v>
      </c>
      <c r="G128">
        <f t="shared" si="1"/>
        <v>0</v>
      </c>
      <c r="H128">
        <v>1</v>
      </c>
      <c r="I128">
        <v>2568</v>
      </c>
      <c r="J128">
        <v>5024</v>
      </c>
      <c r="K128">
        <v>29112</v>
      </c>
      <c r="L128" s="1">
        <v>-12493</v>
      </c>
      <c r="M128">
        <v>-12494</v>
      </c>
      <c r="N128">
        <v>39.3</v>
      </c>
      <c r="O128">
        <v>12</v>
      </c>
      <c r="P128">
        <v>65535</v>
      </c>
      <c r="Q128">
        <v>9235</v>
      </c>
      <c r="R128">
        <v>-32767</v>
      </c>
      <c r="S128">
        <v>36.2</v>
      </c>
      <c r="T128">
        <v>13</v>
      </c>
      <c r="U128">
        <v>100</v>
      </c>
      <c r="V128">
        <v>34800</v>
      </c>
      <c r="W128">
        <v>5000</v>
      </c>
      <c r="X128" t="s">
        <v>823</v>
      </c>
      <c r="Y128" t="s">
        <v>830</v>
      </c>
      <c r="Z128" t="s">
        <v>828</v>
      </c>
      <c r="AA128">
        <v>5</v>
      </c>
      <c r="AB128">
        <v>6</v>
      </c>
      <c r="AC128">
        <v>76</v>
      </c>
      <c r="AD128">
        <v>4</v>
      </c>
      <c r="AE128">
        <v>2565</v>
      </c>
      <c r="AF128">
        <v>5024</v>
      </c>
      <c r="AG128">
        <v>168</v>
      </c>
      <c r="AH128">
        <v>2455</v>
      </c>
      <c r="AI128">
        <v>4</v>
      </c>
      <c r="AJ128">
        <v>87</v>
      </c>
      <c r="AK128">
        <v>1648</v>
      </c>
      <c r="AL128">
        <v>1936</v>
      </c>
      <c r="AM128">
        <v>11</v>
      </c>
      <c r="AN128">
        <v>913</v>
      </c>
      <c r="AO128" t="s">
        <v>826</v>
      </c>
    </row>
    <row r="129" spans="1:41">
      <c r="A129">
        <v>121</v>
      </c>
      <c r="B129" s="2">
        <v>45296.6172106481</v>
      </c>
      <c r="C129">
        <v>176.634</v>
      </c>
      <c r="D129" t="s">
        <v>821</v>
      </c>
      <c r="E129" t="s">
        <v>822</v>
      </c>
      <c r="F129">
        <v>52</v>
      </c>
      <c r="G129">
        <f t="shared" si="1"/>
        <v>0</v>
      </c>
      <c r="H129">
        <v>1</v>
      </c>
      <c r="I129">
        <v>2565</v>
      </c>
      <c r="J129">
        <v>5024</v>
      </c>
      <c r="K129">
        <v>29112</v>
      </c>
      <c r="L129" s="1">
        <v>-12495</v>
      </c>
      <c r="M129">
        <v>-12494</v>
      </c>
      <c r="N129">
        <v>39.3</v>
      </c>
      <c r="O129">
        <v>12</v>
      </c>
      <c r="P129">
        <v>65535</v>
      </c>
      <c r="Q129">
        <v>9235</v>
      </c>
      <c r="R129">
        <v>-32767</v>
      </c>
      <c r="S129">
        <v>36.3</v>
      </c>
      <c r="T129">
        <v>13</v>
      </c>
      <c r="U129">
        <v>100</v>
      </c>
      <c r="V129">
        <v>34800</v>
      </c>
      <c r="W129">
        <v>5000</v>
      </c>
      <c r="X129" t="s">
        <v>823</v>
      </c>
      <c r="Y129" t="s">
        <v>830</v>
      </c>
      <c r="Z129" t="s">
        <v>828</v>
      </c>
      <c r="AA129">
        <v>5</v>
      </c>
      <c r="AB129">
        <v>6</v>
      </c>
      <c r="AC129">
        <v>76</v>
      </c>
      <c r="AD129">
        <v>4</v>
      </c>
      <c r="AE129">
        <v>2561</v>
      </c>
      <c r="AF129">
        <v>5024</v>
      </c>
      <c r="AG129">
        <v>169</v>
      </c>
      <c r="AH129">
        <v>2459</v>
      </c>
      <c r="AI129">
        <v>4</v>
      </c>
      <c r="AJ129">
        <v>87</v>
      </c>
      <c r="AK129">
        <v>1648</v>
      </c>
      <c r="AL129">
        <v>1940</v>
      </c>
      <c r="AM129">
        <v>11</v>
      </c>
      <c r="AN129">
        <v>919</v>
      </c>
      <c r="AO129" t="s">
        <v>826</v>
      </c>
    </row>
    <row r="130" spans="1:41">
      <c r="A130">
        <v>122</v>
      </c>
      <c r="B130" s="2">
        <v>45296.6172222222</v>
      </c>
      <c r="C130">
        <v>177.589</v>
      </c>
      <c r="D130" t="s">
        <v>821</v>
      </c>
      <c r="E130" t="s">
        <v>822</v>
      </c>
      <c r="F130">
        <v>51</v>
      </c>
      <c r="G130">
        <f t="shared" si="1"/>
        <v>1</v>
      </c>
      <c r="H130">
        <v>1</v>
      </c>
      <c r="I130">
        <v>2561</v>
      </c>
      <c r="J130">
        <v>5024</v>
      </c>
      <c r="K130">
        <v>29104</v>
      </c>
      <c r="L130" s="1">
        <v>-12495</v>
      </c>
      <c r="M130">
        <v>-12495</v>
      </c>
      <c r="N130">
        <v>39.3</v>
      </c>
      <c r="O130">
        <v>12</v>
      </c>
      <c r="P130">
        <v>65535</v>
      </c>
      <c r="Q130">
        <v>9220</v>
      </c>
      <c r="R130">
        <v>-32767</v>
      </c>
      <c r="S130">
        <v>36.3</v>
      </c>
      <c r="T130">
        <v>13</v>
      </c>
      <c r="U130">
        <v>100</v>
      </c>
      <c r="V130">
        <v>34800</v>
      </c>
      <c r="W130">
        <v>5000</v>
      </c>
      <c r="X130" t="s">
        <v>823</v>
      </c>
      <c r="Y130" t="s">
        <v>830</v>
      </c>
      <c r="Z130" t="s">
        <v>828</v>
      </c>
      <c r="AA130">
        <v>5</v>
      </c>
      <c r="AB130">
        <v>6</v>
      </c>
      <c r="AC130">
        <v>76</v>
      </c>
      <c r="AD130">
        <v>4</v>
      </c>
      <c r="AE130">
        <v>2558</v>
      </c>
      <c r="AF130">
        <v>5024</v>
      </c>
      <c r="AG130">
        <v>170</v>
      </c>
      <c r="AH130">
        <v>2462</v>
      </c>
      <c r="AI130">
        <v>4</v>
      </c>
      <c r="AJ130">
        <v>87</v>
      </c>
      <c r="AK130">
        <v>1648</v>
      </c>
      <c r="AL130">
        <v>1943</v>
      </c>
      <c r="AM130">
        <v>11</v>
      </c>
      <c r="AN130">
        <v>902</v>
      </c>
      <c r="AO130" t="s">
        <v>826</v>
      </c>
    </row>
    <row r="131" spans="1:41">
      <c r="A131">
        <v>123</v>
      </c>
      <c r="B131" s="2">
        <v>45296.6172569444</v>
      </c>
      <c r="C131">
        <v>179.955</v>
      </c>
      <c r="D131" t="s">
        <v>821</v>
      </c>
      <c r="E131" t="s">
        <v>822</v>
      </c>
      <c r="F131">
        <v>51</v>
      </c>
      <c r="G131">
        <f t="shared" si="1"/>
        <v>0</v>
      </c>
      <c r="H131">
        <v>1</v>
      </c>
      <c r="I131">
        <v>2551</v>
      </c>
      <c r="J131">
        <v>5024</v>
      </c>
      <c r="K131">
        <v>29096</v>
      </c>
      <c r="L131" s="1">
        <v>-12495</v>
      </c>
      <c r="M131">
        <v>-12495</v>
      </c>
      <c r="N131">
        <v>39.3</v>
      </c>
      <c r="O131">
        <v>12</v>
      </c>
      <c r="P131">
        <v>65535</v>
      </c>
      <c r="Q131">
        <v>9184</v>
      </c>
      <c r="R131">
        <v>-32767</v>
      </c>
      <c r="S131">
        <v>36.3</v>
      </c>
      <c r="T131">
        <v>13</v>
      </c>
      <c r="U131">
        <v>100</v>
      </c>
      <c r="V131">
        <v>34800</v>
      </c>
      <c r="W131">
        <v>5000</v>
      </c>
      <c r="X131" t="s">
        <v>823</v>
      </c>
      <c r="Y131" t="s">
        <v>830</v>
      </c>
      <c r="Z131" t="s">
        <v>828</v>
      </c>
      <c r="AA131">
        <v>5</v>
      </c>
      <c r="AB131">
        <v>6</v>
      </c>
      <c r="AC131">
        <v>76</v>
      </c>
      <c r="AD131">
        <v>4</v>
      </c>
      <c r="AE131">
        <v>2551</v>
      </c>
      <c r="AF131">
        <v>5024</v>
      </c>
      <c r="AG131">
        <v>172</v>
      </c>
      <c r="AH131">
        <v>2469</v>
      </c>
      <c r="AI131">
        <v>4</v>
      </c>
      <c r="AJ131">
        <v>87</v>
      </c>
      <c r="AK131">
        <v>1648</v>
      </c>
      <c r="AL131">
        <v>1950</v>
      </c>
      <c r="AM131">
        <v>11</v>
      </c>
      <c r="AN131">
        <v>907</v>
      </c>
      <c r="AO131" t="s">
        <v>826</v>
      </c>
    </row>
    <row r="132" spans="1:41">
      <c r="A132">
        <v>124</v>
      </c>
      <c r="B132" s="2">
        <v>45296.6172685185</v>
      </c>
      <c r="C132">
        <v>180.909</v>
      </c>
      <c r="D132" t="s">
        <v>821</v>
      </c>
      <c r="E132" t="s">
        <v>822</v>
      </c>
      <c r="F132">
        <v>51</v>
      </c>
      <c r="G132">
        <f t="shared" si="1"/>
        <v>0</v>
      </c>
      <c r="H132">
        <v>1</v>
      </c>
      <c r="I132">
        <v>2547</v>
      </c>
      <c r="J132">
        <v>5024</v>
      </c>
      <c r="K132">
        <v>29088</v>
      </c>
      <c r="L132" s="1">
        <v>-12495</v>
      </c>
      <c r="M132">
        <v>-12495</v>
      </c>
      <c r="N132">
        <v>39.3</v>
      </c>
      <c r="O132">
        <v>12</v>
      </c>
      <c r="P132">
        <v>65535</v>
      </c>
      <c r="Q132">
        <v>9169</v>
      </c>
      <c r="R132">
        <v>-32767</v>
      </c>
      <c r="S132">
        <v>36.3</v>
      </c>
      <c r="T132">
        <v>13</v>
      </c>
      <c r="U132">
        <v>100</v>
      </c>
      <c r="V132">
        <v>34800</v>
      </c>
      <c r="W132">
        <v>5000</v>
      </c>
      <c r="X132" t="s">
        <v>823</v>
      </c>
      <c r="Y132" t="s">
        <v>830</v>
      </c>
      <c r="Z132" t="s">
        <v>828</v>
      </c>
      <c r="AA132">
        <v>5</v>
      </c>
      <c r="AB132">
        <v>6</v>
      </c>
      <c r="AC132">
        <v>76</v>
      </c>
      <c r="AD132">
        <v>4</v>
      </c>
      <c r="AE132">
        <v>2547</v>
      </c>
      <c r="AF132">
        <v>5024</v>
      </c>
      <c r="AG132">
        <v>173</v>
      </c>
      <c r="AH132">
        <v>2473</v>
      </c>
      <c r="AI132">
        <v>4</v>
      </c>
      <c r="AJ132">
        <v>87</v>
      </c>
      <c r="AK132">
        <v>1648</v>
      </c>
      <c r="AL132">
        <v>1954</v>
      </c>
      <c r="AM132">
        <v>11</v>
      </c>
      <c r="AN132">
        <v>908</v>
      </c>
      <c r="AO132" t="s">
        <v>826</v>
      </c>
    </row>
    <row r="133" spans="1:41">
      <c r="A133">
        <v>125</v>
      </c>
      <c r="B133" s="2">
        <v>45296.6172916667</v>
      </c>
      <c r="C133">
        <v>183.264</v>
      </c>
      <c r="D133" t="s">
        <v>821</v>
      </c>
      <c r="E133" t="s">
        <v>822</v>
      </c>
      <c r="F133">
        <v>51</v>
      </c>
      <c r="G133">
        <f t="shared" si="1"/>
        <v>0</v>
      </c>
      <c r="H133">
        <v>1</v>
      </c>
      <c r="I133">
        <v>2540</v>
      </c>
      <c r="J133">
        <v>5024</v>
      </c>
      <c r="K133">
        <v>29080</v>
      </c>
      <c r="L133" s="1">
        <v>-12495</v>
      </c>
      <c r="M133">
        <v>-12495</v>
      </c>
      <c r="N133">
        <v>39.3</v>
      </c>
      <c r="O133">
        <v>12</v>
      </c>
      <c r="P133">
        <v>65535</v>
      </c>
      <c r="Q133">
        <v>9144</v>
      </c>
      <c r="R133">
        <v>-32767</v>
      </c>
      <c r="S133">
        <v>36.4</v>
      </c>
      <c r="T133">
        <v>13</v>
      </c>
      <c r="U133">
        <v>100</v>
      </c>
      <c r="V133">
        <v>34800</v>
      </c>
      <c r="W133">
        <v>5000</v>
      </c>
      <c r="X133" t="s">
        <v>823</v>
      </c>
      <c r="Y133" t="s">
        <v>830</v>
      </c>
      <c r="Z133" t="s">
        <v>828</v>
      </c>
      <c r="AA133">
        <v>5</v>
      </c>
      <c r="AB133">
        <v>6</v>
      </c>
      <c r="AC133">
        <v>76</v>
      </c>
      <c r="AD133">
        <v>4</v>
      </c>
      <c r="AE133">
        <v>2540</v>
      </c>
      <c r="AF133">
        <v>5024</v>
      </c>
      <c r="AG133">
        <v>175</v>
      </c>
      <c r="AH133">
        <v>2480</v>
      </c>
      <c r="AI133">
        <v>4</v>
      </c>
      <c r="AJ133">
        <v>87</v>
      </c>
      <c r="AK133">
        <v>1648</v>
      </c>
      <c r="AL133">
        <v>1961</v>
      </c>
      <c r="AM133">
        <v>11</v>
      </c>
      <c r="AN133">
        <v>911</v>
      </c>
      <c r="AO133" t="s">
        <v>826</v>
      </c>
    </row>
    <row r="134" spans="1:41">
      <c r="A134">
        <v>126</v>
      </c>
      <c r="B134" s="2">
        <v>45296.6173032407</v>
      </c>
      <c r="C134">
        <v>184.213</v>
      </c>
      <c r="D134" t="s">
        <v>821</v>
      </c>
      <c r="E134" t="s">
        <v>822</v>
      </c>
      <c r="F134">
        <v>51</v>
      </c>
      <c r="G134">
        <f t="shared" si="1"/>
        <v>0</v>
      </c>
      <c r="H134">
        <v>1</v>
      </c>
      <c r="I134">
        <v>2537</v>
      </c>
      <c r="J134">
        <v>5024</v>
      </c>
      <c r="K134">
        <v>29072</v>
      </c>
      <c r="L134" s="1">
        <v>-12495</v>
      </c>
      <c r="M134">
        <v>-12495</v>
      </c>
      <c r="N134">
        <v>39.3</v>
      </c>
      <c r="O134">
        <v>12</v>
      </c>
      <c r="P134">
        <v>65535</v>
      </c>
      <c r="Q134">
        <v>9133</v>
      </c>
      <c r="R134">
        <v>-32767</v>
      </c>
      <c r="S134">
        <v>36.4</v>
      </c>
      <c r="T134">
        <v>13</v>
      </c>
      <c r="U134">
        <v>100</v>
      </c>
      <c r="V134">
        <v>34800</v>
      </c>
      <c r="W134">
        <v>5000</v>
      </c>
      <c r="X134" t="s">
        <v>823</v>
      </c>
      <c r="Y134" t="s">
        <v>830</v>
      </c>
      <c r="Z134" t="s">
        <v>828</v>
      </c>
      <c r="AA134">
        <v>5</v>
      </c>
      <c r="AB134">
        <v>6</v>
      </c>
      <c r="AC134">
        <v>76</v>
      </c>
      <c r="AD134">
        <v>4</v>
      </c>
      <c r="AE134">
        <v>2537</v>
      </c>
      <c r="AF134">
        <v>5024</v>
      </c>
      <c r="AG134">
        <v>176</v>
      </c>
      <c r="AH134">
        <v>2483</v>
      </c>
      <c r="AI134">
        <v>4</v>
      </c>
      <c r="AJ134">
        <v>87</v>
      </c>
      <c r="AK134">
        <v>1648</v>
      </c>
      <c r="AL134">
        <v>1964</v>
      </c>
      <c r="AM134">
        <v>11</v>
      </c>
      <c r="AN134">
        <v>901</v>
      </c>
      <c r="AO134" t="s">
        <v>826</v>
      </c>
    </row>
    <row r="135" spans="1:41">
      <c r="A135">
        <v>127</v>
      </c>
      <c r="B135" s="2">
        <v>45296.6173148148</v>
      </c>
      <c r="C135">
        <v>185.153</v>
      </c>
      <c r="D135" t="s">
        <v>821</v>
      </c>
      <c r="E135" t="s">
        <v>822</v>
      </c>
      <c r="F135">
        <v>51</v>
      </c>
      <c r="G135">
        <f t="shared" si="1"/>
        <v>0</v>
      </c>
      <c r="H135">
        <v>1</v>
      </c>
      <c r="I135">
        <v>2533</v>
      </c>
      <c r="J135">
        <v>5024</v>
      </c>
      <c r="K135">
        <v>29072</v>
      </c>
      <c r="L135" s="1">
        <v>-12495</v>
      </c>
      <c r="M135">
        <v>-12495</v>
      </c>
      <c r="N135">
        <v>39.3</v>
      </c>
      <c r="O135">
        <v>12</v>
      </c>
      <c r="P135">
        <v>65535</v>
      </c>
      <c r="Q135">
        <v>9118</v>
      </c>
      <c r="R135">
        <v>-32767</v>
      </c>
      <c r="S135">
        <v>36.4</v>
      </c>
      <c r="T135">
        <v>13</v>
      </c>
      <c r="U135">
        <v>100</v>
      </c>
      <c r="V135">
        <v>34800</v>
      </c>
      <c r="W135">
        <v>5000</v>
      </c>
      <c r="X135" t="s">
        <v>823</v>
      </c>
      <c r="Y135" t="s">
        <v>830</v>
      </c>
      <c r="Z135" t="s">
        <v>828</v>
      </c>
      <c r="AA135">
        <v>5</v>
      </c>
      <c r="AB135">
        <v>6</v>
      </c>
      <c r="AC135">
        <v>76</v>
      </c>
      <c r="AD135">
        <v>4</v>
      </c>
      <c r="AE135">
        <v>2533</v>
      </c>
      <c r="AF135">
        <v>5024</v>
      </c>
      <c r="AG135">
        <v>177</v>
      </c>
      <c r="AH135">
        <v>2487</v>
      </c>
      <c r="AI135">
        <v>4</v>
      </c>
      <c r="AJ135">
        <v>87</v>
      </c>
      <c r="AK135">
        <v>1648</v>
      </c>
      <c r="AL135">
        <v>1968</v>
      </c>
      <c r="AM135">
        <v>11</v>
      </c>
      <c r="AN135">
        <v>901</v>
      </c>
      <c r="AO135" t="s">
        <v>826</v>
      </c>
    </row>
    <row r="136" spans="1:41">
      <c r="A136">
        <v>128</v>
      </c>
      <c r="B136" s="2">
        <v>45296.617337963</v>
      </c>
      <c r="C136">
        <v>187.499</v>
      </c>
      <c r="D136" t="s">
        <v>821</v>
      </c>
      <c r="E136" t="s">
        <v>822</v>
      </c>
      <c r="F136">
        <v>51</v>
      </c>
      <c r="G136">
        <f t="shared" si="1"/>
        <v>0</v>
      </c>
      <c r="H136">
        <v>1</v>
      </c>
      <c r="I136">
        <v>2526</v>
      </c>
      <c r="J136">
        <v>5024</v>
      </c>
      <c r="K136">
        <v>29056</v>
      </c>
      <c r="L136" s="1">
        <v>-12495</v>
      </c>
      <c r="M136">
        <v>-12495</v>
      </c>
      <c r="N136">
        <v>39.4</v>
      </c>
      <c r="O136">
        <v>12</v>
      </c>
      <c r="P136">
        <v>65535</v>
      </c>
      <c r="Q136">
        <v>9093</v>
      </c>
      <c r="R136">
        <v>-32767</v>
      </c>
      <c r="S136">
        <v>36.4</v>
      </c>
      <c r="T136">
        <v>13</v>
      </c>
      <c r="U136">
        <v>100</v>
      </c>
      <c r="V136">
        <v>34800</v>
      </c>
      <c r="W136">
        <v>5000</v>
      </c>
      <c r="X136" t="s">
        <v>823</v>
      </c>
      <c r="Y136" t="s">
        <v>830</v>
      </c>
      <c r="Z136" t="s">
        <v>828</v>
      </c>
      <c r="AA136">
        <v>5</v>
      </c>
      <c r="AB136">
        <v>6</v>
      </c>
      <c r="AC136">
        <v>76</v>
      </c>
      <c r="AD136">
        <v>4</v>
      </c>
      <c r="AE136">
        <v>2523</v>
      </c>
      <c r="AF136">
        <v>5024</v>
      </c>
      <c r="AG136">
        <v>180</v>
      </c>
      <c r="AH136">
        <v>2497</v>
      </c>
      <c r="AI136">
        <v>4</v>
      </c>
      <c r="AJ136">
        <v>87</v>
      </c>
      <c r="AK136">
        <v>1648</v>
      </c>
      <c r="AL136">
        <v>1978</v>
      </c>
      <c r="AM136">
        <v>11</v>
      </c>
      <c r="AN136">
        <v>910</v>
      </c>
      <c r="AO136" t="s">
        <v>826</v>
      </c>
    </row>
    <row r="137" spans="1:41">
      <c r="A137">
        <v>129</v>
      </c>
      <c r="B137" s="2">
        <v>45296.617349537</v>
      </c>
      <c r="C137">
        <v>188.452</v>
      </c>
      <c r="D137" t="s">
        <v>821</v>
      </c>
      <c r="E137" t="s">
        <v>822</v>
      </c>
      <c r="F137">
        <v>51</v>
      </c>
      <c r="G137">
        <f t="shared" ref="G137:G200" si="2">F136-F137</f>
        <v>0</v>
      </c>
      <c r="H137">
        <v>1</v>
      </c>
      <c r="I137">
        <v>2523</v>
      </c>
      <c r="J137">
        <v>5024</v>
      </c>
      <c r="K137">
        <v>29048</v>
      </c>
      <c r="L137" s="1">
        <v>-12495</v>
      </c>
      <c r="M137">
        <v>-12495</v>
      </c>
      <c r="N137">
        <v>39.4</v>
      </c>
      <c r="O137">
        <v>12</v>
      </c>
      <c r="P137">
        <v>65535</v>
      </c>
      <c r="Q137">
        <v>9082</v>
      </c>
      <c r="R137">
        <v>-32767</v>
      </c>
      <c r="S137">
        <v>36.4</v>
      </c>
      <c r="T137">
        <v>13</v>
      </c>
      <c r="U137">
        <v>100</v>
      </c>
      <c r="V137">
        <v>34800</v>
      </c>
      <c r="W137">
        <v>5000</v>
      </c>
      <c r="X137" t="s">
        <v>823</v>
      </c>
      <c r="Y137" t="s">
        <v>830</v>
      </c>
      <c r="Z137" t="s">
        <v>828</v>
      </c>
      <c r="AA137">
        <v>5</v>
      </c>
      <c r="AB137">
        <v>6</v>
      </c>
      <c r="AC137">
        <v>76</v>
      </c>
      <c r="AD137">
        <v>4</v>
      </c>
      <c r="AE137">
        <v>2523</v>
      </c>
      <c r="AF137">
        <v>5024</v>
      </c>
      <c r="AG137">
        <v>181</v>
      </c>
      <c r="AH137">
        <v>2501</v>
      </c>
      <c r="AI137">
        <v>4</v>
      </c>
      <c r="AJ137">
        <v>87</v>
      </c>
      <c r="AK137">
        <v>1648</v>
      </c>
      <c r="AL137">
        <v>1982</v>
      </c>
      <c r="AM137">
        <v>11</v>
      </c>
      <c r="AN137">
        <v>914</v>
      </c>
      <c r="AO137" t="s">
        <v>826</v>
      </c>
    </row>
    <row r="138" spans="1:41">
      <c r="A138">
        <v>130</v>
      </c>
      <c r="B138" s="2">
        <v>45296.6173611111</v>
      </c>
      <c r="C138">
        <v>189.4</v>
      </c>
      <c r="D138" t="s">
        <v>821</v>
      </c>
      <c r="E138" t="s">
        <v>822</v>
      </c>
      <c r="F138">
        <v>51</v>
      </c>
      <c r="G138">
        <f t="shared" si="2"/>
        <v>0</v>
      </c>
      <c r="H138">
        <v>1</v>
      </c>
      <c r="I138">
        <v>2519</v>
      </c>
      <c r="J138">
        <v>5024</v>
      </c>
      <c r="K138">
        <v>29048</v>
      </c>
      <c r="L138" s="1">
        <v>-12493</v>
      </c>
      <c r="M138">
        <v>-12495</v>
      </c>
      <c r="N138">
        <v>39.4</v>
      </c>
      <c r="O138">
        <v>12</v>
      </c>
      <c r="P138">
        <v>65535</v>
      </c>
      <c r="Q138">
        <v>9068</v>
      </c>
      <c r="R138">
        <v>-32767</v>
      </c>
      <c r="S138">
        <v>36.5</v>
      </c>
      <c r="T138">
        <v>13</v>
      </c>
      <c r="U138">
        <v>100</v>
      </c>
      <c r="V138">
        <v>34800</v>
      </c>
      <c r="W138">
        <v>5000</v>
      </c>
      <c r="X138" t="s">
        <v>823</v>
      </c>
      <c r="Y138" t="s">
        <v>830</v>
      </c>
      <c r="Z138" t="s">
        <v>828</v>
      </c>
      <c r="AA138">
        <v>5</v>
      </c>
      <c r="AB138">
        <v>6</v>
      </c>
      <c r="AC138">
        <v>76</v>
      </c>
      <c r="AD138">
        <v>4</v>
      </c>
      <c r="AE138">
        <v>2519</v>
      </c>
      <c r="AF138">
        <v>5024</v>
      </c>
      <c r="AG138">
        <v>181</v>
      </c>
      <c r="AH138">
        <v>2501</v>
      </c>
      <c r="AI138">
        <v>4</v>
      </c>
      <c r="AJ138">
        <v>87</v>
      </c>
      <c r="AK138">
        <v>1648</v>
      </c>
      <c r="AL138">
        <v>1985</v>
      </c>
      <c r="AM138">
        <v>11</v>
      </c>
      <c r="AN138">
        <v>887</v>
      </c>
      <c r="AO138" t="s">
        <v>826</v>
      </c>
    </row>
    <row r="139" spans="1:41">
      <c r="A139">
        <v>131</v>
      </c>
      <c r="B139" s="2">
        <v>45296.6173842593</v>
      </c>
      <c r="C139">
        <v>191.727</v>
      </c>
      <c r="D139" t="s">
        <v>821</v>
      </c>
      <c r="E139" t="s">
        <v>822</v>
      </c>
      <c r="F139">
        <v>50</v>
      </c>
      <c r="G139">
        <f t="shared" si="2"/>
        <v>1</v>
      </c>
      <c r="H139">
        <v>1</v>
      </c>
      <c r="I139">
        <v>2512</v>
      </c>
      <c r="J139">
        <v>5024</v>
      </c>
      <c r="K139">
        <v>29040</v>
      </c>
      <c r="L139" s="1">
        <v>-12495</v>
      </c>
      <c r="M139">
        <v>-12495</v>
      </c>
      <c r="N139">
        <v>39.4</v>
      </c>
      <c r="O139">
        <v>12</v>
      </c>
      <c r="P139">
        <v>65535</v>
      </c>
      <c r="Q139">
        <v>9031</v>
      </c>
      <c r="R139">
        <v>-32767</v>
      </c>
      <c r="S139">
        <v>36.5</v>
      </c>
      <c r="T139">
        <v>13</v>
      </c>
      <c r="U139">
        <v>100</v>
      </c>
      <c r="V139">
        <v>34800</v>
      </c>
      <c r="W139">
        <v>5000</v>
      </c>
      <c r="X139" t="s">
        <v>823</v>
      </c>
      <c r="Y139" t="s">
        <v>830</v>
      </c>
      <c r="Z139" t="s">
        <v>828</v>
      </c>
      <c r="AA139">
        <v>5</v>
      </c>
      <c r="AB139">
        <v>6</v>
      </c>
      <c r="AC139">
        <v>76</v>
      </c>
      <c r="AD139">
        <v>4</v>
      </c>
      <c r="AE139">
        <v>2509</v>
      </c>
      <c r="AF139">
        <v>5024</v>
      </c>
      <c r="AG139">
        <v>184</v>
      </c>
      <c r="AH139">
        <v>2511</v>
      </c>
      <c r="AI139">
        <v>4</v>
      </c>
      <c r="AJ139">
        <v>87</v>
      </c>
      <c r="AK139">
        <v>1648</v>
      </c>
      <c r="AL139">
        <v>1992</v>
      </c>
      <c r="AM139">
        <v>11</v>
      </c>
      <c r="AN139">
        <v>903</v>
      </c>
      <c r="AO139" t="s">
        <v>826</v>
      </c>
    </row>
    <row r="140" spans="1:41">
      <c r="A140">
        <v>132</v>
      </c>
      <c r="B140" s="2">
        <v>45296.6173958333</v>
      </c>
      <c r="C140">
        <v>192.67</v>
      </c>
      <c r="D140" t="s">
        <v>821</v>
      </c>
      <c r="E140" t="s">
        <v>822</v>
      </c>
      <c r="F140">
        <v>50</v>
      </c>
      <c r="G140">
        <f t="shared" si="2"/>
        <v>0</v>
      </c>
      <c r="H140">
        <v>1</v>
      </c>
      <c r="I140">
        <v>2509</v>
      </c>
      <c r="J140">
        <v>5024</v>
      </c>
      <c r="K140">
        <v>29032</v>
      </c>
      <c r="L140" s="1">
        <v>-12495</v>
      </c>
      <c r="M140">
        <v>-12495</v>
      </c>
      <c r="N140">
        <v>39.4</v>
      </c>
      <c r="O140">
        <v>12</v>
      </c>
      <c r="P140">
        <v>65535</v>
      </c>
      <c r="Q140">
        <v>9031</v>
      </c>
      <c r="R140">
        <v>-32767</v>
      </c>
      <c r="S140">
        <v>36.5</v>
      </c>
      <c r="T140">
        <v>13</v>
      </c>
      <c r="U140">
        <v>100</v>
      </c>
      <c r="V140">
        <v>34800</v>
      </c>
      <c r="W140">
        <v>5000</v>
      </c>
      <c r="X140" t="s">
        <v>823</v>
      </c>
      <c r="Y140" t="s">
        <v>830</v>
      </c>
      <c r="Z140" t="s">
        <v>828</v>
      </c>
      <c r="AA140">
        <v>5</v>
      </c>
      <c r="AB140">
        <v>6</v>
      </c>
      <c r="AC140">
        <v>76</v>
      </c>
      <c r="AD140">
        <v>4</v>
      </c>
      <c r="AE140">
        <v>2506</v>
      </c>
      <c r="AF140">
        <v>5024</v>
      </c>
      <c r="AG140">
        <v>185</v>
      </c>
      <c r="AH140">
        <v>2514</v>
      </c>
      <c r="AI140">
        <v>4</v>
      </c>
      <c r="AJ140">
        <v>87</v>
      </c>
      <c r="AK140">
        <v>1648</v>
      </c>
      <c r="AL140">
        <v>1995</v>
      </c>
      <c r="AM140">
        <v>11</v>
      </c>
      <c r="AN140">
        <v>915</v>
      </c>
      <c r="AO140" t="s">
        <v>826</v>
      </c>
    </row>
    <row r="141" spans="1:41">
      <c r="A141">
        <v>133</v>
      </c>
      <c r="B141" s="2">
        <v>45296.6174074074</v>
      </c>
      <c r="C141">
        <v>193.619</v>
      </c>
      <c r="D141" t="s">
        <v>821</v>
      </c>
      <c r="E141" t="s">
        <v>822</v>
      </c>
      <c r="F141">
        <v>50</v>
      </c>
      <c r="G141">
        <f t="shared" si="2"/>
        <v>0</v>
      </c>
      <c r="H141">
        <v>1</v>
      </c>
      <c r="I141">
        <v>2506</v>
      </c>
      <c r="J141">
        <v>5024</v>
      </c>
      <c r="K141">
        <v>29032</v>
      </c>
      <c r="L141" s="1">
        <v>-12495</v>
      </c>
      <c r="M141">
        <v>-12495</v>
      </c>
      <c r="N141">
        <v>39.4</v>
      </c>
      <c r="O141">
        <v>12</v>
      </c>
      <c r="P141">
        <v>65535</v>
      </c>
      <c r="Q141">
        <v>9020</v>
      </c>
      <c r="R141">
        <v>-32767</v>
      </c>
      <c r="S141">
        <v>36.5</v>
      </c>
      <c r="T141">
        <v>13</v>
      </c>
      <c r="U141">
        <v>100</v>
      </c>
      <c r="V141">
        <v>34800</v>
      </c>
      <c r="W141">
        <v>5000</v>
      </c>
      <c r="X141" t="s">
        <v>823</v>
      </c>
      <c r="Y141" t="s">
        <v>830</v>
      </c>
      <c r="Z141" t="s">
        <v>828</v>
      </c>
      <c r="AA141">
        <v>5</v>
      </c>
      <c r="AB141">
        <v>6</v>
      </c>
      <c r="AC141">
        <v>76</v>
      </c>
      <c r="AD141">
        <v>4</v>
      </c>
      <c r="AE141">
        <v>2502</v>
      </c>
      <c r="AF141">
        <v>5024</v>
      </c>
      <c r="AG141">
        <v>186</v>
      </c>
      <c r="AH141">
        <v>2518</v>
      </c>
      <c r="AI141">
        <v>4</v>
      </c>
      <c r="AJ141">
        <v>87</v>
      </c>
      <c r="AK141">
        <v>1648</v>
      </c>
      <c r="AL141">
        <v>1999</v>
      </c>
      <c r="AM141">
        <v>11</v>
      </c>
      <c r="AN141">
        <v>935</v>
      </c>
      <c r="AO141" t="s">
        <v>826</v>
      </c>
    </row>
    <row r="142" spans="1:41">
      <c r="A142">
        <v>134</v>
      </c>
      <c r="B142" s="2">
        <v>45296.6174421296</v>
      </c>
      <c r="C142">
        <v>195.995</v>
      </c>
      <c r="D142" t="s">
        <v>821</v>
      </c>
      <c r="E142" t="s">
        <v>822</v>
      </c>
      <c r="F142">
        <v>50</v>
      </c>
      <c r="G142">
        <f t="shared" si="2"/>
        <v>0</v>
      </c>
      <c r="H142">
        <v>1</v>
      </c>
      <c r="I142">
        <v>2495</v>
      </c>
      <c r="J142">
        <v>5024</v>
      </c>
      <c r="K142">
        <v>29016</v>
      </c>
      <c r="L142" s="1">
        <v>-12495</v>
      </c>
      <c r="M142">
        <v>-12495</v>
      </c>
      <c r="N142">
        <v>39.5</v>
      </c>
      <c r="O142">
        <v>12</v>
      </c>
      <c r="P142">
        <v>65535</v>
      </c>
      <c r="Q142">
        <v>8981</v>
      </c>
      <c r="R142">
        <v>-32767</v>
      </c>
      <c r="S142">
        <v>36.5</v>
      </c>
      <c r="T142">
        <v>13</v>
      </c>
      <c r="U142">
        <v>100</v>
      </c>
      <c r="V142">
        <v>34800</v>
      </c>
      <c r="W142">
        <v>5000</v>
      </c>
      <c r="X142" t="s">
        <v>823</v>
      </c>
      <c r="Y142" t="s">
        <v>830</v>
      </c>
      <c r="Z142" t="s">
        <v>828</v>
      </c>
      <c r="AA142">
        <v>5</v>
      </c>
      <c r="AB142">
        <v>6</v>
      </c>
      <c r="AC142">
        <v>76</v>
      </c>
      <c r="AD142">
        <v>4</v>
      </c>
      <c r="AE142">
        <v>2495</v>
      </c>
      <c r="AF142">
        <v>5024</v>
      </c>
      <c r="AG142">
        <v>188</v>
      </c>
      <c r="AH142">
        <v>2525</v>
      </c>
      <c r="AI142">
        <v>4</v>
      </c>
      <c r="AJ142">
        <v>87</v>
      </c>
      <c r="AK142">
        <v>1648</v>
      </c>
      <c r="AL142">
        <v>2006</v>
      </c>
      <c r="AM142">
        <v>11</v>
      </c>
      <c r="AN142">
        <v>912</v>
      </c>
      <c r="AO142" t="s">
        <v>826</v>
      </c>
    </row>
    <row r="143" spans="1:41">
      <c r="A143">
        <v>135</v>
      </c>
      <c r="B143" s="2">
        <v>45296.6174537037</v>
      </c>
      <c r="C143">
        <v>196.946</v>
      </c>
      <c r="D143" t="s">
        <v>821</v>
      </c>
      <c r="E143" t="s">
        <v>822</v>
      </c>
      <c r="F143">
        <v>50</v>
      </c>
      <c r="G143">
        <f t="shared" si="2"/>
        <v>0</v>
      </c>
      <c r="H143">
        <v>1</v>
      </c>
      <c r="I143">
        <v>2492</v>
      </c>
      <c r="J143">
        <v>5024</v>
      </c>
      <c r="K143">
        <v>29008</v>
      </c>
      <c r="L143" s="1">
        <v>-12495</v>
      </c>
      <c r="M143">
        <v>-12495</v>
      </c>
      <c r="N143">
        <v>39.5</v>
      </c>
      <c r="O143">
        <v>12</v>
      </c>
      <c r="P143">
        <v>65535</v>
      </c>
      <c r="Q143">
        <v>8970</v>
      </c>
      <c r="R143">
        <v>-32767</v>
      </c>
      <c r="S143">
        <v>36.5</v>
      </c>
      <c r="T143">
        <v>13</v>
      </c>
      <c r="U143">
        <v>100</v>
      </c>
      <c r="V143">
        <v>34800</v>
      </c>
      <c r="W143">
        <v>5000</v>
      </c>
      <c r="X143" t="s">
        <v>823</v>
      </c>
      <c r="Y143" t="s">
        <v>830</v>
      </c>
      <c r="Z143" t="s">
        <v>828</v>
      </c>
      <c r="AA143">
        <v>5</v>
      </c>
      <c r="AB143">
        <v>6</v>
      </c>
      <c r="AC143">
        <v>76</v>
      </c>
      <c r="AD143">
        <v>4</v>
      </c>
      <c r="AE143">
        <v>2492</v>
      </c>
      <c r="AF143">
        <v>5024</v>
      </c>
      <c r="AG143">
        <v>189</v>
      </c>
      <c r="AH143">
        <v>2528</v>
      </c>
      <c r="AI143">
        <v>4</v>
      </c>
      <c r="AJ143">
        <v>87</v>
      </c>
      <c r="AK143">
        <v>1648</v>
      </c>
      <c r="AL143">
        <v>2009</v>
      </c>
      <c r="AM143">
        <v>11</v>
      </c>
      <c r="AN143">
        <v>886</v>
      </c>
      <c r="AO143" t="s">
        <v>826</v>
      </c>
    </row>
    <row r="144" spans="1:41">
      <c r="A144">
        <v>136</v>
      </c>
      <c r="B144" s="2">
        <v>45296.6174537037</v>
      </c>
      <c r="C144">
        <v>197.87</v>
      </c>
      <c r="D144" t="s">
        <v>821</v>
      </c>
      <c r="E144" t="s">
        <v>822</v>
      </c>
      <c r="F144">
        <v>50</v>
      </c>
      <c r="G144">
        <f t="shared" si="2"/>
        <v>0</v>
      </c>
      <c r="H144">
        <v>1</v>
      </c>
      <c r="I144">
        <v>2488</v>
      </c>
      <c r="J144">
        <v>5024</v>
      </c>
      <c r="K144">
        <v>29008</v>
      </c>
      <c r="L144" s="1">
        <v>-12493</v>
      </c>
      <c r="M144">
        <v>-12495</v>
      </c>
      <c r="N144">
        <v>39.5</v>
      </c>
      <c r="O144">
        <v>12</v>
      </c>
      <c r="P144">
        <v>65535</v>
      </c>
      <c r="Q144">
        <v>8955</v>
      </c>
      <c r="R144">
        <v>-32767</v>
      </c>
      <c r="S144">
        <v>36.5</v>
      </c>
      <c r="T144">
        <v>13</v>
      </c>
      <c r="U144">
        <v>100</v>
      </c>
      <c r="V144">
        <v>34800</v>
      </c>
      <c r="W144">
        <v>5000</v>
      </c>
      <c r="X144" t="s">
        <v>823</v>
      </c>
      <c r="Y144" t="s">
        <v>830</v>
      </c>
      <c r="Z144" t="s">
        <v>828</v>
      </c>
      <c r="AA144">
        <v>5</v>
      </c>
      <c r="AB144">
        <v>6</v>
      </c>
      <c r="AC144">
        <v>76</v>
      </c>
      <c r="AD144">
        <v>4</v>
      </c>
      <c r="AE144">
        <v>2488</v>
      </c>
      <c r="AF144">
        <v>5024</v>
      </c>
      <c r="AG144">
        <v>190</v>
      </c>
      <c r="AH144">
        <v>2532</v>
      </c>
      <c r="AI144">
        <v>4</v>
      </c>
      <c r="AJ144">
        <v>87</v>
      </c>
      <c r="AK144">
        <v>1648</v>
      </c>
      <c r="AL144">
        <v>2013</v>
      </c>
      <c r="AM144">
        <v>11</v>
      </c>
      <c r="AN144">
        <v>886</v>
      </c>
      <c r="AO144" t="s">
        <v>826</v>
      </c>
    </row>
    <row r="145" spans="1:41">
      <c r="A145">
        <v>137</v>
      </c>
      <c r="B145" s="2">
        <v>45296.6174884259</v>
      </c>
      <c r="C145">
        <v>200.201</v>
      </c>
      <c r="D145" t="s">
        <v>821</v>
      </c>
      <c r="E145" t="s">
        <v>822</v>
      </c>
      <c r="F145">
        <v>50</v>
      </c>
      <c r="G145">
        <f t="shared" si="2"/>
        <v>0</v>
      </c>
      <c r="H145">
        <v>1</v>
      </c>
      <c r="I145">
        <v>2481</v>
      </c>
      <c r="J145">
        <v>5024</v>
      </c>
      <c r="K145">
        <v>28992</v>
      </c>
      <c r="L145" s="1">
        <v>-12495</v>
      </c>
      <c r="M145">
        <v>-12495</v>
      </c>
      <c r="N145">
        <v>39.6</v>
      </c>
      <c r="O145">
        <v>12</v>
      </c>
      <c r="P145">
        <v>65535</v>
      </c>
      <c r="Q145">
        <v>8930</v>
      </c>
      <c r="R145">
        <v>-32767</v>
      </c>
      <c r="S145">
        <v>36.6</v>
      </c>
      <c r="T145">
        <v>13</v>
      </c>
      <c r="U145">
        <v>100</v>
      </c>
      <c r="V145">
        <v>34800</v>
      </c>
      <c r="W145">
        <v>5000</v>
      </c>
      <c r="X145" t="s">
        <v>823</v>
      </c>
      <c r="Y145" t="s">
        <v>830</v>
      </c>
      <c r="Z145" t="s">
        <v>828</v>
      </c>
      <c r="AA145">
        <v>5</v>
      </c>
      <c r="AB145">
        <v>6</v>
      </c>
      <c r="AC145">
        <v>76</v>
      </c>
      <c r="AD145">
        <v>4</v>
      </c>
      <c r="AE145">
        <v>2481</v>
      </c>
      <c r="AF145">
        <v>5024</v>
      </c>
      <c r="AG145">
        <v>192</v>
      </c>
      <c r="AH145">
        <v>2539</v>
      </c>
      <c r="AI145">
        <v>4</v>
      </c>
      <c r="AJ145">
        <v>87</v>
      </c>
      <c r="AK145">
        <v>1648</v>
      </c>
      <c r="AL145">
        <v>2020</v>
      </c>
      <c r="AM145">
        <v>11</v>
      </c>
      <c r="AN145">
        <v>914</v>
      </c>
      <c r="AO145" t="s">
        <v>826</v>
      </c>
    </row>
    <row r="146" spans="1:41">
      <c r="A146">
        <v>138</v>
      </c>
      <c r="B146" s="2">
        <v>45296.6175</v>
      </c>
      <c r="C146">
        <v>201.15</v>
      </c>
      <c r="D146" t="s">
        <v>821</v>
      </c>
      <c r="E146" t="s">
        <v>822</v>
      </c>
      <c r="F146">
        <v>50</v>
      </c>
      <c r="G146">
        <f t="shared" si="2"/>
        <v>0</v>
      </c>
      <c r="H146">
        <v>1</v>
      </c>
      <c r="I146">
        <v>2478</v>
      </c>
      <c r="J146">
        <v>5024</v>
      </c>
      <c r="K146">
        <v>28992</v>
      </c>
      <c r="L146" s="1">
        <v>-12495</v>
      </c>
      <c r="M146">
        <v>-12495</v>
      </c>
      <c r="N146">
        <v>39.6</v>
      </c>
      <c r="O146">
        <v>12</v>
      </c>
      <c r="P146">
        <v>65535</v>
      </c>
      <c r="Q146">
        <v>8919</v>
      </c>
      <c r="R146">
        <v>-32767</v>
      </c>
      <c r="S146">
        <v>36.6</v>
      </c>
      <c r="T146">
        <v>13</v>
      </c>
      <c r="U146">
        <v>100</v>
      </c>
      <c r="V146">
        <v>34800</v>
      </c>
      <c r="W146">
        <v>5000</v>
      </c>
      <c r="X146" t="s">
        <v>823</v>
      </c>
      <c r="Y146" t="s">
        <v>830</v>
      </c>
      <c r="Z146" t="s">
        <v>828</v>
      </c>
      <c r="AA146">
        <v>5</v>
      </c>
      <c r="AB146">
        <v>6</v>
      </c>
      <c r="AC146">
        <v>76</v>
      </c>
      <c r="AD146">
        <v>4</v>
      </c>
      <c r="AE146">
        <v>2478</v>
      </c>
      <c r="AF146">
        <v>5024</v>
      </c>
      <c r="AG146">
        <v>193</v>
      </c>
      <c r="AH146">
        <v>2542</v>
      </c>
      <c r="AI146">
        <v>4</v>
      </c>
      <c r="AJ146">
        <v>87</v>
      </c>
      <c r="AK146">
        <v>1648</v>
      </c>
      <c r="AL146">
        <v>2023</v>
      </c>
      <c r="AM146">
        <v>11</v>
      </c>
      <c r="AN146">
        <v>904</v>
      </c>
      <c r="AO146" t="s">
        <v>826</v>
      </c>
    </row>
    <row r="147" spans="1:41">
      <c r="A147">
        <v>139</v>
      </c>
      <c r="B147" s="2">
        <v>45296.6175231481</v>
      </c>
      <c r="C147">
        <v>203.499</v>
      </c>
      <c r="D147" t="s">
        <v>821</v>
      </c>
      <c r="E147" t="s">
        <v>822</v>
      </c>
      <c r="F147">
        <v>50</v>
      </c>
      <c r="G147">
        <f t="shared" si="2"/>
        <v>0</v>
      </c>
      <c r="H147">
        <v>1</v>
      </c>
      <c r="I147">
        <v>2471</v>
      </c>
      <c r="J147">
        <v>5024</v>
      </c>
      <c r="K147">
        <v>28976</v>
      </c>
      <c r="L147" s="1">
        <v>-12495</v>
      </c>
      <c r="M147">
        <v>-12495</v>
      </c>
      <c r="N147">
        <v>39.7</v>
      </c>
      <c r="O147">
        <v>12</v>
      </c>
      <c r="P147">
        <v>65535</v>
      </c>
      <c r="Q147">
        <v>8894</v>
      </c>
      <c r="R147">
        <v>-32767</v>
      </c>
      <c r="S147">
        <v>36.7</v>
      </c>
      <c r="T147">
        <v>13</v>
      </c>
      <c r="U147">
        <v>100</v>
      </c>
      <c r="V147">
        <v>34800</v>
      </c>
      <c r="W147">
        <v>5000</v>
      </c>
      <c r="X147" t="s">
        <v>823</v>
      </c>
      <c r="Y147" t="s">
        <v>830</v>
      </c>
      <c r="Z147" t="s">
        <v>828</v>
      </c>
      <c r="AA147">
        <v>5</v>
      </c>
      <c r="AB147">
        <v>6</v>
      </c>
      <c r="AC147">
        <v>76</v>
      </c>
      <c r="AD147">
        <v>4</v>
      </c>
      <c r="AE147">
        <v>2467</v>
      </c>
      <c r="AF147">
        <v>5024</v>
      </c>
      <c r="AG147">
        <v>196</v>
      </c>
      <c r="AH147">
        <v>2553</v>
      </c>
      <c r="AI147">
        <v>4</v>
      </c>
      <c r="AJ147">
        <v>87</v>
      </c>
      <c r="AK147">
        <v>1648</v>
      </c>
      <c r="AL147">
        <v>2034</v>
      </c>
      <c r="AM147">
        <v>11</v>
      </c>
      <c r="AN147">
        <v>911</v>
      </c>
      <c r="AO147" t="s">
        <v>826</v>
      </c>
    </row>
    <row r="148" spans="1:41">
      <c r="A148">
        <v>140</v>
      </c>
      <c r="B148" s="2">
        <v>45296.6175347222</v>
      </c>
      <c r="C148">
        <v>204.448</v>
      </c>
      <c r="D148" t="s">
        <v>821</v>
      </c>
      <c r="E148" t="s">
        <v>822</v>
      </c>
      <c r="F148">
        <v>50</v>
      </c>
      <c r="G148">
        <f t="shared" si="2"/>
        <v>0</v>
      </c>
      <c r="H148">
        <v>1</v>
      </c>
      <c r="I148">
        <v>2467</v>
      </c>
      <c r="J148">
        <v>5024</v>
      </c>
      <c r="K148">
        <v>28976</v>
      </c>
      <c r="L148" s="1">
        <v>-12495</v>
      </c>
      <c r="M148">
        <v>-12495</v>
      </c>
      <c r="N148">
        <v>39.7</v>
      </c>
      <c r="O148">
        <v>12</v>
      </c>
      <c r="P148">
        <v>65535</v>
      </c>
      <c r="Q148">
        <v>8879</v>
      </c>
      <c r="R148">
        <v>-32767</v>
      </c>
      <c r="S148">
        <v>36.7</v>
      </c>
      <c r="T148">
        <v>13</v>
      </c>
      <c r="U148">
        <v>100</v>
      </c>
      <c r="V148">
        <v>34800</v>
      </c>
      <c r="W148">
        <v>5000</v>
      </c>
      <c r="X148" t="s">
        <v>823</v>
      </c>
      <c r="Y148" t="s">
        <v>830</v>
      </c>
      <c r="Z148" t="s">
        <v>828</v>
      </c>
      <c r="AA148">
        <v>5</v>
      </c>
      <c r="AB148">
        <v>6</v>
      </c>
      <c r="AC148">
        <v>76</v>
      </c>
      <c r="AD148">
        <v>4</v>
      </c>
      <c r="AE148">
        <v>2467</v>
      </c>
      <c r="AF148">
        <v>5024</v>
      </c>
      <c r="AG148">
        <v>197</v>
      </c>
      <c r="AH148">
        <v>2556</v>
      </c>
      <c r="AI148">
        <v>4</v>
      </c>
      <c r="AJ148">
        <v>87</v>
      </c>
      <c r="AK148">
        <v>1648</v>
      </c>
      <c r="AL148">
        <v>2037</v>
      </c>
      <c r="AM148">
        <v>11</v>
      </c>
      <c r="AN148">
        <v>902</v>
      </c>
      <c r="AO148" t="s">
        <v>826</v>
      </c>
    </row>
    <row r="149" spans="1:41">
      <c r="A149">
        <v>141</v>
      </c>
      <c r="B149" s="2">
        <v>45296.6175462963</v>
      </c>
      <c r="C149">
        <v>205.387</v>
      </c>
      <c r="D149" t="s">
        <v>821</v>
      </c>
      <c r="E149" t="s">
        <v>822</v>
      </c>
      <c r="F149">
        <v>50</v>
      </c>
      <c r="G149">
        <f t="shared" si="2"/>
        <v>0</v>
      </c>
      <c r="H149">
        <v>1</v>
      </c>
      <c r="I149">
        <v>2464</v>
      </c>
      <c r="J149">
        <v>5024</v>
      </c>
      <c r="K149">
        <v>28976</v>
      </c>
      <c r="L149" s="1">
        <v>-12495</v>
      </c>
      <c r="M149">
        <v>-12495</v>
      </c>
      <c r="N149">
        <v>39.7</v>
      </c>
      <c r="O149">
        <v>12</v>
      </c>
      <c r="P149">
        <v>65535</v>
      </c>
      <c r="Q149">
        <v>8868</v>
      </c>
      <c r="R149">
        <v>-32767</v>
      </c>
      <c r="S149">
        <v>36.7</v>
      </c>
      <c r="T149">
        <v>13</v>
      </c>
      <c r="U149">
        <v>100</v>
      </c>
      <c r="V149">
        <v>34800</v>
      </c>
      <c r="W149">
        <v>5000</v>
      </c>
      <c r="X149" t="s">
        <v>823</v>
      </c>
      <c r="Y149" t="s">
        <v>830</v>
      </c>
      <c r="Z149" t="s">
        <v>828</v>
      </c>
      <c r="AA149">
        <v>5</v>
      </c>
      <c r="AB149">
        <v>6</v>
      </c>
      <c r="AC149">
        <v>76</v>
      </c>
      <c r="AD149">
        <v>4</v>
      </c>
      <c r="AE149">
        <v>2464</v>
      </c>
      <c r="AF149">
        <v>5024</v>
      </c>
      <c r="AG149">
        <v>197</v>
      </c>
      <c r="AH149">
        <v>2556</v>
      </c>
      <c r="AI149">
        <v>4</v>
      </c>
      <c r="AJ149">
        <v>87</v>
      </c>
      <c r="AK149">
        <v>1648</v>
      </c>
      <c r="AL149">
        <v>2041</v>
      </c>
      <c r="AM149">
        <v>11</v>
      </c>
      <c r="AN149">
        <v>899</v>
      </c>
      <c r="AO149" t="s">
        <v>826</v>
      </c>
    </row>
    <row r="150" spans="1:41">
      <c r="A150">
        <v>142</v>
      </c>
      <c r="B150" s="2">
        <v>45296.6175694444</v>
      </c>
      <c r="C150">
        <v>207.745</v>
      </c>
      <c r="D150" t="s">
        <v>821</v>
      </c>
      <c r="E150" t="s">
        <v>822</v>
      </c>
      <c r="F150">
        <v>49</v>
      </c>
      <c r="G150">
        <f t="shared" si="2"/>
        <v>1</v>
      </c>
      <c r="H150">
        <v>1</v>
      </c>
      <c r="I150">
        <v>2457</v>
      </c>
      <c r="J150">
        <v>5024</v>
      </c>
      <c r="K150">
        <v>28960</v>
      </c>
      <c r="L150" s="1">
        <v>-12495</v>
      </c>
      <c r="M150">
        <v>-12495</v>
      </c>
      <c r="N150">
        <v>39.8</v>
      </c>
      <c r="O150">
        <v>12</v>
      </c>
      <c r="P150">
        <v>65535</v>
      </c>
      <c r="Q150">
        <v>8828</v>
      </c>
      <c r="R150">
        <v>-32767</v>
      </c>
      <c r="S150">
        <v>36.7</v>
      </c>
      <c r="T150">
        <v>13</v>
      </c>
      <c r="U150">
        <v>100</v>
      </c>
      <c r="V150">
        <v>34800</v>
      </c>
      <c r="W150">
        <v>5000</v>
      </c>
      <c r="X150" t="s">
        <v>823</v>
      </c>
      <c r="Y150" t="s">
        <v>830</v>
      </c>
      <c r="Z150" t="s">
        <v>828</v>
      </c>
      <c r="AA150">
        <v>5</v>
      </c>
      <c r="AB150">
        <v>6</v>
      </c>
      <c r="AC150">
        <v>76</v>
      </c>
      <c r="AD150">
        <v>4</v>
      </c>
      <c r="AE150">
        <v>2453</v>
      </c>
      <c r="AF150">
        <v>5024</v>
      </c>
      <c r="AG150">
        <v>200</v>
      </c>
      <c r="AH150">
        <v>2567</v>
      </c>
      <c r="AI150">
        <v>4</v>
      </c>
      <c r="AJ150">
        <v>87</v>
      </c>
      <c r="AK150">
        <v>1648</v>
      </c>
      <c r="AL150">
        <v>2048</v>
      </c>
      <c r="AM150">
        <v>11</v>
      </c>
      <c r="AN150">
        <v>900</v>
      </c>
      <c r="AO150" t="s">
        <v>826</v>
      </c>
    </row>
    <row r="151" spans="1:41">
      <c r="A151">
        <v>143</v>
      </c>
      <c r="B151" s="2">
        <v>45296.6175810185</v>
      </c>
      <c r="C151">
        <v>208.69</v>
      </c>
      <c r="D151" t="s">
        <v>821</v>
      </c>
      <c r="E151" t="s">
        <v>822</v>
      </c>
      <c r="F151">
        <v>49</v>
      </c>
      <c r="G151">
        <f t="shared" si="2"/>
        <v>0</v>
      </c>
      <c r="H151">
        <v>1</v>
      </c>
      <c r="I151">
        <v>2453</v>
      </c>
      <c r="J151">
        <v>5024</v>
      </c>
      <c r="K151">
        <v>28960</v>
      </c>
      <c r="L151" s="1">
        <v>-12495</v>
      </c>
      <c r="M151">
        <v>-12495</v>
      </c>
      <c r="N151">
        <v>39.8</v>
      </c>
      <c r="O151">
        <v>12</v>
      </c>
      <c r="P151">
        <v>65535</v>
      </c>
      <c r="Q151">
        <v>8828</v>
      </c>
      <c r="R151">
        <v>-32767</v>
      </c>
      <c r="S151">
        <v>36.7</v>
      </c>
      <c r="T151">
        <v>13</v>
      </c>
      <c r="U151">
        <v>100</v>
      </c>
      <c r="V151">
        <v>34800</v>
      </c>
      <c r="W151">
        <v>5000</v>
      </c>
      <c r="X151" t="s">
        <v>823</v>
      </c>
      <c r="Y151" t="s">
        <v>830</v>
      </c>
      <c r="Z151" t="s">
        <v>828</v>
      </c>
      <c r="AA151">
        <v>5</v>
      </c>
      <c r="AB151">
        <v>6</v>
      </c>
      <c r="AC151">
        <v>76</v>
      </c>
      <c r="AD151">
        <v>4</v>
      </c>
      <c r="AE151">
        <v>2450</v>
      </c>
      <c r="AF151">
        <v>5024</v>
      </c>
      <c r="AG151">
        <v>201</v>
      </c>
      <c r="AH151">
        <v>2570</v>
      </c>
      <c r="AI151">
        <v>4</v>
      </c>
      <c r="AJ151">
        <v>87</v>
      </c>
      <c r="AK151">
        <v>1648</v>
      </c>
      <c r="AL151">
        <v>2051</v>
      </c>
      <c r="AM151">
        <v>11</v>
      </c>
      <c r="AN151">
        <v>909</v>
      </c>
      <c r="AO151" t="s">
        <v>826</v>
      </c>
    </row>
    <row r="152" spans="1:41">
      <c r="A152">
        <v>144</v>
      </c>
      <c r="B152" s="2">
        <v>45296.6175925926</v>
      </c>
      <c r="C152">
        <v>209.636</v>
      </c>
      <c r="D152" t="s">
        <v>821</v>
      </c>
      <c r="E152" t="s">
        <v>822</v>
      </c>
      <c r="F152">
        <v>49</v>
      </c>
      <c r="G152">
        <f t="shared" si="2"/>
        <v>0</v>
      </c>
      <c r="H152">
        <v>1</v>
      </c>
      <c r="I152">
        <v>2450</v>
      </c>
      <c r="J152">
        <v>5024</v>
      </c>
      <c r="K152">
        <v>28952</v>
      </c>
      <c r="L152" s="1">
        <v>-12495</v>
      </c>
      <c r="M152">
        <v>-12495</v>
      </c>
      <c r="N152">
        <v>39.8</v>
      </c>
      <c r="O152">
        <v>12</v>
      </c>
      <c r="P152">
        <v>65535</v>
      </c>
      <c r="Q152">
        <v>8818</v>
      </c>
      <c r="R152">
        <v>-32767</v>
      </c>
      <c r="S152">
        <v>36.7</v>
      </c>
      <c r="T152">
        <v>13</v>
      </c>
      <c r="U152">
        <v>100</v>
      </c>
      <c r="V152">
        <v>34800</v>
      </c>
      <c r="W152">
        <v>5000</v>
      </c>
      <c r="X152" t="s">
        <v>823</v>
      </c>
      <c r="Y152" t="s">
        <v>830</v>
      </c>
      <c r="Z152" t="s">
        <v>828</v>
      </c>
      <c r="AA152">
        <v>5</v>
      </c>
      <c r="AB152">
        <v>6</v>
      </c>
      <c r="AC152">
        <v>76</v>
      </c>
      <c r="AD152">
        <v>4</v>
      </c>
      <c r="AE152">
        <v>2447</v>
      </c>
      <c r="AF152">
        <v>5024</v>
      </c>
      <c r="AG152">
        <v>202</v>
      </c>
      <c r="AH152">
        <v>2573</v>
      </c>
      <c r="AI152">
        <v>4</v>
      </c>
      <c r="AJ152">
        <v>87</v>
      </c>
      <c r="AK152">
        <v>1648</v>
      </c>
      <c r="AL152">
        <v>2054</v>
      </c>
      <c r="AM152">
        <v>11</v>
      </c>
      <c r="AN152">
        <v>901</v>
      </c>
      <c r="AO152" t="s">
        <v>826</v>
      </c>
    </row>
    <row r="153" spans="1:41">
      <c r="A153">
        <v>145</v>
      </c>
      <c r="B153" s="2">
        <v>45296.6176273148</v>
      </c>
      <c r="C153">
        <v>212.004</v>
      </c>
      <c r="D153" t="s">
        <v>821</v>
      </c>
      <c r="E153" t="s">
        <v>822</v>
      </c>
      <c r="F153">
        <v>49</v>
      </c>
      <c r="G153">
        <f t="shared" si="2"/>
        <v>0</v>
      </c>
      <c r="H153">
        <v>1</v>
      </c>
      <c r="I153">
        <v>2440</v>
      </c>
      <c r="J153">
        <v>5024</v>
      </c>
      <c r="K153">
        <v>28936</v>
      </c>
      <c r="L153" s="1">
        <v>-12495</v>
      </c>
      <c r="M153">
        <v>-12495</v>
      </c>
      <c r="N153">
        <v>39.8</v>
      </c>
      <c r="O153">
        <v>12</v>
      </c>
      <c r="P153">
        <v>65535</v>
      </c>
      <c r="Q153">
        <v>8781</v>
      </c>
      <c r="R153">
        <v>-32767</v>
      </c>
      <c r="S153">
        <v>36.8</v>
      </c>
      <c r="T153">
        <v>13</v>
      </c>
      <c r="U153">
        <v>100</v>
      </c>
      <c r="V153">
        <v>34800</v>
      </c>
      <c r="W153">
        <v>5000</v>
      </c>
      <c r="X153" t="s">
        <v>823</v>
      </c>
      <c r="Y153" t="s">
        <v>830</v>
      </c>
      <c r="Z153" t="s">
        <v>828</v>
      </c>
      <c r="AA153">
        <v>5</v>
      </c>
      <c r="AB153">
        <v>6</v>
      </c>
      <c r="AC153">
        <v>76</v>
      </c>
      <c r="AD153">
        <v>4</v>
      </c>
      <c r="AE153">
        <v>2440</v>
      </c>
      <c r="AF153">
        <v>5024</v>
      </c>
      <c r="AG153">
        <v>204</v>
      </c>
      <c r="AH153">
        <v>2580</v>
      </c>
      <c r="AI153">
        <v>4</v>
      </c>
      <c r="AJ153">
        <v>87</v>
      </c>
      <c r="AK153">
        <v>1648</v>
      </c>
      <c r="AL153">
        <v>2061</v>
      </c>
      <c r="AM153">
        <v>11</v>
      </c>
      <c r="AN153">
        <v>907</v>
      </c>
      <c r="AO153" t="s">
        <v>826</v>
      </c>
    </row>
    <row r="154" spans="1:41">
      <c r="A154">
        <v>146</v>
      </c>
      <c r="B154" s="2">
        <v>45296.6176388889</v>
      </c>
      <c r="C154">
        <v>212.95</v>
      </c>
      <c r="D154" t="s">
        <v>821</v>
      </c>
      <c r="E154" t="s">
        <v>822</v>
      </c>
      <c r="F154">
        <v>49</v>
      </c>
      <c r="G154">
        <f t="shared" si="2"/>
        <v>0</v>
      </c>
      <c r="H154">
        <v>1</v>
      </c>
      <c r="I154">
        <v>2436</v>
      </c>
      <c r="J154">
        <v>5024</v>
      </c>
      <c r="K154">
        <v>28936</v>
      </c>
      <c r="L154" s="1">
        <v>-12495</v>
      </c>
      <c r="M154">
        <v>-12495</v>
      </c>
      <c r="N154">
        <v>39.8</v>
      </c>
      <c r="O154">
        <v>12</v>
      </c>
      <c r="P154">
        <v>65535</v>
      </c>
      <c r="Q154">
        <v>8767</v>
      </c>
      <c r="R154">
        <v>-32767</v>
      </c>
      <c r="S154">
        <v>36.8</v>
      </c>
      <c r="T154">
        <v>13</v>
      </c>
      <c r="U154">
        <v>100</v>
      </c>
      <c r="V154">
        <v>34800</v>
      </c>
      <c r="W154">
        <v>5000</v>
      </c>
      <c r="X154" t="s">
        <v>823</v>
      </c>
      <c r="Y154" t="s">
        <v>830</v>
      </c>
      <c r="Z154" t="s">
        <v>828</v>
      </c>
      <c r="AA154">
        <v>5</v>
      </c>
      <c r="AB154">
        <v>6</v>
      </c>
      <c r="AC154">
        <v>76</v>
      </c>
      <c r="AD154">
        <v>4</v>
      </c>
      <c r="AE154">
        <v>2436</v>
      </c>
      <c r="AF154">
        <v>5024</v>
      </c>
      <c r="AG154">
        <v>205</v>
      </c>
      <c r="AH154">
        <v>2584</v>
      </c>
      <c r="AI154">
        <v>4</v>
      </c>
      <c r="AJ154">
        <v>87</v>
      </c>
      <c r="AK154">
        <v>1648</v>
      </c>
      <c r="AL154">
        <v>2065</v>
      </c>
      <c r="AM154">
        <v>11</v>
      </c>
      <c r="AN154">
        <v>898</v>
      </c>
      <c r="AO154" t="s">
        <v>826</v>
      </c>
    </row>
    <row r="155" spans="1:41">
      <c r="A155">
        <v>147</v>
      </c>
      <c r="B155" s="2">
        <v>45296.6176388889</v>
      </c>
      <c r="C155">
        <v>213.901</v>
      </c>
      <c r="D155" t="s">
        <v>821</v>
      </c>
      <c r="E155" t="s">
        <v>822</v>
      </c>
      <c r="F155">
        <v>49</v>
      </c>
      <c r="G155">
        <f t="shared" si="2"/>
        <v>0</v>
      </c>
      <c r="H155">
        <v>1</v>
      </c>
      <c r="I155">
        <v>2433</v>
      </c>
      <c r="J155">
        <v>5024</v>
      </c>
      <c r="K155">
        <v>28928</v>
      </c>
      <c r="L155" s="1">
        <v>-12496</v>
      </c>
      <c r="M155">
        <v>-12495</v>
      </c>
      <c r="N155">
        <v>39.8</v>
      </c>
      <c r="O155">
        <v>12</v>
      </c>
      <c r="P155">
        <v>65535</v>
      </c>
      <c r="Q155">
        <v>8756</v>
      </c>
      <c r="R155">
        <v>-32767</v>
      </c>
      <c r="S155">
        <v>36.8</v>
      </c>
      <c r="T155">
        <v>13</v>
      </c>
      <c r="U155">
        <v>100</v>
      </c>
      <c r="V155">
        <v>34800</v>
      </c>
      <c r="W155">
        <v>5000</v>
      </c>
      <c r="X155" t="s">
        <v>823</v>
      </c>
      <c r="Y155" t="s">
        <v>830</v>
      </c>
      <c r="Z155" t="s">
        <v>828</v>
      </c>
      <c r="AA155">
        <v>5</v>
      </c>
      <c r="AB155">
        <v>6</v>
      </c>
      <c r="AC155">
        <v>76</v>
      </c>
      <c r="AD155">
        <v>4</v>
      </c>
      <c r="AE155">
        <v>2433</v>
      </c>
      <c r="AF155">
        <v>5024</v>
      </c>
      <c r="AG155">
        <v>206</v>
      </c>
      <c r="AH155">
        <v>2587</v>
      </c>
      <c r="AI155">
        <v>4</v>
      </c>
      <c r="AJ155">
        <v>87</v>
      </c>
      <c r="AK155">
        <v>1648</v>
      </c>
      <c r="AL155">
        <v>2068</v>
      </c>
      <c r="AM155">
        <v>11</v>
      </c>
      <c r="AN155">
        <v>899</v>
      </c>
      <c r="AO155" t="s">
        <v>826</v>
      </c>
    </row>
    <row r="156" spans="1:41">
      <c r="A156">
        <v>148</v>
      </c>
      <c r="B156" s="2">
        <v>45296.6176736111</v>
      </c>
      <c r="C156">
        <v>216.269</v>
      </c>
      <c r="D156" t="s">
        <v>821</v>
      </c>
      <c r="E156" t="s">
        <v>822</v>
      </c>
      <c r="F156">
        <v>49</v>
      </c>
      <c r="G156">
        <f t="shared" si="2"/>
        <v>0</v>
      </c>
      <c r="H156">
        <v>1</v>
      </c>
      <c r="I156">
        <v>2426</v>
      </c>
      <c r="J156">
        <v>5024</v>
      </c>
      <c r="K156">
        <v>28920</v>
      </c>
      <c r="L156" s="1">
        <v>-12493</v>
      </c>
      <c r="M156">
        <v>-12495</v>
      </c>
      <c r="N156">
        <v>39.8</v>
      </c>
      <c r="O156">
        <v>12</v>
      </c>
      <c r="P156">
        <v>65535</v>
      </c>
      <c r="Q156">
        <v>8731</v>
      </c>
      <c r="R156">
        <v>-32767</v>
      </c>
      <c r="S156">
        <v>36.8</v>
      </c>
      <c r="T156">
        <v>13</v>
      </c>
      <c r="U156">
        <v>100</v>
      </c>
      <c r="V156">
        <v>34800</v>
      </c>
      <c r="W156">
        <v>5000</v>
      </c>
      <c r="X156" t="s">
        <v>823</v>
      </c>
      <c r="Y156" t="s">
        <v>830</v>
      </c>
      <c r="Z156" t="s">
        <v>828</v>
      </c>
      <c r="AA156">
        <v>5</v>
      </c>
      <c r="AB156">
        <v>6</v>
      </c>
      <c r="AC156">
        <v>76</v>
      </c>
      <c r="AD156">
        <v>4</v>
      </c>
      <c r="AE156">
        <v>2426</v>
      </c>
      <c r="AF156">
        <v>5024</v>
      </c>
      <c r="AG156">
        <v>208</v>
      </c>
      <c r="AH156">
        <v>2594</v>
      </c>
      <c r="AI156">
        <v>4</v>
      </c>
      <c r="AJ156">
        <v>87</v>
      </c>
      <c r="AK156">
        <v>1648</v>
      </c>
      <c r="AL156">
        <v>2075</v>
      </c>
      <c r="AM156">
        <v>11</v>
      </c>
      <c r="AN156">
        <v>907</v>
      </c>
      <c r="AO156" t="s">
        <v>826</v>
      </c>
    </row>
    <row r="157" spans="1:41">
      <c r="A157">
        <v>149</v>
      </c>
      <c r="B157" s="2">
        <v>45296.6176851852</v>
      </c>
      <c r="C157">
        <v>217.216</v>
      </c>
      <c r="D157" t="s">
        <v>821</v>
      </c>
      <c r="E157" t="s">
        <v>822</v>
      </c>
      <c r="F157">
        <v>49</v>
      </c>
      <c r="G157">
        <f t="shared" si="2"/>
        <v>0</v>
      </c>
      <c r="H157">
        <v>1</v>
      </c>
      <c r="I157">
        <v>2422</v>
      </c>
      <c r="J157">
        <v>5024</v>
      </c>
      <c r="K157">
        <v>28920</v>
      </c>
      <c r="L157" s="1">
        <v>-12496</v>
      </c>
      <c r="M157">
        <v>-12495</v>
      </c>
      <c r="N157">
        <v>39.8</v>
      </c>
      <c r="O157">
        <v>12</v>
      </c>
      <c r="P157">
        <v>65535</v>
      </c>
      <c r="Q157">
        <v>8716</v>
      </c>
      <c r="R157">
        <v>-32767</v>
      </c>
      <c r="S157">
        <v>36.8</v>
      </c>
      <c r="T157">
        <v>13</v>
      </c>
      <c r="U157">
        <v>100</v>
      </c>
      <c r="V157">
        <v>34800</v>
      </c>
      <c r="W157">
        <v>5000</v>
      </c>
      <c r="X157" t="s">
        <v>823</v>
      </c>
      <c r="Y157" t="s">
        <v>830</v>
      </c>
      <c r="Z157" t="s">
        <v>828</v>
      </c>
      <c r="AA157">
        <v>5</v>
      </c>
      <c r="AB157">
        <v>6</v>
      </c>
      <c r="AC157">
        <v>76</v>
      </c>
      <c r="AD157">
        <v>4</v>
      </c>
      <c r="AE157">
        <v>2422</v>
      </c>
      <c r="AF157">
        <v>5024</v>
      </c>
      <c r="AG157">
        <v>209</v>
      </c>
      <c r="AH157">
        <v>2598</v>
      </c>
      <c r="AI157">
        <v>4</v>
      </c>
      <c r="AJ157">
        <v>87</v>
      </c>
      <c r="AK157">
        <v>1648</v>
      </c>
      <c r="AL157">
        <v>2079</v>
      </c>
      <c r="AM157">
        <v>11</v>
      </c>
      <c r="AN157">
        <v>900</v>
      </c>
      <c r="AO157" t="s">
        <v>826</v>
      </c>
    </row>
    <row r="158" spans="1:41">
      <c r="A158">
        <v>150</v>
      </c>
      <c r="B158" s="2">
        <v>45296.6177083333</v>
      </c>
      <c r="C158">
        <v>219.572</v>
      </c>
      <c r="D158" t="s">
        <v>821</v>
      </c>
      <c r="E158" t="s">
        <v>822</v>
      </c>
      <c r="F158">
        <v>49</v>
      </c>
      <c r="G158">
        <f t="shared" si="2"/>
        <v>0</v>
      </c>
      <c r="H158">
        <v>1</v>
      </c>
      <c r="I158">
        <v>2415</v>
      </c>
      <c r="J158">
        <v>5024</v>
      </c>
      <c r="K158">
        <v>28904</v>
      </c>
      <c r="L158" s="1">
        <v>-12495</v>
      </c>
      <c r="M158">
        <v>-12495</v>
      </c>
      <c r="N158">
        <v>39.9</v>
      </c>
      <c r="O158">
        <v>12</v>
      </c>
      <c r="P158">
        <v>65535</v>
      </c>
      <c r="Q158">
        <v>8691</v>
      </c>
      <c r="R158">
        <v>-32767</v>
      </c>
      <c r="S158">
        <v>36.8</v>
      </c>
      <c r="T158">
        <v>13</v>
      </c>
      <c r="U158">
        <v>100</v>
      </c>
      <c r="V158">
        <v>34800</v>
      </c>
      <c r="W158">
        <v>5000</v>
      </c>
      <c r="X158" t="s">
        <v>823</v>
      </c>
      <c r="Y158" t="s">
        <v>830</v>
      </c>
      <c r="Z158" t="s">
        <v>828</v>
      </c>
      <c r="AA158">
        <v>5</v>
      </c>
      <c r="AB158">
        <v>6</v>
      </c>
      <c r="AC158">
        <v>76</v>
      </c>
      <c r="AD158">
        <v>4</v>
      </c>
      <c r="AE158">
        <v>2412</v>
      </c>
      <c r="AF158">
        <v>5024</v>
      </c>
      <c r="AG158">
        <v>212</v>
      </c>
      <c r="AH158">
        <v>2608</v>
      </c>
      <c r="AI158">
        <v>4</v>
      </c>
      <c r="AJ158">
        <v>87</v>
      </c>
      <c r="AK158">
        <v>1648</v>
      </c>
      <c r="AL158">
        <v>2089</v>
      </c>
      <c r="AM158">
        <v>11</v>
      </c>
      <c r="AN158">
        <v>888</v>
      </c>
      <c r="AO158" t="s">
        <v>826</v>
      </c>
    </row>
    <row r="159" spans="1:41">
      <c r="A159">
        <v>151</v>
      </c>
      <c r="B159" s="2">
        <v>45296.6177199074</v>
      </c>
      <c r="C159">
        <v>220.497</v>
      </c>
      <c r="D159" t="s">
        <v>821</v>
      </c>
      <c r="E159" t="s">
        <v>822</v>
      </c>
      <c r="F159">
        <v>49</v>
      </c>
      <c r="G159">
        <f t="shared" si="2"/>
        <v>0</v>
      </c>
      <c r="H159">
        <v>1</v>
      </c>
      <c r="I159">
        <v>2412</v>
      </c>
      <c r="J159">
        <v>5024</v>
      </c>
      <c r="K159">
        <v>28904</v>
      </c>
      <c r="L159" s="1">
        <v>-12495</v>
      </c>
      <c r="M159">
        <v>-12495</v>
      </c>
      <c r="N159">
        <v>39.9</v>
      </c>
      <c r="O159">
        <v>12</v>
      </c>
      <c r="P159">
        <v>65535</v>
      </c>
      <c r="Q159">
        <v>8680</v>
      </c>
      <c r="R159">
        <v>-32767</v>
      </c>
      <c r="S159">
        <v>36.9</v>
      </c>
      <c r="T159">
        <v>13</v>
      </c>
      <c r="U159">
        <v>100</v>
      </c>
      <c r="V159">
        <v>34800</v>
      </c>
      <c r="W159">
        <v>5000</v>
      </c>
      <c r="X159" t="s">
        <v>823</v>
      </c>
      <c r="Y159" t="s">
        <v>830</v>
      </c>
      <c r="Z159" t="s">
        <v>828</v>
      </c>
      <c r="AA159">
        <v>5</v>
      </c>
      <c r="AB159">
        <v>6</v>
      </c>
      <c r="AC159">
        <v>76</v>
      </c>
      <c r="AD159">
        <v>4</v>
      </c>
      <c r="AE159">
        <v>2412</v>
      </c>
      <c r="AF159">
        <v>5024</v>
      </c>
      <c r="AG159">
        <v>213</v>
      </c>
      <c r="AH159">
        <v>2612</v>
      </c>
      <c r="AI159">
        <v>4</v>
      </c>
      <c r="AJ159">
        <v>87</v>
      </c>
      <c r="AK159">
        <v>1648</v>
      </c>
      <c r="AL159">
        <v>2093</v>
      </c>
      <c r="AM159">
        <v>11</v>
      </c>
      <c r="AN159">
        <v>900</v>
      </c>
      <c r="AO159" t="s">
        <v>826</v>
      </c>
    </row>
    <row r="160" spans="1:41">
      <c r="A160">
        <v>152</v>
      </c>
      <c r="B160" s="2">
        <v>45296.6177314815</v>
      </c>
      <c r="C160">
        <v>221.444</v>
      </c>
      <c r="D160" t="s">
        <v>821</v>
      </c>
      <c r="E160" t="s">
        <v>822</v>
      </c>
      <c r="F160">
        <v>48</v>
      </c>
      <c r="G160">
        <f t="shared" si="2"/>
        <v>1</v>
      </c>
      <c r="H160">
        <v>1</v>
      </c>
      <c r="I160">
        <v>2408</v>
      </c>
      <c r="J160">
        <v>5024</v>
      </c>
      <c r="K160">
        <v>28896</v>
      </c>
      <c r="L160" s="1">
        <v>-12495</v>
      </c>
      <c r="M160">
        <v>-12495</v>
      </c>
      <c r="N160">
        <v>39.9</v>
      </c>
      <c r="O160">
        <v>12</v>
      </c>
      <c r="P160">
        <v>65535</v>
      </c>
      <c r="Q160">
        <v>8666</v>
      </c>
      <c r="R160">
        <v>-32767</v>
      </c>
      <c r="S160">
        <v>36.9</v>
      </c>
      <c r="T160">
        <v>13</v>
      </c>
      <c r="U160">
        <v>100</v>
      </c>
      <c r="V160">
        <v>34800</v>
      </c>
      <c r="W160">
        <v>5000</v>
      </c>
      <c r="X160" t="s">
        <v>823</v>
      </c>
      <c r="Y160" t="s">
        <v>830</v>
      </c>
      <c r="Z160" t="s">
        <v>828</v>
      </c>
      <c r="AA160">
        <v>5</v>
      </c>
      <c r="AB160">
        <v>6</v>
      </c>
      <c r="AC160">
        <v>76</v>
      </c>
      <c r="AD160">
        <v>4</v>
      </c>
      <c r="AE160">
        <v>2408</v>
      </c>
      <c r="AF160">
        <v>5024</v>
      </c>
      <c r="AG160">
        <v>213</v>
      </c>
      <c r="AH160">
        <v>2612</v>
      </c>
      <c r="AI160">
        <v>4</v>
      </c>
      <c r="AJ160">
        <v>87</v>
      </c>
      <c r="AK160">
        <v>1648</v>
      </c>
      <c r="AL160">
        <v>2096</v>
      </c>
      <c r="AM160">
        <v>11</v>
      </c>
      <c r="AN160">
        <v>906</v>
      </c>
      <c r="AO160" t="s">
        <v>826</v>
      </c>
    </row>
    <row r="161" spans="1:41">
      <c r="A161">
        <v>153</v>
      </c>
      <c r="B161" s="2">
        <v>45296.6177546296</v>
      </c>
      <c r="C161">
        <v>223.792</v>
      </c>
      <c r="D161" t="s">
        <v>821</v>
      </c>
      <c r="E161" t="s">
        <v>822</v>
      </c>
      <c r="F161">
        <v>48</v>
      </c>
      <c r="G161">
        <f t="shared" si="2"/>
        <v>0</v>
      </c>
      <c r="H161">
        <v>1</v>
      </c>
      <c r="I161">
        <v>2401</v>
      </c>
      <c r="J161">
        <v>5024</v>
      </c>
      <c r="K161">
        <v>28880</v>
      </c>
      <c r="L161" s="1">
        <v>-12495</v>
      </c>
      <c r="M161">
        <v>-12495</v>
      </c>
      <c r="N161">
        <v>40</v>
      </c>
      <c r="O161">
        <v>12</v>
      </c>
      <c r="P161">
        <v>65535</v>
      </c>
      <c r="Q161">
        <v>8630</v>
      </c>
      <c r="R161">
        <v>-32767</v>
      </c>
      <c r="S161">
        <v>36.9</v>
      </c>
      <c r="T161">
        <v>13</v>
      </c>
      <c r="U161">
        <v>100</v>
      </c>
      <c r="V161">
        <v>34800</v>
      </c>
      <c r="W161">
        <v>5000</v>
      </c>
      <c r="X161" t="s">
        <v>823</v>
      </c>
      <c r="Y161" t="s">
        <v>830</v>
      </c>
      <c r="Z161" t="s">
        <v>828</v>
      </c>
      <c r="AA161">
        <v>5</v>
      </c>
      <c r="AB161">
        <v>6</v>
      </c>
      <c r="AC161">
        <v>76</v>
      </c>
      <c r="AD161">
        <v>4</v>
      </c>
      <c r="AE161">
        <v>2398</v>
      </c>
      <c r="AF161">
        <v>5024</v>
      </c>
      <c r="AG161">
        <v>216</v>
      </c>
      <c r="AH161">
        <v>2622</v>
      </c>
      <c r="AI161">
        <v>4</v>
      </c>
      <c r="AJ161">
        <v>87</v>
      </c>
      <c r="AK161">
        <v>1648</v>
      </c>
      <c r="AL161">
        <v>2103</v>
      </c>
      <c r="AM161">
        <v>11</v>
      </c>
      <c r="AN161">
        <v>929</v>
      </c>
      <c r="AO161" t="s">
        <v>826</v>
      </c>
    </row>
    <row r="162" spans="1:41">
      <c r="A162">
        <v>154</v>
      </c>
      <c r="B162" s="2">
        <v>45296.6177662037</v>
      </c>
      <c r="C162">
        <v>224.757</v>
      </c>
      <c r="D162" t="s">
        <v>821</v>
      </c>
      <c r="E162" t="s">
        <v>822</v>
      </c>
      <c r="F162">
        <v>48</v>
      </c>
      <c r="G162">
        <f t="shared" si="2"/>
        <v>0</v>
      </c>
      <c r="H162">
        <v>1</v>
      </c>
      <c r="I162">
        <v>2398</v>
      </c>
      <c r="J162">
        <v>5024</v>
      </c>
      <c r="K162">
        <v>28880</v>
      </c>
      <c r="L162" s="1">
        <v>-12495</v>
      </c>
      <c r="M162">
        <v>-12495</v>
      </c>
      <c r="N162">
        <v>40</v>
      </c>
      <c r="O162">
        <v>11</v>
      </c>
      <c r="P162">
        <v>65535</v>
      </c>
      <c r="Q162">
        <v>8615</v>
      </c>
      <c r="R162">
        <v>-32767</v>
      </c>
      <c r="S162">
        <v>36.9</v>
      </c>
      <c r="T162">
        <v>13</v>
      </c>
      <c r="U162">
        <v>100</v>
      </c>
      <c r="V162">
        <v>34800</v>
      </c>
      <c r="W162">
        <v>5000</v>
      </c>
      <c r="X162" t="s">
        <v>823</v>
      </c>
      <c r="Y162" t="s">
        <v>830</v>
      </c>
      <c r="Z162" t="s">
        <v>828</v>
      </c>
      <c r="AA162">
        <v>5</v>
      </c>
      <c r="AB162">
        <v>6</v>
      </c>
      <c r="AC162">
        <v>76</v>
      </c>
      <c r="AD162">
        <v>4</v>
      </c>
      <c r="AE162">
        <v>2394</v>
      </c>
      <c r="AF162">
        <v>5024</v>
      </c>
      <c r="AG162">
        <v>217</v>
      </c>
      <c r="AH162">
        <v>2626</v>
      </c>
      <c r="AI162">
        <v>4</v>
      </c>
      <c r="AJ162">
        <v>87</v>
      </c>
      <c r="AK162">
        <v>1648</v>
      </c>
      <c r="AL162">
        <v>2107</v>
      </c>
      <c r="AM162">
        <v>11</v>
      </c>
      <c r="AN162">
        <v>905</v>
      </c>
      <c r="AO162" t="s">
        <v>826</v>
      </c>
    </row>
    <row r="163" spans="1:41">
      <c r="A163">
        <v>155</v>
      </c>
      <c r="B163" s="2">
        <v>45296.6177777778</v>
      </c>
      <c r="C163">
        <v>225.699</v>
      </c>
      <c r="D163" t="s">
        <v>821</v>
      </c>
      <c r="E163" t="s">
        <v>822</v>
      </c>
      <c r="F163">
        <v>48</v>
      </c>
      <c r="G163">
        <f t="shared" si="2"/>
        <v>0</v>
      </c>
      <c r="H163">
        <v>1</v>
      </c>
      <c r="I163">
        <v>2394</v>
      </c>
      <c r="J163">
        <v>5024</v>
      </c>
      <c r="K163">
        <v>28880</v>
      </c>
      <c r="L163" s="1">
        <v>-12495</v>
      </c>
      <c r="M163">
        <v>-12495</v>
      </c>
      <c r="N163">
        <v>40</v>
      </c>
      <c r="O163">
        <v>11</v>
      </c>
      <c r="P163">
        <v>65535</v>
      </c>
      <c r="Q163">
        <v>8615</v>
      </c>
      <c r="R163">
        <v>-32767</v>
      </c>
      <c r="S163">
        <v>36.9</v>
      </c>
      <c r="T163">
        <v>13</v>
      </c>
      <c r="U163">
        <v>100</v>
      </c>
      <c r="V163">
        <v>34800</v>
      </c>
      <c r="W163">
        <v>5000</v>
      </c>
      <c r="X163" t="s">
        <v>823</v>
      </c>
      <c r="Y163" t="s">
        <v>830</v>
      </c>
      <c r="Z163" t="s">
        <v>828</v>
      </c>
      <c r="AA163">
        <v>5</v>
      </c>
      <c r="AB163">
        <v>6</v>
      </c>
      <c r="AC163">
        <v>76</v>
      </c>
      <c r="AD163">
        <v>4</v>
      </c>
      <c r="AE163">
        <v>2391</v>
      </c>
      <c r="AF163">
        <v>5024</v>
      </c>
      <c r="AG163">
        <v>218</v>
      </c>
      <c r="AH163">
        <v>2629</v>
      </c>
      <c r="AI163">
        <v>4</v>
      </c>
      <c r="AJ163">
        <v>87</v>
      </c>
      <c r="AK163">
        <v>1648</v>
      </c>
      <c r="AL163">
        <v>2110</v>
      </c>
      <c r="AM163">
        <v>11</v>
      </c>
      <c r="AN163">
        <v>908</v>
      </c>
      <c r="AO163" t="s">
        <v>826</v>
      </c>
    </row>
    <row r="164" spans="1:41">
      <c r="A164">
        <v>156</v>
      </c>
      <c r="B164" s="2">
        <v>45296.6178125</v>
      </c>
      <c r="C164">
        <v>228.083</v>
      </c>
      <c r="D164" t="s">
        <v>821</v>
      </c>
      <c r="E164" t="s">
        <v>822</v>
      </c>
      <c r="F164">
        <v>48</v>
      </c>
      <c r="G164">
        <f t="shared" si="2"/>
        <v>0</v>
      </c>
      <c r="H164">
        <v>1</v>
      </c>
      <c r="I164">
        <v>2384</v>
      </c>
      <c r="J164">
        <v>5024</v>
      </c>
      <c r="K164">
        <v>28864</v>
      </c>
      <c r="L164" s="1">
        <v>-12495</v>
      </c>
      <c r="M164">
        <v>-12495</v>
      </c>
      <c r="N164">
        <v>40</v>
      </c>
      <c r="O164">
        <v>11</v>
      </c>
      <c r="P164">
        <v>65535</v>
      </c>
      <c r="Q164">
        <v>8579</v>
      </c>
      <c r="R164">
        <v>-32767</v>
      </c>
      <c r="S164">
        <v>36.9</v>
      </c>
      <c r="T164">
        <v>13</v>
      </c>
      <c r="U164">
        <v>100</v>
      </c>
      <c r="V164">
        <v>34800</v>
      </c>
      <c r="W164">
        <v>5000</v>
      </c>
      <c r="X164" t="s">
        <v>823</v>
      </c>
      <c r="Y164" t="s">
        <v>830</v>
      </c>
      <c r="Z164" t="s">
        <v>828</v>
      </c>
      <c r="AA164">
        <v>5</v>
      </c>
      <c r="AB164">
        <v>6</v>
      </c>
      <c r="AC164">
        <v>76</v>
      </c>
      <c r="AD164">
        <v>4</v>
      </c>
      <c r="AE164">
        <v>2384</v>
      </c>
      <c r="AF164">
        <v>5024</v>
      </c>
      <c r="AG164">
        <v>220</v>
      </c>
      <c r="AH164">
        <v>2636</v>
      </c>
      <c r="AI164">
        <v>4</v>
      </c>
      <c r="AJ164">
        <v>87</v>
      </c>
      <c r="AK164">
        <v>1648</v>
      </c>
      <c r="AL164">
        <v>2117</v>
      </c>
      <c r="AM164">
        <v>11</v>
      </c>
      <c r="AN164">
        <v>902</v>
      </c>
      <c r="AO164" t="s">
        <v>826</v>
      </c>
    </row>
    <row r="165" spans="1:41">
      <c r="A165">
        <v>157</v>
      </c>
      <c r="B165" s="2">
        <v>45296.6178240741</v>
      </c>
      <c r="C165">
        <v>229.024</v>
      </c>
      <c r="D165" t="s">
        <v>821</v>
      </c>
      <c r="E165" t="s">
        <v>822</v>
      </c>
      <c r="F165">
        <v>48</v>
      </c>
      <c r="G165">
        <f t="shared" si="2"/>
        <v>0</v>
      </c>
      <c r="H165">
        <v>1</v>
      </c>
      <c r="I165">
        <v>2381</v>
      </c>
      <c r="J165">
        <v>5024</v>
      </c>
      <c r="K165">
        <v>28864</v>
      </c>
      <c r="L165" s="1">
        <v>-12495</v>
      </c>
      <c r="M165">
        <v>-12495</v>
      </c>
      <c r="N165">
        <v>40</v>
      </c>
      <c r="O165">
        <v>11</v>
      </c>
      <c r="P165">
        <v>65535</v>
      </c>
      <c r="Q165">
        <v>8568</v>
      </c>
      <c r="R165">
        <v>-32767</v>
      </c>
      <c r="S165">
        <v>36.9</v>
      </c>
      <c r="T165">
        <v>13</v>
      </c>
      <c r="U165">
        <v>100</v>
      </c>
      <c r="V165">
        <v>34800</v>
      </c>
      <c r="W165">
        <v>5000</v>
      </c>
      <c r="X165" t="s">
        <v>823</v>
      </c>
      <c r="Y165" t="s">
        <v>830</v>
      </c>
      <c r="Z165" t="s">
        <v>828</v>
      </c>
      <c r="AA165">
        <v>5</v>
      </c>
      <c r="AB165">
        <v>6</v>
      </c>
      <c r="AC165">
        <v>76</v>
      </c>
      <c r="AD165">
        <v>4</v>
      </c>
      <c r="AE165">
        <v>2381</v>
      </c>
      <c r="AF165">
        <v>5024</v>
      </c>
      <c r="AG165">
        <v>221</v>
      </c>
      <c r="AH165">
        <v>2639</v>
      </c>
      <c r="AI165">
        <v>4</v>
      </c>
      <c r="AJ165">
        <v>87</v>
      </c>
      <c r="AK165">
        <v>1648</v>
      </c>
      <c r="AL165">
        <v>2120</v>
      </c>
      <c r="AM165">
        <v>11</v>
      </c>
      <c r="AN165">
        <v>889</v>
      </c>
      <c r="AO165" t="s">
        <v>826</v>
      </c>
    </row>
    <row r="166" spans="1:41">
      <c r="A166">
        <v>158</v>
      </c>
      <c r="B166" s="2">
        <v>45296.6178356481</v>
      </c>
      <c r="C166">
        <v>229.95</v>
      </c>
      <c r="D166" t="s">
        <v>821</v>
      </c>
      <c r="E166" t="s">
        <v>822</v>
      </c>
      <c r="F166">
        <v>48</v>
      </c>
      <c r="G166">
        <f t="shared" si="2"/>
        <v>0</v>
      </c>
      <c r="H166">
        <v>1</v>
      </c>
      <c r="I166">
        <v>2377</v>
      </c>
      <c r="J166">
        <v>5024</v>
      </c>
      <c r="K166">
        <v>28864</v>
      </c>
      <c r="L166" s="1">
        <v>-12495</v>
      </c>
      <c r="M166">
        <v>-12495</v>
      </c>
      <c r="N166">
        <v>40</v>
      </c>
      <c r="O166">
        <v>11</v>
      </c>
      <c r="P166">
        <v>65535</v>
      </c>
      <c r="Q166">
        <v>8554</v>
      </c>
      <c r="R166">
        <v>-32767</v>
      </c>
      <c r="S166">
        <v>36.9</v>
      </c>
      <c r="T166">
        <v>13</v>
      </c>
      <c r="U166">
        <v>100</v>
      </c>
      <c r="V166">
        <v>34800</v>
      </c>
      <c r="W166">
        <v>5000</v>
      </c>
      <c r="X166" t="s">
        <v>823</v>
      </c>
      <c r="Y166" t="s">
        <v>830</v>
      </c>
      <c r="Z166" t="s">
        <v>828</v>
      </c>
      <c r="AA166">
        <v>5</v>
      </c>
      <c r="AB166">
        <v>6</v>
      </c>
      <c r="AC166">
        <v>76</v>
      </c>
      <c r="AD166">
        <v>4</v>
      </c>
      <c r="AE166">
        <v>2377</v>
      </c>
      <c r="AF166">
        <v>5024</v>
      </c>
      <c r="AG166">
        <v>222</v>
      </c>
      <c r="AH166">
        <v>2643</v>
      </c>
      <c r="AI166">
        <v>4</v>
      </c>
      <c r="AJ166">
        <v>87</v>
      </c>
      <c r="AK166">
        <v>1648</v>
      </c>
      <c r="AL166">
        <v>2124</v>
      </c>
      <c r="AM166">
        <v>11</v>
      </c>
      <c r="AN166">
        <v>899</v>
      </c>
      <c r="AO166" t="s">
        <v>826</v>
      </c>
    </row>
    <row r="167" spans="1:41">
      <c r="A167">
        <v>159</v>
      </c>
      <c r="B167" s="2">
        <v>45296.6178587963</v>
      </c>
      <c r="C167">
        <v>232.307</v>
      </c>
      <c r="D167" t="s">
        <v>821</v>
      </c>
      <c r="E167" t="s">
        <v>822</v>
      </c>
      <c r="F167">
        <v>48</v>
      </c>
      <c r="G167">
        <f t="shared" si="2"/>
        <v>0</v>
      </c>
      <c r="H167">
        <v>1</v>
      </c>
      <c r="I167">
        <v>2370</v>
      </c>
      <c r="J167">
        <v>5024</v>
      </c>
      <c r="K167">
        <v>28848</v>
      </c>
      <c r="L167" s="1">
        <v>-12495</v>
      </c>
      <c r="M167">
        <v>-12495</v>
      </c>
      <c r="N167">
        <v>40.1</v>
      </c>
      <c r="O167">
        <v>11</v>
      </c>
      <c r="P167">
        <v>65535</v>
      </c>
      <c r="Q167">
        <v>8529</v>
      </c>
      <c r="R167">
        <v>-32767</v>
      </c>
      <c r="S167">
        <v>37</v>
      </c>
      <c r="T167">
        <v>13</v>
      </c>
      <c r="U167">
        <v>100</v>
      </c>
      <c r="V167">
        <v>34800</v>
      </c>
      <c r="W167">
        <v>5000</v>
      </c>
      <c r="X167" t="s">
        <v>823</v>
      </c>
      <c r="Y167" t="s">
        <v>830</v>
      </c>
      <c r="Z167" t="s">
        <v>828</v>
      </c>
      <c r="AA167">
        <v>5</v>
      </c>
      <c r="AB167">
        <v>6</v>
      </c>
      <c r="AC167">
        <v>76</v>
      </c>
      <c r="AD167">
        <v>4</v>
      </c>
      <c r="AE167">
        <v>2370</v>
      </c>
      <c r="AF167">
        <v>5024</v>
      </c>
      <c r="AG167">
        <v>224</v>
      </c>
      <c r="AH167">
        <v>2650</v>
      </c>
      <c r="AI167">
        <v>4</v>
      </c>
      <c r="AJ167">
        <v>87</v>
      </c>
      <c r="AK167">
        <v>1648</v>
      </c>
      <c r="AL167">
        <v>2131</v>
      </c>
      <c r="AM167">
        <v>11</v>
      </c>
      <c r="AN167">
        <v>901</v>
      </c>
      <c r="AO167" t="s">
        <v>826</v>
      </c>
    </row>
    <row r="168" spans="1:41">
      <c r="A168">
        <v>160</v>
      </c>
      <c r="B168" s="2">
        <v>45296.6178703704</v>
      </c>
      <c r="C168">
        <v>233.247</v>
      </c>
      <c r="D168" t="s">
        <v>821</v>
      </c>
      <c r="E168" t="s">
        <v>822</v>
      </c>
      <c r="F168">
        <v>48</v>
      </c>
      <c r="G168">
        <f t="shared" si="2"/>
        <v>0</v>
      </c>
      <c r="H168">
        <v>1</v>
      </c>
      <c r="I168">
        <v>2367</v>
      </c>
      <c r="J168">
        <v>5024</v>
      </c>
      <c r="K168">
        <v>28848</v>
      </c>
      <c r="L168" s="1">
        <v>-12496</v>
      </c>
      <c r="M168">
        <v>-12495</v>
      </c>
      <c r="N168">
        <v>40.1</v>
      </c>
      <c r="O168">
        <v>11</v>
      </c>
      <c r="P168">
        <v>65535</v>
      </c>
      <c r="Q168">
        <v>8518</v>
      </c>
      <c r="R168">
        <v>-32767</v>
      </c>
      <c r="S168">
        <v>37</v>
      </c>
      <c r="T168">
        <v>13</v>
      </c>
      <c r="U168">
        <v>100</v>
      </c>
      <c r="V168">
        <v>34800</v>
      </c>
      <c r="W168">
        <v>5000</v>
      </c>
      <c r="X168" t="s">
        <v>823</v>
      </c>
      <c r="Y168" t="s">
        <v>830</v>
      </c>
      <c r="Z168" t="s">
        <v>828</v>
      </c>
      <c r="AA168">
        <v>5</v>
      </c>
      <c r="AB168">
        <v>6</v>
      </c>
      <c r="AC168">
        <v>76</v>
      </c>
      <c r="AD168">
        <v>4</v>
      </c>
      <c r="AE168">
        <v>2367</v>
      </c>
      <c r="AF168">
        <v>5024</v>
      </c>
      <c r="AG168">
        <v>225</v>
      </c>
      <c r="AH168">
        <v>2653</v>
      </c>
      <c r="AI168">
        <v>4</v>
      </c>
      <c r="AJ168">
        <v>87</v>
      </c>
      <c r="AK168">
        <v>1648</v>
      </c>
      <c r="AL168">
        <v>2134</v>
      </c>
      <c r="AM168">
        <v>11</v>
      </c>
      <c r="AN168">
        <v>900</v>
      </c>
      <c r="AO168" t="s">
        <v>826</v>
      </c>
    </row>
    <row r="169" spans="1:41">
      <c r="A169">
        <v>161</v>
      </c>
      <c r="B169" s="2">
        <v>45296.6178935185</v>
      </c>
      <c r="C169">
        <v>235.604</v>
      </c>
      <c r="D169" t="s">
        <v>821</v>
      </c>
      <c r="E169" t="s">
        <v>822</v>
      </c>
      <c r="F169">
        <v>47</v>
      </c>
      <c r="G169">
        <f t="shared" si="2"/>
        <v>1</v>
      </c>
      <c r="H169">
        <v>1</v>
      </c>
      <c r="I169">
        <v>2360</v>
      </c>
      <c r="J169">
        <v>5024</v>
      </c>
      <c r="K169">
        <v>28840</v>
      </c>
      <c r="L169" s="1">
        <v>-12495</v>
      </c>
      <c r="M169">
        <v>-12495</v>
      </c>
      <c r="N169">
        <v>40.1</v>
      </c>
      <c r="O169">
        <v>11</v>
      </c>
      <c r="P169">
        <v>65535</v>
      </c>
      <c r="Q169">
        <v>8493</v>
      </c>
      <c r="R169">
        <v>-32767</v>
      </c>
      <c r="S169">
        <v>37</v>
      </c>
      <c r="T169">
        <v>13</v>
      </c>
      <c r="U169">
        <v>100</v>
      </c>
      <c r="V169">
        <v>34800</v>
      </c>
      <c r="W169">
        <v>5000</v>
      </c>
      <c r="X169" t="s">
        <v>823</v>
      </c>
      <c r="Y169" t="s">
        <v>830</v>
      </c>
      <c r="Z169" t="s">
        <v>828</v>
      </c>
      <c r="AA169">
        <v>5</v>
      </c>
      <c r="AB169">
        <v>6</v>
      </c>
      <c r="AC169">
        <v>76</v>
      </c>
      <c r="AD169">
        <v>4</v>
      </c>
      <c r="AE169">
        <v>2356</v>
      </c>
      <c r="AF169">
        <v>5024</v>
      </c>
      <c r="AG169">
        <v>228</v>
      </c>
      <c r="AH169">
        <v>2664</v>
      </c>
      <c r="AI169">
        <v>4</v>
      </c>
      <c r="AJ169">
        <v>87</v>
      </c>
      <c r="AK169">
        <v>1648</v>
      </c>
      <c r="AL169">
        <v>2145</v>
      </c>
      <c r="AM169">
        <v>11</v>
      </c>
      <c r="AN169">
        <v>903</v>
      </c>
      <c r="AO169" t="s">
        <v>826</v>
      </c>
    </row>
    <row r="170" spans="1:41">
      <c r="A170">
        <v>162</v>
      </c>
      <c r="B170" s="2">
        <v>45296.6179050926</v>
      </c>
      <c r="C170">
        <v>236.543</v>
      </c>
      <c r="D170" t="s">
        <v>821</v>
      </c>
      <c r="E170" t="s">
        <v>822</v>
      </c>
      <c r="F170">
        <v>47</v>
      </c>
      <c r="G170">
        <f t="shared" si="2"/>
        <v>0</v>
      </c>
      <c r="H170">
        <v>1</v>
      </c>
      <c r="I170">
        <v>2356</v>
      </c>
      <c r="J170">
        <v>5024</v>
      </c>
      <c r="K170">
        <v>28832</v>
      </c>
      <c r="L170" s="1">
        <v>-12495</v>
      </c>
      <c r="M170">
        <v>-12495</v>
      </c>
      <c r="N170">
        <v>40.1</v>
      </c>
      <c r="O170">
        <v>11</v>
      </c>
      <c r="P170">
        <v>65535</v>
      </c>
      <c r="Q170">
        <v>8478</v>
      </c>
      <c r="R170">
        <v>-32767</v>
      </c>
      <c r="S170">
        <v>37</v>
      </c>
      <c r="T170">
        <v>13</v>
      </c>
      <c r="U170">
        <v>100</v>
      </c>
      <c r="V170">
        <v>34800</v>
      </c>
      <c r="W170">
        <v>5000</v>
      </c>
      <c r="X170" t="s">
        <v>823</v>
      </c>
      <c r="Y170" t="s">
        <v>830</v>
      </c>
      <c r="Z170" t="s">
        <v>828</v>
      </c>
      <c r="AA170">
        <v>5</v>
      </c>
      <c r="AB170">
        <v>6</v>
      </c>
      <c r="AC170">
        <v>76</v>
      </c>
      <c r="AD170">
        <v>4</v>
      </c>
      <c r="AE170">
        <v>2353</v>
      </c>
      <c r="AF170">
        <v>5024</v>
      </c>
      <c r="AG170">
        <v>229</v>
      </c>
      <c r="AH170">
        <v>2667</v>
      </c>
      <c r="AI170">
        <v>4</v>
      </c>
      <c r="AJ170">
        <v>87</v>
      </c>
      <c r="AK170">
        <v>1648</v>
      </c>
      <c r="AL170">
        <v>2148</v>
      </c>
      <c r="AM170">
        <v>11</v>
      </c>
      <c r="AN170">
        <v>884</v>
      </c>
      <c r="AO170" t="s">
        <v>826</v>
      </c>
    </row>
    <row r="171" spans="1:41">
      <c r="A171">
        <v>163</v>
      </c>
      <c r="B171" s="2">
        <v>45296.6179166667</v>
      </c>
      <c r="C171">
        <v>237.467</v>
      </c>
      <c r="D171" t="s">
        <v>821</v>
      </c>
      <c r="E171" t="s">
        <v>822</v>
      </c>
      <c r="F171">
        <v>47</v>
      </c>
      <c r="G171">
        <f t="shared" si="2"/>
        <v>0</v>
      </c>
      <c r="H171">
        <v>1</v>
      </c>
      <c r="I171">
        <v>2353</v>
      </c>
      <c r="J171">
        <v>5024</v>
      </c>
      <c r="K171">
        <v>28824</v>
      </c>
      <c r="L171" s="1">
        <v>-12495</v>
      </c>
      <c r="M171">
        <v>-12495</v>
      </c>
      <c r="N171">
        <v>40.2</v>
      </c>
      <c r="O171">
        <v>11</v>
      </c>
      <c r="P171">
        <v>65535</v>
      </c>
      <c r="Q171">
        <v>8467</v>
      </c>
      <c r="R171">
        <v>-32767</v>
      </c>
      <c r="S171">
        <v>37</v>
      </c>
      <c r="T171">
        <v>13</v>
      </c>
      <c r="U171">
        <v>100</v>
      </c>
      <c r="V171">
        <v>34800</v>
      </c>
      <c r="W171">
        <v>5000</v>
      </c>
      <c r="X171" t="s">
        <v>823</v>
      </c>
      <c r="Y171" t="s">
        <v>830</v>
      </c>
      <c r="Z171" t="s">
        <v>828</v>
      </c>
      <c r="AA171">
        <v>5</v>
      </c>
      <c r="AB171">
        <v>6</v>
      </c>
      <c r="AC171">
        <v>76</v>
      </c>
      <c r="AD171">
        <v>4</v>
      </c>
      <c r="AE171">
        <v>2353</v>
      </c>
      <c r="AF171">
        <v>5024</v>
      </c>
      <c r="AG171">
        <v>229</v>
      </c>
      <c r="AH171">
        <v>2667</v>
      </c>
      <c r="AI171">
        <v>4</v>
      </c>
      <c r="AJ171">
        <v>87</v>
      </c>
      <c r="AK171">
        <v>1648</v>
      </c>
      <c r="AL171">
        <v>2152</v>
      </c>
      <c r="AM171">
        <v>11</v>
      </c>
      <c r="AN171">
        <v>899</v>
      </c>
      <c r="AO171" t="s">
        <v>826</v>
      </c>
    </row>
    <row r="172" spans="1:41">
      <c r="A172">
        <v>164</v>
      </c>
      <c r="B172" s="2">
        <v>45296.6179398148</v>
      </c>
      <c r="C172">
        <v>239.82</v>
      </c>
      <c r="D172" t="s">
        <v>821</v>
      </c>
      <c r="E172" t="s">
        <v>822</v>
      </c>
      <c r="F172">
        <v>47</v>
      </c>
      <c r="G172">
        <f t="shared" si="2"/>
        <v>0</v>
      </c>
      <c r="H172">
        <v>1</v>
      </c>
      <c r="I172">
        <v>2346</v>
      </c>
      <c r="J172">
        <v>5024</v>
      </c>
      <c r="K172">
        <v>28824</v>
      </c>
      <c r="L172" s="1">
        <v>-12495</v>
      </c>
      <c r="M172">
        <v>-12495</v>
      </c>
      <c r="N172">
        <v>40.2</v>
      </c>
      <c r="O172">
        <v>11</v>
      </c>
      <c r="P172">
        <v>65535</v>
      </c>
      <c r="Q172">
        <v>8428</v>
      </c>
      <c r="R172">
        <v>-32767</v>
      </c>
      <c r="S172">
        <v>37</v>
      </c>
      <c r="T172">
        <v>13</v>
      </c>
      <c r="U172">
        <v>100</v>
      </c>
      <c r="V172">
        <v>34800</v>
      </c>
      <c r="W172">
        <v>5000</v>
      </c>
      <c r="X172" t="s">
        <v>823</v>
      </c>
      <c r="Y172" t="s">
        <v>830</v>
      </c>
      <c r="Z172" t="s">
        <v>828</v>
      </c>
      <c r="AA172">
        <v>5</v>
      </c>
      <c r="AB172">
        <v>6</v>
      </c>
      <c r="AC172">
        <v>76</v>
      </c>
      <c r="AD172">
        <v>4</v>
      </c>
      <c r="AE172">
        <v>2342</v>
      </c>
      <c r="AF172">
        <v>5024</v>
      </c>
      <c r="AG172">
        <v>232</v>
      </c>
      <c r="AH172">
        <v>2678</v>
      </c>
      <c r="AI172">
        <v>4</v>
      </c>
      <c r="AJ172">
        <v>87</v>
      </c>
      <c r="AK172">
        <v>1648</v>
      </c>
      <c r="AL172">
        <v>2159</v>
      </c>
      <c r="AM172">
        <v>11</v>
      </c>
      <c r="AN172">
        <v>906</v>
      </c>
      <c r="AO172" t="s">
        <v>826</v>
      </c>
    </row>
    <row r="173" spans="1:41">
      <c r="A173">
        <v>165</v>
      </c>
      <c r="B173" s="2">
        <v>45296.6179513889</v>
      </c>
      <c r="C173">
        <v>240.762</v>
      </c>
      <c r="D173" t="s">
        <v>821</v>
      </c>
      <c r="E173" t="s">
        <v>822</v>
      </c>
      <c r="F173">
        <v>47</v>
      </c>
      <c r="G173">
        <f t="shared" si="2"/>
        <v>0</v>
      </c>
      <c r="H173">
        <v>1</v>
      </c>
      <c r="I173">
        <v>2342</v>
      </c>
      <c r="J173">
        <v>5024</v>
      </c>
      <c r="K173">
        <v>28816</v>
      </c>
      <c r="L173" s="1">
        <v>-12495</v>
      </c>
      <c r="M173">
        <v>-12495</v>
      </c>
      <c r="N173">
        <v>40.2</v>
      </c>
      <c r="O173">
        <v>11</v>
      </c>
      <c r="P173">
        <v>65535</v>
      </c>
      <c r="Q173">
        <v>8417</v>
      </c>
      <c r="R173">
        <v>-32767</v>
      </c>
      <c r="S173">
        <v>37.1</v>
      </c>
      <c r="T173">
        <v>13</v>
      </c>
      <c r="U173">
        <v>100</v>
      </c>
      <c r="V173">
        <v>34800</v>
      </c>
      <c r="W173">
        <v>5000</v>
      </c>
      <c r="X173" t="s">
        <v>823</v>
      </c>
      <c r="Y173" t="s">
        <v>830</v>
      </c>
      <c r="Z173" t="s">
        <v>828</v>
      </c>
      <c r="AA173">
        <v>5</v>
      </c>
      <c r="AB173">
        <v>6</v>
      </c>
      <c r="AC173">
        <v>76</v>
      </c>
      <c r="AD173">
        <v>4</v>
      </c>
      <c r="AE173">
        <v>2339</v>
      </c>
      <c r="AF173">
        <v>5024</v>
      </c>
      <c r="AG173">
        <v>233</v>
      </c>
      <c r="AH173">
        <v>2681</v>
      </c>
      <c r="AI173">
        <v>4</v>
      </c>
      <c r="AJ173">
        <v>87</v>
      </c>
      <c r="AK173">
        <v>1648</v>
      </c>
      <c r="AL173">
        <v>2162</v>
      </c>
      <c r="AM173">
        <v>11</v>
      </c>
      <c r="AN173">
        <v>901</v>
      </c>
      <c r="AO173" t="s">
        <v>826</v>
      </c>
    </row>
    <row r="174" spans="1:41">
      <c r="A174">
        <v>166</v>
      </c>
      <c r="B174" s="2">
        <v>45296.617962963</v>
      </c>
      <c r="C174">
        <v>241.727</v>
      </c>
      <c r="D174" t="s">
        <v>821</v>
      </c>
      <c r="E174" t="s">
        <v>822</v>
      </c>
      <c r="F174">
        <v>47</v>
      </c>
      <c r="G174">
        <f t="shared" si="2"/>
        <v>0</v>
      </c>
      <c r="H174">
        <v>1</v>
      </c>
      <c r="I174">
        <v>2339</v>
      </c>
      <c r="J174">
        <v>5024</v>
      </c>
      <c r="K174">
        <v>28816</v>
      </c>
      <c r="L174" s="1">
        <v>-12495</v>
      </c>
      <c r="M174">
        <v>-12495</v>
      </c>
      <c r="N174">
        <v>40.2</v>
      </c>
      <c r="O174">
        <v>11</v>
      </c>
      <c r="P174">
        <v>65535</v>
      </c>
      <c r="Q174">
        <v>8417</v>
      </c>
      <c r="R174">
        <v>-32767</v>
      </c>
      <c r="S174">
        <v>37.1</v>
      </c>
      <c r="T174">
        <v>13</v>
      </c>
      <c r="U174">
        <v>100</v>
      </c>
      <c r="V174">
        <v>34800</v>
      </c>
      <c r="W174">
        <v>5000</v>
      </c>
      <c r="X174" t="s">
        <v>823</v>
      </c>
      <c r="Y174" t="s">
        <v>830</v>
      </c>
      <c r="Z174" t="s">
        <v>828</v>
      </c>
      <c r="AA174">
        <v>5</v>
      </c>
      <c r="AB174">
        <v>6</v>
      </c>
      <c r="AC174">
        <v>76</v>
      </c>
      <c r="AD174">
        <v>4</v>
      </c>
      <c r="AE174">
        <v>2335</v>
      </c>
      <c r="AF174">
        <v>5024</v>
      </c>
      <c r="AG174">
        <v>234</v>
      </c>
      <c r="AH174">
        <v>2685</v>
      </c>
      <c r="AI174">
        <v>4</v>
      </c>
      <c r="AJ174">
        <v>87</v>
      </c>
      <c r="AK174">
        <v>1648</v>
      </c>
      <c r="AL174">
        <v>2166</v>
      </c>
      <c r="AM174">
        <v>11</v>
      </c>
      <c r="AN174">
        <v>922</v>
      </c>
      <c r="AO174" t="s">
        <v>826</v>
      </c>
    </row>
    <row r="175" spans="1:41">
      <c r="A175">
        <v>167</v>
      </c>
      <c r="B175" s="2">
        <v>45296.6179976852</v>
      </c>
      <c r="C175">
        <v>244.086</v>
      </c>
      <c r="D175" t="s">
        <v>821</v>
      </c>
      <c r="E175" t="s">
        <v>822</v>
      </c>
      <c r="F175">
        <v>47</v>
      </c>
      <c r="G175">
        <f t="shared" si="2"/>
        <v>0</v>
      </c>
      <c r="H175">
        <v>1</v>
      </c>
      <c r="I175">
        <v>2329</v>
      </c>
      <c r="J175">
        <v>5024</v>
      </c>
      <c r="K175">
        <v>28800</v>
      </c>
      <c r="L175" s="1">
        <v>-12495</v>
      </c>
      <c r="M175">
        <v>-12495</v>
      </c>
      <c r="N175">
        <v>40.3</v>
      </c>
      <c r="O175">
        <v>11</v>
      </c>
      <c r="P175">
        <v>65535</v>
      </c>
      <c r="Q175">
        <v>8381</v>
      </c>
      <c r="R175">
        <v>-32767</v>
      </c>
      <c r="S175">
        <v>37.1</v>
      </c>
      <c r="T175">
        <v>13</v>
      </c>
      <c r="U175">
        <v>100</v>
      </c>
      <c r="V175">
        <v>34800</v>
      </c>
      <c r="W175">
        <v>5000</v>
      </c>
      <c r="X175" t="s">
        <v>823</v>
      </c>
      <c r="Y175" t="s">
        <v>830</v>
      </c>
      <c r="Z175" t="s">
        <v>828</v>
      </c>
      <c r="AA175">
        <v>5</v>
      </c>
      <c r="AB175">
        <v>6</v>
      </c>
      <c r="AC175">
        <v>76</v>
      </c>
      <c r="AD175">
        <v>4</v>
      </c>
      <c r="AE175">
        <v>2329</v>
      </c>
      <c r="AF175">
        <v>5024</v>
      </c>
      <c r="AG175">
        <v>236</v>
      </c>
      <c r="AH175">
        <v>2691</v>
      </c>
      <c r="AI175">
        <v>4</v>
      </c>
      <c r="AJ175">
        <v>87</v>
      </c>
      <c r="AK175">
        <v>1648</v>
      </c>
      <c r="AL175">
        <v>2172</v>
      </c>
      <c r="AM175">
        <v>11</v>
      </c>
      <c r="AN175">
        <v>904</v>
      </c>
      <c r="AO175" t="s">
        <v>826</v>
      </c>
    </row>
    <row r="176" spans="1:41">
      <c r="A176">
        <v>168</v>
      </c>
      <c r="B176" s="2">
        <v>45296.6180092593</v>
      </c>
      <c r="C176">
        <v>245.027</v>
      </c>
      <c r="D176" t="s">
        <v>821</v>
      </c>
      <c r="E176" t="s">
        <v>822</v>
      </c>
      <c r="F176">
        <v>47</v>
      </c>
      <c r="G176">
        <f t="shared" si="2"/>
        <v>0</v>
      </c>
      <c r="H176">
        <v>1</v>
      </c>
      <c r="I176">
        <v>2325</v>
      </c>
      <c r="J176">
        <v>5024</v>
      </c>
      <c r="K176">
        <v>28800</v>
      </c>
      <c r="L176" s="1">
        <v>-12495</v>
      </c>
      <c r="M176">
        <v>-12495</v>
      </c>
      <c r="N176">
        <v>40.3</v>
      </c>
      <c r="O176">
        <v>11</v>
      </c>
      <c r="P176">
        <v>65535</v>
      </c>
      <c r="Q176">
        <v>8366</v>
      </c>
      <c r="R176">
        <v>-32767</v>
      </c>
      <c r="S176">
        <v>37.1</v>
      </c>
      <c r="T176">
        <v>13</v>
      </c>
      <c r="U176">
        <v>100</v>
      </c>
      <c r="V176">
        <v>34800</v>
      </c>
      <c r="W176">
        <v>5000</v>
      </c>
      <c r="X176" t="s">
        <v>823</v>
      </c>
      <c r="Y176" t="s">
        <v>830</v>
      </c>
      <c r="Z176" t="s">
        <v>828</v>
      </c>
      <c r="AA176">
        <v>5</v>
      </c>
      <c r="AB176">
        <v>6</v>
      </c>
      <c r="AC176">
        <v>76</v>
      </c>
      <c r="AD176">
        <v>4</v>
      </c>
      <c r="AE176">
        <v>2325</v>
      </c>
      <c r="AF176">
        <v>5024</v>
      </c>
      <c r="AG176">
        <v>237</v>
      </c>
      <c r="AH176">
        <v>2695</v>
      </c>
      <c r="AI176">
        <v>4</v>
      </c>
      <c r="AJ176">
        <v>87</v>
      </c>
      <c r="AK176">
        <v>1648</v>
      </c>
      <c r="AL176">
        <v>2176</v>
      </c>
      <c r="AM176">
        <v>11</v>
      </c>
      <c r="AN176">
        <v>902</v>
      </c>
      <c r="AO176" t="s">
        <v>826</v>
      </c>
    </row>
    <row r="177" spans="1:41">
      <c r="A177">
        <v>169</v>
      </c>
      <c r="B177" s="2">
        <v>45296.6180208333</v>
      </c>
      <c r="C177">
        <v>245.969</v>
      </c>
      <c r="D177" t="s">
        <v>821</v>
      </c>
      <c r="E177" t="s">
        <v>822</v>
      </c>
      <c r="F177">
        <v>47</v>
      </c>
      <c r="G177">
        <f t="shared" si="2"/>
        <v>0</v>
      </c>
      <c r="H177">
        <v>1</v>
      </c>
      <c r="I177">
        <v>2322</v>
      </c>
      <c r="J177">
        <v>5024</v>
      </c>
      <c r="K177">
        <v>28792</v>
      </c>
      <c r="L177" s="1">
        <v>-12495</v>
      </c>
      <c r="M177">
        <v>-12495</v>
      </c>
      <c r="N177">
        <v>40.3</v>
      </c>
      <c r="O177">
        <v>11</v>
      </c>
      <c r="P177">
        <v>65535</v>
      </c>
      <c r="Q177">
        <v>8356</v>
      </c>
      <c r="R177">
        <v>-32767</v>
      </c>
      <c r="S177">
        <v>37.2</v>
      </c>
      <c r="T177">
        <v>14</v>
      </c>
      <c r="U177">
        <v>100</v>
      </c>
      <c r="V177">
        <v>34800</v>
      </c>
      <c r="W177">
        <v>5000</v>
      </c>
      <c r="X177" t="s">
        <v>823</v>
      </c>
      <c r="Y177" t="s">
        <v>830</v>
      </c>
      <c r="Z177" t="s">
        <v>828</v>
      </c>
      <c r="AA177">
        <v>5</v>
      </c>
      <c r="AB177">
        <v>6</v>
      </c>
      <c r="AC177">
        <v>76</v>
      </c>
      <c r="AD177">
        <v>4</v>
      </c>
      <c r="AE177">
        <v>2322</v>
      </c>
      <c r="AF177">
        <v>5024</v>
      </c>
      <c r="AG177">
        <v>238</v>
      </c>
      <c r="AH177">
        <v>2698</v>
      </c>
      <c r="AI177">
        <v>4</v>
      </c>
      <c r="AJ177">
        <v>87</v>
      </c>
      <c r="AK177">
        <v>1648</v>
      </c>
      <c r="AL177">
        <v>2179</v>
      </c>
      <c r="AM177">
        <v>11</v>
      </c>
      <c r="AN177">
        <v>929</v>
      </c>
      <c r="AO177" t="s">
        <v>826</v>
      </c>
    </row>
    <row r="178" spans="1:41">
      <c r="A178">
        <v>170</v>
      </c>
      <c r="B178" s="2">
        <v>45296.6180439815</v>
      </c>
      <c r="C178">
        <v>248.339</v>
      </c>
      <c r="D178" t="s">
        <v>821</v>
      </c>
      <c r="E178" t="s">
        <v>822</v>
      </c>
      <c r="F178">
        <v>47</v>
      </c>
      <c r="G178">
        <f t="shared" si="2"/>
        <v>0</v>
      </c>
      <c r="H178">
        <v>1</v>
      </c>
      <c r="I178">
        <v>2315</v>
      </c>
      <c r="J178">
        <v>5024</v>
      </c>
      <c r="K178">
        <v>28784</v>
      </c>
      <c r="L178" s="1">
        <v>-12495</v>
      </c>
      <c r="M178">
        <v>-12495</v>
      </c>
      <c r="N178">
        <v>40.3</v>
      </c>
      <c r="O178">
        <v>11</v>
      </c>
      <c r="P178">
        <v>65535</v>
      </c>
      <c r="Q178">
        <v>8330</v>
      </c>
      <c r="R178">
        <v>-32767</v>
      </c>
      <c r="S178">
        <v>37.2</v>
      </c>
      <c r="T178">
        <v>14</v>
      </c>
      <c r="U178">
        <v>100</v>
      </c>
      <c r="V178">
        <v>34800</v>
      </c>
      <c r="W178">
        <v>5000</v>
      </c>
      <c r="X178" t="s">
        <v>823</v>
      </c>
      <c r="Y178" t="s">
        <v>830</v>
      </c>
      <c r="Z178" t="s">
        <v>828</v>
      </c>
      <c r="AA178">
        <v>5</v>
      </c>
      <c r="AB178">
        <v>6</v>
      </c>
      <c r="AC178">
        <v>76</v>
      </c>
      <c r="AD178">
        <v>4</v>
      </c>
      <c r="AE178">
        <v>2315</v>
      </c>
      <c r="AF178">
        <v>5024</v>
      </c>
      <c r="AG178">
        <v>240</v>
      </c>
      <c r="AH178">
        <v>2705</v>
      </c>
      <c r="AI178">
        <v>4</v>
      </c>
      <c r="AJ178">
        <v>87</v>
      </c>
      <c r="AK178">
        <v>1648</v>
      </c>
      <c r="AL178">
        <v>2186</v>
      </c>
      <c r="AM178">
        <v>11</v>
      </c>
      <c r="AN178">
        <v>900</v>
      </c>
      <c r="AO178" t="s">
        <v>826</v>
      </c>
    </row>
    <row r="179" spans="1:41">
      <c r="A179">
        <v>171</v>
      </c>
      <c r="B179" s="2">
        <v>45296.6180555556</v>
      </c>
      <c r="C179">
        <v>249.299</v>
      </c>
      <c r="D179" t="s">
        <v>821</v>
      </c>
      <c r="E179" t="s">
        <v>822</v>
      </c>
      <c r="F179">
        <v>46</v>
      </c>
      <c r="G179">
        <f t="shared" si="2"/>
        <v>1</v>
      </c>
      <c r="H179">
        <v>1</v>
      </c>
      <c r="I179">
        <v>2311</v>
      </c>
      <c r="J179">
        <v>5024</v>
      </c>
      <c r="K179">
        <v>28776</v>
      </c>
      <c r="L179" s="1">
        <v>-12495</v>
      </c>
      <c r="M179">
        <v>-12495</v>
      </c>
      <c r="N179">
        <v>40.3</v>
      </c>
      <c r="O179">
        <v>11</v>
      </c>
      <c r="P179">
        <v>65535</v>
      </c>
      <c r="Q179">
        <v>8316</v>
      </c>
      <c r="R179">
        <v>-32767</v>
      </c>
      <c r="S179">
        <v>37.2</v>
      </c>
      <c r="T179">
        <v>14</v>
      </c>
      <c r="U179">
        <v>100</v>
      </c>
      <c r="V179">
        <v>34800</v>
      </c>
      <c r="W179">
        <v>5000</v>
      </c>
      <c r="X179" t="s">
        <v>823</v>
      </c>
      <c r="Y179" t="s">
        <v>830</v>
      </c>
      <c r="Z179" t="s">
        <v>828</v>
      </c>
      <c r="AA179">
        <v>5</v>
      </c>
      <c r="AB179">
        <v>6</v>
      </c>
      <c r="AC179">
        <v>76</v>
      </c>
      <c r="AD179">
        <v>4</v>
      </c>
      <c r="AE179">
        <v>2311</v>
      </c>
      <c r="AF179">
        <v>5024</v>
      </c>
      <c r="AG179">
        <v>241</v>
      </c>
      <c r="AH179">
        <v>2709</v>
      </c>
      <c r="AI179">
        <v>4</v>
      </c>
      <c r="AJ179">
        <v>87</v>
      </c>
      <c r="AK179">
        <v>1648</v>
      </c>
      <c r="AL179">
        <v>2190</v>
      </c>
      <c r="AM179">
        <v>11</v>
      </c>
      <c r="AN179">
        <v>909</v>
      </c>
      <c r="AO179" t="s">
        <v>826</v>
      </c>
    </row>
    <row r="180" spans="1:41">
      <c r="A180">
        <v>172</v>
      </c>
      <c r="B180" s="2">
        <v>45296.6180787037</v>
      </c>
      <c r="C180">
        <v>251.669</v>
      </c>
      <c r="D180" t="s">
        <v>821</v>
      </c>
      <c r="E180" t="s">
        <v>822</v>
      </c>
      <c r="F180">
        <v>46</v>
      </c>
      <c r="G180">
        <f t="shared" si="2"/>
        <v>0</v>
      </c>
      <c r="H180">
        <v>1</v>
      </c>
      <c r="I180">
        <v>2304</v>
      </c>
      <c r="J180">
        <v>5024</v>
      </c>
      <c r="K180">
        <v>28768</v>
      </c>
      <c r="L180" s="1">
        <v>-12495</v>
      </c>
      <c r="M180">
        <v>-12495</v>
      </c>
      <c r="N180">
        <v>40.3</v>
      </c>
      <c r="O180">
        <v>11</v>
      </c>
      <c r="P180">
        <v>65535</v>
      </c>
      <c r="Q180">
        <v>8291</v>
      </c>
      <c r="R180">
        <v>-32767</v>
      </c>
      <c r="S180">
        <v>37.2</v>
      </c>
      <c r="T180">
        <v>14</v>
      </c>
      <c r="U180">
        <v>100</v>
      </c>
      <c r="V180">
        <v>34800</v>
      </c>
      <c r="W180">
        <v>5000</v>
      </c>
      <c r="X180" t="s">
        <v>823</v>
      </c>
      <c r="Y180" t="s">
        <v>830</v>
      </c>
      <c r="Z180" t="s">
        <v>828</v>
      </c>
      <c r="AA180">
        <v>5</v>
      </c>
      <c r="AB180">
        <v>6</v>
      </c>
      <c r="AC180">
        <v>76</v>
      </c>
      <c r="AD180">
        <v>4</v>
      </c>
      <c r="AE180">
        <v>2301</v>
      </c>
      <c r="AF180">
        <v>5024</v>
      </c>
      <c r="AG180">
        <v>244</v>
      </c>
      <c r="AH180">
        <v>2719</v>
      </c>
      <c r="AI180">
        <v>4</v>
      </c>
      <c r="AJ180">
        <v>87</v>
      </c>
      <c r="AK180">
        <v>1648</v>
      </c>
      <c r="AL180">
        <v>2200</v>
      </c>
      <c r="AM180">
        <v>11</v>
      </c>
      <c r="AN180">
        <v>927</v>
      </c>
      <c r="AO180" t="s">
        <v>826</v>
      </c>
    </row>
    <row r="181" spans="1:41">
      <c r="A181">
        <v>173</v>
      </c>
      <c r="B181" s="2">
        <v>45296.6180902778</v>
      </c>
      <c r="C181">
        <v>252.632</v>
      </c>
      <c r="D181" t="s">
        <v>821</v>
      </c>
      <c r="E181" t="s">
        <v>822</v>
      </c>
      <c r="F181">
        <v>46</v>
      </c>
      <c r="G181">
        <f t="shared" si="2"/>
        <v>0</v>
      </c>
      <c r="H181">
        <v>1</v>
      </c>
      <c r="I181">
        <v>2301</v>
      </c>
      <c r="J181">
        <v>5024</v>
      </c>
      <c r="K181">
        <v>28768</v>
      </c>
      <c r="L181" s="1">
        <v>-12495</v>
      </c>
      <c r="M181">
        <v>-12495</v>
      </c>
      <c r="N181">
        <v>40.3</v>
      </c>
      <c r="O181">
        <v>11</v>
      </c>
      <c r="P181">
        <v>65535</v>
      </c>
      <c r="Q181">
        <v>8280</v>
      </c>
      <c r="R181">
        <v>-32767</v>
      </c>
      <c r="S181">
        <v>37.2</v>
      </c>
      <c r="T181">
        <v>14</v>
      </c>
      <c r="U181">
        <v>100</v>
      </c>
      <c r="V181">
        <v>34800</v>
      </c>
      <c r="W181">
        <v>5000</v>
      </c>
      <c r="X181" t="s">
        <v>823</v>
      </c>
      <c r="Y181" t="s">
        <v>830</v>
      </c>
      <c r="Z181" t="s">
        <v>828</v>
      </c>
      <c r="AA181">
        <v>5</v>
      </c>
      <c r="AB181">
        <v>6</v>
      </c>
      <c r="AC181">
        <v>76</v>
      </c>
      <c r="AD181">
        <v>4</v>
      </c>
      <c r="AE181">
        <v>2297</v>
      </c>
      <c r="AF181">
        <v>5024</v>
      </c>
      <c r="AG181">
        <v>245</v>
      </c>
      <c r="AH181">
        <v>2723</v>
      </c>
      <c r="AI181">
        <v>4</v>
      </c>
      <c r="AJ181">
        <v>87</v>
      </c>
      <c r="AK181">
        <v>1648</v>
      </c>
      <c r="AL181">
        <v>2204</v>
      </c>
      <c r="AM181">
        <v>11</v>
      </c>
      <c r="AN181">
        <v>906</v>
      </c>
      <c r="AO181" t="s">
        <v>826</v>
      </c>
    </row>
    <row r="182" spans="1:41">
      <c r="A182">
        <v>174</v>
      </c>
      <c r="B182" s="2">
        <v>45296.6181018519</v>
      </c>
      <c r="C182">
        <v>253.577</v>
      </c>
      <c r="D182" t="s">
        <v>821</v>
      </c>
      <c r="E182" t="s">
        <v>822</v>
      </c>
      <c r="F182">
        <v>46</v>
      </c>
      <c r="G182">
        <f t="shared" si="2"/>
        <v>0</v>
      </c>
      <c r="H182">
        <v>1</v>
      </c>
      <c r="I182">
        <v>2297</v>
      </c>
      <c r="J182">
        <v>5024</v>
      </c>
      <c r="K182">
        <v>28760</v>
      </c>
      <c r="L182" s="1">
        <v>-12495</v>
      </c>
      <c r="M182">
        <v>-12495</v>
      </c>
      <c r="N182">
        <v>40.3</v>
      </c>
      <c r="O182">
        <v>11</v>
      </c>
      <c r="P182">
        <v>65535</v>
      </c>
      <c r="Q182">
        <v>8266</v>
      </c>
      <c r="R182">
        <v>-32767</v>
      </c>
      <c r="S182">
        <v>37.2</v>
      </c>
      <c r="T182">
        <v>14</v>
      </c>
      <c r="U182">
        <v>100</v>
      </c>
      <c r="V182">
        <v>34800</v>
      </c>
      <c r="W182">
        <v>5000</v>
      </c>
      <c r="X182" t="s">
        <v>823</v>
      </c>
      <c r="Y182" t="s">
        <v>830</v>
      </c>
      <c r="Z182" t="s">
        <v>828</v>
      </c>
      <c r="AA182">
        <v>5</v>
      </c>
      <c r="AB182">
        <v>6</v>
      </c>
      <c r="AC182">
        <v>76</v>
      </c>
      <c r="AD182">
        <v>4</v>
      </c>
      <c r="AE182">
        <v>2294</v>
      </c>
      <c r="AF182">
        <v>5024</v>
      </c>
      <c r="AG182">
        <v>246</v>
      </c>
      <c r="AH182">
        <v>2726</v>
      </c>
      <c r="AI182">
        <v>4</v>
      </c>
      <c r="AJ182">
        <v>87</v>
      </c>
      <c r="AK182">
        <v>1648</v>
      </c>
      <c r="AL182">
        <v>2207</v>
      </c>
      <c r="AM182">
        <v>11</v>
      </c>
      <c r="AN182">
        <v>913</v>
      </c>
      <c r="AO182" t="s">
        <v>826</v>
      </c>
    </row>
    <row r="183" spans="1:41">
      <c r="A183">
        <v>175</v>
      </c>
      <c r="B183" s="2">
        <v>45296.6181365741</v>
      </c>
      <c r="C183">
        <v>255.942</v>
      </c>
      <c r="D183" t="s">
        <v>821</v>
      </c>
      <c r="E183" t="s">
        <v>822</v>
      </c>
      <c r="F183">
        <v>46</v>
      </c>
      <c r="G183">
        <f t="shared" si="2"/>
        <v>0</v>
      </c>
      <c r="H183">
        <v>1</v>
      </c>
      <c r="I183">
        <v>2287</v>
      </c>
      <c r="J183">
        <v>5024</v>
      </c>
      <c r="K183">
        <v>28752</v>
      </c>
      <c r="L183" s="1">
        <v>-12495</v>
      </c>
      <c r="M183">
        <v>-12495</v>
      </c>
      <c r="N183">
        <v>40.3</v>
      </c>
      <c r="O183">
        <v>11</v>
      </c>
      <c r="P183">
        <v>65535</v>
      </c>
      <c r="Q183">
        <v>8230</v>
      </c>
      <c r="R183">
        <v>-32767</v>
      </c>
      <c r="S183">
        <v>37.3</v>
      </c>
      <c r="T183">
        <v>14</v>
      </c>
      <c r="U183">
        <v>100</v>
      </c>
      <c r="V183">
        <v>34800</v>
      </c>
      <c r="W183">
        <v>5000</v>
      </c>
      <c r="X183" t="s">
        <v>823</v>
      </c>
      <c r="Y183" t="s">
        <v>830</v>
      </c>
      <c r="Z183" t="s">
        <v>828</v>
      </c>
      <c r="AA183">
        <v>5</v>
      </c>
      <c r="AB183">
        <v>6</v>
      </c>
      <c r="AC183">
        <v>76</v>
      </c>
      <c r="AD183">
        <v>4</v>
      </c>
      <c r="AE183">
        <v>2287</v>
      </c>
      <c r="AF183">
        <v>5024</v>
      </c>
      <c r="AG183">
        <v>248</v>
      </c>
      <c r="AH183">
        <v>2733</v>
      </c>
      <c r="AI183">
        <v>4</v>
      </c>
      <c r="AJ183">
        <v>87</v>
      </c>
      <c r="AK183">
        <v>1648</v>
      </c>
      <c r="AL183">
        <v>2214</v>
      </c>
      <c r="AM183">
        <v>11</v>
      </c>
      <c r="AN183">
        <v>891</v>
      </c>
      <c r="AO183" t="s">
        <v>826</v>
      </c>
    </row>
    <row r="184" spans="1:41">
      <c r="A184">
        <v>176</v>
      </c>
      <c r="B184" s="2">
        <v>45296.6181365741</v>
      </c>
      <c r="C184">
        <v>256.874</v>
      </c>
      <c r="D184" t="s">
        <v>821</v>
      </c>
      <c r="E184" t="s">
        <v>822</v>
      </c>
      <c r="F184">
        <v>46</v>
      </c>
      <c r="G184">
        <f t="shared" si="2"/>
        <v>0</v>
      </c>
      <c r="H184">
        <v>1</v>
      </c>
      <c r="I184">
        <v>2287</v>
      </c>
      <c r="J184">
        <v>5024</v>
      </c>
      <c r="K184">
        <v>28744</v>
      </c>
      <c r="L184" s="1">
        <v>-12495</v>
      </c>
      <c r="M184">
        <v>-12495</v>
      </c>
      <c r="N184">
        <v>40.3</v>
      </c>
      <c r="O184">
        <v>11</v>
      </c>
      <c r="P184">
        <v>65535</v>
      </c>
      <c r="Q184">
        <v>8215</v>
      </c>
      <c r="R184">
        <v>-32767</v>
      </c>
      <c r="S184">
        <v>37.3</v>
      </c>
      <c r="T184">
        <v>14</v>
      </c>
      <c r="U184">
        <v>100</v>
      </c>
      <c r="V184">
        <v>34800</v>
      </c>
      <c r="W184">
        <v>5000</v>
      </c>
      <c r="X184" t="s">
        <v>823</v>
      </c>
      <c r="Y184" t="s">
        <v>830</v>
      </c>
      <c r="Z184" t="s">
        <v>828</v>
      </c>
      <c r="AA184">
        <v>5</v>
      </c>
      <c r="AB184">
        <v>6</v>
      </c>
      <c r="AC184">
        <v>76</v>
      </c>
      <c r="AD184">
        <v>4</v>
      </c>
      <c r="AE184">
        <v>2283</v>
      </c>
      <c r="AF184">
        <v>5024</v>
      </c>
      <c r="AG184">
        <v>249</v>
      </c>
      <c r="AH184">
        <v>2737</v>
      </c>
      <c r="AI184">
        <v>4</v>
      </c>
      <c r="AJ184">
        <v>87</v>
      </c>
      <c r="AK184">
        <v>1648</v>
      </c>
      <c r="AL184">
        <v>2218</v>
      </c>
      <c r="AM184">
        <v>11</v>
      </c>
      <c r="AN184">
        <v>914</v>
      </c>
      <c r="AO184" t="s">
        <v>826</v>
      </c>
    </row>
    <row r="185" spans="1:41">
      <c r="A185">
        <v>177</v>
      </c>
      <c r="B185" s="2">
        <v>45296.6181481481</v>
      </c>
      <c r="C185">
        <v>257.822</v>
      </c>
      <c r="D185" t="s">
        <v>821</v>
      </c>
      <c r="E185" t="s">
        <v>822</v>
      </c>
      <c r="F185">
        <v>46</v>
      </c>
      <c r="G185">
        <f t="shared" si="2"/>
        <v>0</v>
      </c>
      <c r="H185">
        <v>1</v>
      </c>
      <c r="I185">
        <v>2283</v>
      </c>
      <c r="J185">
        <v>5024</v>
      </c>
      <c r="K185">
        <v>28744</v>
      </c>
      <c r="L185" s="1">
        <v>-12495</v>
      </c>
      <c r="M185">
        <v>-12495</v>
      </c>
      <c r="N185">
        <v>40.3</v>
      </c>
      <c r="O185">
        <v>11</v>
      </c>
      <c r="P185">
        <v>65535</v>
      </c>
      <c r="Q185">
        <v>8205</v>
      </c>
      <c r="R185">
        <v>-32767</v>
      </c>
      <c r="S185">
        <v>37.3</v>
      </c>
      <c r="T185">
        <v>14</v>
      </c>
      <c r="U185">
        <v>100</v>
      </c>
      <c r="V185">
        <v>34800</v>
      </c>
      <c r="W185">
        <v>5000</v>
      </c>
      <c r="X185" t="s">
        <v>823</v>
      </c>
      <c r="Y185" t="s">
        <v>830</v>
      </c>
      <c r="Z185" t="s">
        <v>828</v>
      </c>
      <c r="AA185">
        <v>5</v>
      </c>
      <c r="AB185">
        <v>6</v>
      </c>
      <c r="AC185">
        <v>76</v>
      </c>
      <c r="AD185">
        <v>4</v>
      </c>
      <c r="AE185">
        <v>2280</v>
      </c>
      <c r="AF185">
        <v>5024</v>
      </c>
      <c r="AG185">
        <v>250</v>
      </c>
      <c r="AH185">
        <v>2740</v>
      </c>
      <c r="AI185">
        <v>4</v>
      </c>
      <c r="AJ185">
        <v>87</v>
      </c>
      <c r="AK185">
        <v>1648</v>
      </c>
      <c r="AL185">
        <v>2221</v>
      </c>
      <c r="AM185">
        <v>11</v>
      </c>
      <c r="AN185">
        <v>904</v>
      </c>
      <c r="AO185" t="s">
        <v>826</v>
      </c>
    </row>
    <row r="186" spans="1:41">
      <c r="A186">
        <v>178</v>
      </c>
      <c r="B186" s="2">
        <v>45296.6181828704</v>
      </c>
      <c r="C186">
        <v>260.165</v>
      </c>
      <c r="D186" t="s">
        <v>821</v>
      </c>
      <c r="E186" t="s">
        <v>822</v>
      </c>
      <c r="F186">
        <v>46</v>
      </c>
      <c r="G186">
        <f t="shared" si="2"/>
        <v>0</v>
      </c>
      <c r="H186">
        <v>1</v>
      </c>
      <c r="I186">
        <v>2273</v>
      </c>
      <c r="J186">
        <v>5024</v>
      </c>
      <c r="K186">
        <v>28736</v>
      </c>
      <c r="L186" s="1">
        <v>-12495</v>
      </c>
      <c r="M186">
        <v>-12495</v>
      </c>
      <c r="N186">
        <v>40.3</v>
      </c>
      <c r="O186">
        <v>11</v>
      </c>
      <c r="P186">
        <v>65535</v>
      </c>
      <c r="Q186">
        <v>8180</v>
      </c>
      <c r="R186">
        <v>-32767</v>
      </c>
      <c r="S186">
        <v>37.3</v>
      </c>
      <c r="T186">
        <v>14</v>
      </c>
      <c r="U186">
        <v>100</v>
      </c>
      <c r="V186">
        <v>34800</v>
      </c>
      <c r="W186">
        <v>5000</v>
      </c>
      <c r="X186" t="s">
        <v>823</v>
      </c>
      <c r="Y186" t="s">
        <v>830</v>
      </c>
      <c r="Z186" t="s">
        <v>828</v>
      </c>
      <c r="AA186">
        <v>5</v>
      </c>
      <c r="AB186">
        <v>6</v>
      </c>
      <c r="AC186">
        <v>76</v>
      </c>
      <c r="AD186">
        <v>4</v>
      </c>
      <c r="AE186">
        <v>2273</v>
      </c>
      <c r="AF186">
        <v>5024</v>
      </c>
      <c r="AG186">
        <v>252</v>
      </c>
      <c r="AH186">
        <v>2747</v>
      </c>
      <c r="AI186">
        <v>4</v>
      </c>
      <c r="AJ186">
        <v>87</v>
      </c>
      <c r="AK186">
        <v>1648</v>
      </c>
      <c r="AL186">
        <v>2228</v>
      </c>
      <c r="AM186">
        <v>11</v>
      </c>
      <c r="AN186">
        <v>902</v>
      </c>
      <c r="AO186" t="s">
        <v>826</v>
      </c>
    </row>
    <row r="187" spans="1:41">
      <c r="A187">
        <v>179</v>
      </c>
      <c r="B187" s="2">
        <v>45296.6181944444</v>
      </c>
      <c r="C187">
        <v>261.104</v>
      </c>
      <c r="D187" t="s">
        <v>821</v>
      </c>
      <c r="E187" t="s">
        <v>822</v>
      </c>
      <c r="F187">
        <v>46</v>
      </c>
      <c r="G187">
        <f t="shared" si="2"/>
        <v>0</v>
      </c>
      <c r="H187">
        <v>1</v>
      </c>
      <c r="I187">
        <v>2270</v>
      </c>
      <c r="J187">
        <v>5024</v>
      </c>
      <c r="K187">
        <v>28728</v>
      </c>
      <c r="L187" s="1">
        <v>-12495</v>
      </c>
      <c r="M187">
        <v>-12495</v>
      </c>
      <c r="N187">
        <v>40.3</v>
      </c>
      <c r="O187">
        <v>11</v>
      </c>
      <c r="P187">
        <v>65535</v>
      </c>
      <c r="Q187">
        <v>8169</v>
      </c>
      <c r="R187">
        <v>-32767</v>
      </c>
      <c r="S187">
        <v>37.4</v>
      </c>
      <c r="T187">
        <v>14</v>
      </c>
      <c r="U187">
        <v>100</v>
      </c>
      <c r="V187">
        <v>34800</v>
      </c>
      <c r="W187">
        <v>5000</v>
      </c>
      <c r="X187" t="s">
        <v>823</v>
      </c>
      <c r="Y187" t="s">
        <v>830</v>
      </c>
      <c r="Z187" t="s">
        <v>828</v>
      </c>
      <c r="AA187">
        <v>5</v>
      </c>
      <c r="AB187">
        <v>6</v>
      </c>
      <c r="AC187">
        <v>76</v>
      </c>
      <c r="AD187">
        <v>4</v>
      </c>
      <c r="AE187">
        <v>2270</v>
      </c>
      <c r="AF187">
        <v>5024</v>
      </c>
      <c r="AG187">
        <v>253</v>
      </c>
      <c r="AH187">
        <v>2750</v>
      </c>
      <c r="AI187">
        <v>5</v>
      </c>
      <c r="AJ187">
        <v>87</v>
      </c>
      <c r="AK187">
        <v>1648</v>
      </c>
      <c r="AL187">
        <v>2231</v>
      </c>
      <c r="AM187">
        <v>12</v>
      </c>
      <c r="AN187">
        <v>904</v>
      </c>
      <c r="AO187" t="s">
        <v>826</v>
      </c>
    </row>
    <row r="188" spans="1:41">
      <c r="A188">
        <v>180</v>
      </c>
      <c r="B188" s="2">
        <v>45296.6182060185</v>
      </c>
      <c r="C188">
        <v>262.043</v>
      </c>
      <c r="D188" t="s">
        <v>821</v>
      </c>
      <c r="E188" t="s">
        <v>822</v>
      </c>
      <c r="F188">
        <v>46</v>
      </c>
      <c r="G188">
        <f t="shared" si="2"/>
        <v>0</v>
      </c>
      <c r="H188">
        <v>1</v>
      </c>
      <c r="I188">
        <v>2266</v>
      </c>
      <c r="J188">
        <v>5024</v>
      </c>
      <c r="K188">
        <v>28728</v>
      </c>
      <c r="L188" s="1">
        <v>-12496</v>
      </c>
      <c r="M188">
        <v>-12495</v>
      </c>
      <c r="N188">
        <v>40.3</v>
      </c>
      <c r="O188">
        <v>11</v>
      </c>
      <c r="P188">
        <v>65535</v>
      </c>
      <c r="Q188">
        <v>8154</v>
      </c>
      <c r="R188">
        <v>-32767</v>
      </c>
      <c r="S188">
        <v>37.4</v>
      </c>
      <c r="T188">
        <v>14</v>
      </c>
      <c r="U188">
        <v>100</v>
      </c>
      <c r="V188">
        <v>34800</v>
      </c>
      <c r="W188">
        <v>5000</v>
      </c>
      <c r="X188" t="s">
        <v>823</v>
      </c>
      <c r="Y188" t="s">
        <v>830</v>
      </c>
      <c r="Z188" t="s">
        <v>828</v>
      </c>
      <c r="AA188">
        <v>5</v>
      </c>
      <c r="AB188">
        <v>6</v>
      </c>
      <c r="AC188">
        <v>76</v>
      </c>
      <c r="AD188">
        <v>4</v>
      </c>
      <c r="AE188">
        <v>2266</v>
      </c>
      <c r="AF188">
        <v>5024</v>
      </c>
      <c r="AG188">
        <v>254</v>
      </c>
      <c r="AH188">
        <v>2754</v>
      </c>
      <c r="AI188">
        <v>5</v>
      </c>
      <c r="AJ188">
        <v>87</v>
      </c>
      <c r="AK188">
        <v>1648</v>
      </c>
      <c r="AL188">
        <v>2235</v>
      </c>
      <c r="AM188">
        <v>12</v>
      </c>
      <c r="AN188">
        <v>884</v>
      </c>
      <c r="AO188" t="s">
        <v>826</v>
      </c>
    </row>
    <row r="189" spans="1:41">
      <c r="A189">
        <v>181</v>
      </c>
      <c r="B189" s="2">
        <v>45296.6182291667</v>
      </c>
      <c r="C189">
        <v>264.374</v>
      </c>
      <c r="D189" t="s">
        <v>821</v>
      </c>
      <c r="E189" t="s">
        <v>822</v>
      </c>
      <c r="F189">
        <v>45</v>
      </c>
      <c r="G189">
        <f t="shared" si="2"/>
        <v>1</v>
      </c>
      <c r="H189">
        <v>1</v>
      </c>
      <c r="I189">
        <v>2259</v>
      </c>
      <c r="J189">
        <v>5024</v>
      </c>
      <c r="K189">
        <v>28720</v>
      </c>
      <c r="L189" s="1">
        <v>-12495</v>
      </c>
      <c r="M189">
        <v>-12495</v>
      </c>
      <c r="N189">
        <v>40.4</v>
      </c>
      <c r="O189">
        <v>11</v>
      </c>
      <c r="P189">
        <v>65535</v>
      </c>
      <c r="Q189">
        <v>8129</v>
      </c>
      <c r="R189">
        <v>-32767</v>
      </c>
      <c r="S189">
        <v>37.4</v>
      </c>
      <c r="T189">
        <v>14</v>
      </c>
      <c r="U189">
        <v>100</v>
      </c>
      <c r="V189">
        <v>34800</v>
      </c>
      <c r="W189">
        <v>5000</v>
      </c>
      <c r="X189" t="s">
        <v>823</v>
      </c>
      <c r="Y189" t="s">
        <v>830</v>
      </c>
      <c r="Z189" t="s">
        <v>828</v>
      </c>
      <c r="AA189">
        <v>5</v>
      </c>
      <c r="AB189">
        <v>6</v>
      </c>
      <c r="AC189">
        <v>76</v>
      </c>
      <c r="AD189">
        <v>4</v>
      </c>
      <c r="AE189">
        <v>2259</v>
      </c>
      <c r="AF189">
        <v>5024</v>
      </c>
      <c r="AG189">
        <v>256</v>
      </c>
      <c r="AH189">
        <v>2761</v>
      </c>
      <c r="AI189">
        <v>5</v>
      </c>
      <c r="AJ189">
        <v>87</v>
      </c>
      <c r="AK189">
        <v>1648</v>
      </c>
      <c r="AL189">
        <v>2242</v>
      </c>
      <c r="AM189">
        <v>12</v>
      </c>
      <c r="AN189">
        <v>909</v>
      </c>
      <c r="AO189" t="s">
        <v>826</v>
      </c>
    </row>
    <row r="190" spans="1:41">
      <c r="A190">
        <v>182</v>
      </c>
      <c r="B190" s="2">
        <v>45296.6182407407</v>
      </c>
      <c r="C190">
        <v>265.325</v>
      </c>
      <c r="D190" t="s">
        <v>821</v>
      </c>
      <c r="E190" t="s">
        <v>822</v>
      </c>
      <c r="F190">
        <v>45</v>
      </c>
      <c r="G190">
        <f t="shared" si="2"/>
        <v>0</v>
      </c>
      <c r="H190">
        <v>1</v>
      </c>
      <c r="I190">
        <v>2256</v>
      </c>
      <c r="J190">
        <v>5024</v>
      </c>
      <c r="K190">
        <v>28712</v>
      </c>
      <c r="L190" s="1">
        <v>-12495</v>
      </c>
      <c r="M190">
        <v>-12495</v>
      </c>
      <c r="N190">
        <v>40.3</v>
      </c>
      <c r="O190">
        <v>11</v>
      </c>
      <c r="P190">
        <v>65535</v>
      </c>
      <c r="Q190">
        <v>8118</v>
      </c>
      <c r="R190">
        <v>-32767</v>
      </c>
      <c r="S190">
        <v>37.4</v>
      </c>
      <c r="T190">
        <v>14</v>
      </c>
      <c r="U190">
        <v>100</v>
      </c>
      <c r="V190">
        <v>34800</v>
      </c>
      <c r="W190">
        <v>5000</v>
      </c>
      <c r="X190" t="s">
        <v>823</v>
      </c>
      <c r="Y190" t="s">
        <v>830</v>
      </c>
      <c r="Z190" t="s">
        <v>828</v>
      </c>
      <c r="AA190">
        <v>5</v>
      </c>
      <c r="AB190">
        <v>6</v>
      </c>
      <c r="AC190">
        <v>76</v>
      </c>
      <c r="AD190">
        <v>4</v>
      </c>
      <c r="AE190">
        <v>2256</v>
      </c>
      <c r="AF190">
        <v>5024</v>
      </c>
      <c r="AG190">
        <v>257</v>
      </c>
      <c r="AH190">
        <v>2764</v>
      </c>
      <c r="AI190">
        <v>5</v>
      </c>
      <c r="AJ190">
        <v>87</v>
      </c>
      <c r="AK190">
        <v>1648</v>
      </c>
      <c r="AL190">
        <v>2245</v>
      </c>
      <c r="AM190">
        <v>12</v>
      </c>
      <c r="AN190">
        <v>901</v>
      </c>
      <c r="AO190" t="s">
        <v>826</v>
      </c>
    </row>
    <row r="191" spans="1:41">
      <c r="A191">
        <v>183</v>
      </c>
      <c r="B191" s="2">
        <v>45296.6182638889</v>
      </c>
      <c r="C191">
        <v>267.673</v>
      </c>
      <c r="D191" t="s">
        <v>821</v>
      </c>
      <c r="E191" t="s">
        <v>822</v>
      </c>
      <c r="F191">
        <v>45</v>
      </c>
      <c r="G191">
        <f t="shared" si="2"/>
        <v>0</v>
      </c>
      <c r="H191">
        <v>1</v>
      </c>
      <c r="I191">
        <v>2249</v>
      </c>
      <c r="J191">
        <v>5024</v>
      </c>
      <c r="K191">
        <v>28712</v>
      </c>
      <c r="L191" s="1">
        <v>-12495</v>
      </c>
      <c r="M191">
        <v>-12495</v>
      </c>
      <c r="N191">
        <v>40.3</v>
      </c>
      <c r="O191">
        <v>11</v>
      </c>
      <c r="P191">
        <v>65535</v>
      </c>
      <c r="Q191">
        <v>8093</v>
      </c>
      <c r="R191">
        <v>-32767</v>
      </c>
      <c r="S191">
        <v>37.5</v>
      </c>
      <c r="T191">
        <v>14</v>
      </c>
      <c r="U191">
        <v>100</v>
      </c>
      <c r="V191">
        <v>34800</v>
      </c>
      <c r="W191">
        <v>5000</v>
      </c>
      <c r="X191" t="s">
        <v>823</v>
      </c>
      <c r="Y191" t="s">
        <v>830</v>
      </c>
      <c r="Z191" t="s">
        <v>828</v>
      </c>
      <c r="AA191">
        <v>5</v>
      </c>
      <c r="AB191">
        <v>6</v>
      </c>
      <c r="AC191">
        <v>76</v>
      </c>
      <c r="AD191">
        <v>4</v>
      </c>
      <c r="AE191">
        <v>2245</v>
      </c>
      <c r="AF191">
        <v>5024</v>
      </c>
      <c r="AG191">
        <v>260</v>
      </c>
      <c r="AH191">
        <v>2775</v>
      </c>
      <c r="AI191">
        <v>5</v>
      </c>
      <c r="AJ191">
        <v>87</v>
      </c>
      <c r="AK191">
        <v>1648</v>
      </c>
      <c r="AL191">
        <v>2256</v>
      </c>
      <c r="AM191">
        <v>12</v>
      </c>
      <c r="AN191">
        <v>910</v>
      </c>
      <c r="AO191" t="s">
        <v>826</v>
      </c>
    </row>
    <row r="192" spans="1:41">
      <c r="A192">
        <v>184</v>
      </c>
      <c r="B192" s="2">
        <v>45296.618275463</v>
      </c>
      <c r="C192">
        <v>268.624</v>
      </c>
      <c r="D192" t="s">
        <v>821</v>
      </c>
      <c r="E192" t="s">
        <v>822</v>
      </c>
      <c r="F192">
        <v>45</v>
      </c>
      <c r="G192">
        <f t="shared" si="2"/>
        <v>0</v>
      </c>
      <c r="H192">
        <v>1</v>
      </c>
      <c r="I192">
        <v>2245</v>
      </c>
      <c r="J192">
        <v>5024</v>
      </c>
      <c r="K192">
        <v>28704</v>
      </c>
      <c r="L192" s="1">
        <v>-12495</v>
      </c>
      <c r="M192">
        <v>-12495</v>
      </c>
      <c r="N192">
        <v>40.3</v>
      </c>
      <c r="O192">
        <v>11</v>
      </c>
      <c r="P192">
        <v>65535</v>
      </c>
      <c r="Q192">
        <v>8079</v>
      </c>
      <c r="R192">
        <v>-32767</v>
      </c>
      <c r="S192">
        <v>37.5</v>
      </c>
      <c r="T192">
        <v>14</v>
      </c>
      <c r="U192">
        <v>100</v>
      </c>
      <c r="V192">
        <v>34800</v>
      </c>
      <c r="W192">
        <v>5000</v>
      </c>
      <c r="X192" t="s">
        <v>823</v>
      </c>
      <c r="Y192" t="s">
        <v>830</v>
      </c>
      <c r="Z192" t="s">
        <v>828</v>
      </c>
      <c r="AA192">
        <v>5</v>
      </c>
      <c r="AB192">
        <v>6</v>
      </c>
      <c r="AC192">
        <v>76</v>
      </c>
      <c r="AD192">
        <v>4</v>
      </c>
      <c r="AE192">
        <v>2242</v>
      </c>
      <c r="AF192">
        <v>5024</v>
      </c>
      <c r="AG192">
        <v>261</v>
      </c>
      <c r="AH192">
        <v>2778</v>
      </c>
      <c r="AI192">
        <v>5</v>
      </c>
      <c r="AJ192">
        <v>87</v>
      </c>
      <c r="AK192">
        <v>1648</v>
      </c>
      <c r="AL192">
        <v>2259</v>
      </c>
      <c r="AM192">
        <v>12</v>
      </c>
      <c r="AN192">
        <v>910</v>
      </c>
      <c r="AO192" t="s">
        <v>826</v>
      </c>
    </row>
    <row r="193" spans="1:41">
      <c r="A193">
        <v>185</v>
      </c>
      <c r="B193" s="2">
        <v>45296.618287037</v>
      </c>
      <c r="C193">
        <v>269.571</v>
      </c>
      <c r="D193" t="s">
        <v>821</v>
      </c>
      <c r="E193" t="s">
        <v>822</v>
      </c>
      <c r="F193">
        <v>45</v>
      </c>
      <c r="G193">
        <f t="shared" si="2"/>
        <v>0</v>
      </c>
      <c r="H193">
        <v>1</v>
      </c>
      <c r="I193">
        <v>2242</v>
      </c>
      <c r="J193">
        <v>5024</v>
      </c>
      <c r="K193">
        <v>28696</v>
      </c>
      <c r="L193" s="1">
        <v>-12496</v>
      </c>
      <c r="M193">
        <v>-12495</v>
      </c>
      <c r="N193">
        <v>40.3</v>
      </c>
      <c r="O193">
        <v>11</v>
      </c>
      <c r="P193">
        <v>65535</v>
      </c>
      <c r="Q193">
        <v>8068</v>
      </c>
      <c r="R193">
        <v>-32767</v>
      </c>
      <c r="S193">
        <v>37.5</v>
      </c>
      <c r="T193">
        <v>14</v>
      </c>
      <c r="U193">
        <v>100</v>
      </c>
      <c r="V193">
        <v>34800</v>
      </c>
      <c r="W193">
        <v>5000</v>
      </c>
      <c r="X193" t="s">
        <v>823</v>
      </c>
      <c r="Y193" t="s">
        <v>830</v>
      </c>
      <c r="Z193" t="s">
        <v>828</v>
      </c>
      <c r="AA193">
        <v>5</v>
      </c>
      <c r="AB193">
        <v>6</v>
      </c>
      <c r="AC193">
        <v>76</v>
      </c>
      <c r="AD193">
        <v>4</v>
      </c>
      <c r="AE193">
        <v>2242</v>
      </c>
      <c r="AF193">
        <v>5024</v>
      </c>
      <c r="AG193">
        <v>262</v>
      </c>
      <c r="AH193">
        <v>2782</v>
      </c>
      <c r="AI193">
        <v>5</v>
      </c>
      <c r="AJ193">
        <v>87</v>
      </c>
      <c r="AK193">
        <v>1648</v>
      </c>
      <c r="AL193">
        <v>2263</v>
      </c>
      <c r="AM193">
        <v>12</v>
      </c>
      <c r="AN193">
        <v>905</v>
      </c>
      <c r="AO193" t="s">
        <v>826</v>
      </c>
    </row>
    <row r="194" spans="1:41">
      <c r="A194">
        <v>186</v>
      </c>
      <c r="B194" s="2">
        <v>45296.6183217593</v>
      </c>
      <c r="C194">
        <v>271.922</v>
      </c>
      <c r="D194" t="s">
        <v>821</v>
      </c>
      <c r="E194" t="s">
        <v>822</v>
      </c>
      <c r="F194">
        <v>45</v>
      </c>
      <c r="G194">
        <f t="shared" si="2"/>
        <v>0</v>
      </c>
      <c r="H194">
        <v>1</v>
      </c>
      <c r="I194">
        <v>2231</v>
      </c>
      <c r="J194">
        <v>5024</v>
      </c>
      <c r="K194">
        <v>28688</v>
      </c>
      <c r="L194" s="1">
        <v>-12495</v>
      </c>
      <c r="M194">
        <v>-12495</v>
      </c>
      <c r="N194">
        <v>40.4</v>
      </c>
      <c r="O194">
        <v>11</v>
      </c>
      <c r="P194">
        <v>65535</v>
      </c>
      <c r="Q194">
        <v>8029</v>
      </c>
      <c r="R194">
        <v>-32767</v>
      </c>
      <c r="S194">
        <v>37.5</v>
      </c>
      <c r="T194">
        <v>14</v>
      </c>
      <c r="U194">
        <v>100</v>
      </c>
      <c r="V194">
        <v>34800</v>
      </c>
      <c r="W194">
        <v>5000</v>
      </c>
      <c r="X194" t="s">
        <v>823</v>
      </c>
      <c r="Y194" t="s">
        <v>830</v>
      </c>
      <c r="Z194" t="s">
        <v>828</v>
      </c>
      <c r="AA194">
        <v>5</v>
      </c>
      <c r="AB194">
        <v>6</v>
      </c>
      <c r="AC194">
        <v>76</v>
      </c>
      <c r="AD194">
        <v>4</v>
      </c>
      <c r="AE194">
        <v>2231</v>
      </c>
      <c r="AF194">
        <v>5024</v>
      </c>
      <c r="AG194">
        <v>264</v>
      </c>
      <c r="AH194">
        <v>2789</v>
      </c>
      <c r="AI194">
        <v>5</v>
      </c>
      <c r="AJ194">
        <v>87</v>
      </c>
      <c r="AK194">
        <v>1648</v>
      </c>
      <c r="AL194">
        <v>2270</v>
      </c>
      <c r="AM194">
        <v>12</v>
      </c>
      <c r="AN194">
        <v>908</v>
      </c>
      <c r="AO194" t="s">
        <v>826</v>
      </c>
    </row>
    <row r="195" spans="1:41">
      <c r="A195">
        <v>187</v>
      </c>
      <c r="B195" s="2">
        <v>45296.6183217593</v>
      </c>
      <c r="C195">
        <v>272.869</v>
      </c>
      <c r="D195" t="s">
        <v>821</v>
      </c>
      <c r="E195" t="s">
        <v>822</v>
      </c>
      <c r="F195">
        <v>45</v>
      </c>
      <c r="G195">
        <f t="shared" si="2"/>
        <v>0</v>
      </c>
      <c r="H195">
        <v>1</v>
      </c>
      <c r="I195">
        <v>2231</v>
      </c>
      <c r="J195">
        <v>5024</v>
      </c>
      <c r="K195">
        <v>28688</v>
      </c>
      <c r="L195" s="1">
        <v>-12495</v>
      </c>
      <c r="M195">
        <v>-12495</v>
      </c>
      <c r="N195">
        <v>40.4</v>
      </c>
      <c r="O195">
        <v>11</v>
      </c>
      <c r="P195">
        <v>65535</v>
      </c>
      <c r="Q195">
        <v>8018</v>
      </c>
      <c r="R195">
        <v>-32767</v>
      </c>
      <c r="S195">
        <v>37.5</v>
      </c>
      <c r="T195">
        <v>14</v>
      </c>
      <c r="U195">
        <v>100</v>
      </c>
      <c r="V195">
        <v>34800</v>
      </c>
      <c r="W195">
        <v>5000</v>
      </c>
      <c r="X195" t="s">
        <v>823</v>
      </c>
      <c r="Y195" t="s">
        <v>830</v>
      </c>
      <c r="Z195" t="s">
        <v>828</v>
      </c>
      <c r="AA195">
        <v>5</v>
      </c>
      <c r="AB195">
        <v>6</v>
      </c>
      <c r="AC195">
        <v>76</v>
      </c>
      <c r="AD195">
        <v>4</v>
      </c>
      <c r="AE195">
        <v>2228</v>
      </c>
      <c r="AF195">
        <v>5024</v>
      </c>
      <c r="AG195">
        <v>265</v>
      </c>
      <c r="AH195">
        <v>2792</v>
      </c>
      <c r="AI195">
        <v>5</v>
      </c>
      <c r="AJ195">
        <v>87</v>
      </c>
      <c r="AK195">
        <v>1648</v>
      </c>
      <c r="AL195">
        <v>2273</v>
      </c>
      <c r="AM195">
        <v>12</v>
      </c>
      <c r="AN195">
        <v>903</v>
      </c>
      <c r="AO195" t="s">
        <v>826</v>
      </c>
    </row>
    <row r="196" spans="1:41">
      <c r="A196">
        <v>188</v>
      </c>
      <c r="B196" s="2">
        <v>45296.6183333333</v>
      </c>
      <c r="C196">
        <v>273.825</v>
      </c>
      <c r="D196" t="s">
        <v>821</v>
      </c>
      <c r="E196" t="s">
        <v>822</v>
      </c>
      <c r="F196">
        <v>45</v>
      </c>
      <c r="G196">
        <f t="shared" si="2"/>
        <v>0</v>
      </c>
      <c r="H196">
        <v>1</v>
      </c>
      <c r="I196">
        <v>2228</v>
      </c>
      <c r="J196">
        <v>5024</v>
      </c>
      <c r="K196">
        <v>28688</v>
      </c>
      <c r="L196" s="1">
        <v>-12495</v>
      </c>
      <c r="M196">
        <v>-12495</v>
      </c>
      <c r="N196">
        <v>40.4</v>
      </c>
      <c r="O196">
        <v>11</v>
      </c>
      <c r="P196">
        <v>65535</v>
      </c>
      <c r="Q196">
        <v>8004</v>
      </c>
      <c r="R196">
        <v>-32767</v>
      </c>
      <c r="S196">
        <v>37.5</v>
      </c>
      <c r="T196">
        <v>14</v>
      </c>
      <c r="U196">
        <v>100</v>
      </c>
      <c r="V196">
        <v>34800</v>
      </c>
      <c r="W196">
        <v>5000</v>
      </c>
      <c r="X196" t="s">
        <v>823</v>
      </c>
      <c r="Y196" t="s">
        <v>830</v>
      </c>
      <c r="Z196" t="s">
        <v>828</v>
      </c>
      <c r="AA196">
        <v>5</v>
      </c>
      <c r="AB196">
        <v>6</v>
      </c>
      <c r="AC196">
        <v>76</v>
      </c>
      <c r="AD196">
        <v>4</v>
      </c>
      <c r="AE196">
        <v>2224</v>
      </c>
      <c r="AF196">
        <v>5024</v>
      </c>
      <c r="AG196">
        <v>266</v>
      </c>
      <c r="AH196">
        <v>2796</v>
      </c>
      <c r="AI196">
        <v>5</v>
      </c>
      <c r="AJ196">
        <v>87</v>
      </c>
      <c r="AK196">
        <v>1648</v>
      </c>
      <c r="AL196">
        <v>2277</v>
      </c>
      <c r="AM196">
        <v>12</v>
      </c>
      <c r="AN196">
        <v>901</v>
      </c>
      <c r="AO196" t="s">
        <v>826</v>
      </c>
    </row>
    <row r="197" spans="1:41">
      <c r="A197">
        <v>189</v>
      </c>
      <c r="B197" s="2">
        <v>45296.6183680556</v>
      </c>
      <c r="C197">
        <v>276.186</v>
      </c>
      <c r="D197" t="s">
        <v>821</v>
      </c>
      <c r="E197" t="s">
        <v>822</v>
      </c>
      <c r="F197">
        <v>45</v>
      </c>
      <c r="G197">
        <f t="shared" si="2"/>
        <v>0</v>
      </c>
      <c r="H197">
        <v>1</v>
      </c>
      <c r="I197">
        <v>2217</v>
      </c>
      <c r="J197">
        <v>5024</v>
      </c>
      <c r="K197">
        <v>28672</v>
      </c>
      <c r="L197" s="1">
        <v>-12495</v>
      </c>
      <c r="M197">
        <v>-12495</v>
      </c>
      <c r="N197">
        <v>40.5</v>
      </c>
      <c r="O197">
        <v>11</v>
      </c>
      <c r="P197">
        <v>65535</v>
      </c>
      <c r="Q197">
        <v>7979</v>
      </c>
      <c r="R197">
        <v>-32767</v>
      </c>
      <c r="S197">
        <v>37.6</v>
      </c>
      <c r="T197">
        <v>14</v>
      </c>
      <c r="U197">
        <v>100</v>
      </c>
      <c r="V197">
        <v>34800</v>
      </c>
      <c r="W197">
        <v>5000</v>
      </c>
      <c r="X197" t="s">
        <v>823</v>
      </c>
      <c r="Y197" t="s">
        <v>830</v>
      </c>
      <c r="Z197" t="s">
        <v>828</v>
      </c>
      <c r="AA197">
        <v>5</v>
      </c>
      <c r="AB197">
        <v>6</v>
      </c>
      <c r="AC197">
        <v>76</v>
      </c>
      <c r="AD197">
        <v>4</v>
      </c>
      <c r="AE197">
        <v>2217</v>
      </c>
      <c r="AF197">
        <v>5024</v>
      </c>
      <c r="AG197">
        <v>268</v>
      </c>
      <c r="AH197">
        <v>2803</v>
      </c>
      <c r="AI197">
        <v>5</v>
      </c>
      <c r="AJ197">
        <v>87</v>
      </c>
      <c r="AK197">
        <v>1648</v>
      </c>
      <c r="AL197">
        <v>2284</v>
      </c>
      <c r="AM197">
        <v>12</v>
      </c>
      <c r="AN197">
        <v>958</v>
      </c>
      <c r="AO197" t="s">
        <v>826</v>
      </c>
    </row>
    <row r="198" spans="1:41">
      <c r="A198">
        <v>190</v>
      </c>
      <c r="B198" s="2">
        <v>45296.6183796296</v>
      </c>
      <c r="C198">
        <v>277.177</v>
      </c>
      <c r="D198" t="s">
        <v>821</v>
      </c>
      <c r="E198" t="s">
        <v>822</v>
      </c>
      <c r="F198">
        <v>45</v>
      </c>
      <c r="G198">
        <f t="shared" si="2"/>
        <v>0</v>
      </c>
      <c r="H198">
        <v>1</v>
      </c>
      <c r="I198">
        <v>2214</v>
      </c>
      <c r="J198">
        <v>5024</v>
      </c>
      <c r="K198">
        <v>28672</v>
      </c>
      <c r="L198" s="1">
        <v>-12496</v>
      </c>
      <c r="M198">
        <v>-12495</v>
      </c>
      <c r="N198">
        <v>40.5</v>
      </c>
      <c r="O198">
        <v>11</v>
      </c>
      <c r="P198">
        <v>65535</v>
      </c>
      <c r="Q198">
        <v>7968</v>
      </c>
      <c r="R198">
        <v>-32767</v>
      </c>
      <c r="S198">
        <v>37.6</v>
      </c>
      <c r="T198">
        <v>14</v>
      </c>
      <c r="U198">
        <v>100</v>
      </c>
      <c r="V198">
        <v>34800</v>
      </c>
      <c r="W198">
        <v>5000</v>
      </c>
      <c r="X198" t="s">
        <v>823</v>
      </c>
      <c r="Y198" t="s">
        <v>830</v>
      </c>
      <c r="Z198" t="s">
        <v>828</v>
      </c>
      <c r="AA198">
        <v>5</v>
      </c>
      <c r="AB198">
        <v>6</v>
      </c>
      <c r="AC198">
        <v>76</v>
      </c>
      <c r="AD198">
        <v>4</v>
      </c>
      <c r="AE198">
        <v>2214</v>
      </c>
      <c r="AF198">
        <v>5024</v>
      </c>
      <c r="AG198">
        <v>269</v>
      </c>
      <c r="AH198">
        <v>2806</v>
      </c>
      <c r="AI198">
        <v>5</v>
      </c>
      <c r="AJ198">
        <v>87</v>
      </c>
      <c r="AK198">
        <v>1648</v>
      </c>
      <c r="AL198">
        <v>2287</v>
      </c>
      <c r="AM198">
        <v>12</v>
      </c>
      <c r="AN198">
        <v>906</v>
      </c>
      <c r="AO198" t="s">
        <v>826</v>
      </c>
    </row>
    <row r="199" spans="1:41">
      <c r="A199">
        <v>191</v>
      </c>
      <c r="B199" s="2">
        <v>45296.6184027778</v>
      </c>
      <c r="C199">
        <v>279.545</v>
      </c>
      <c r="D199" t="s">
        <v>821</v>
      </c>
      <c r="E199" t="s">
        <v>822</v>
      </c>
      <c r="F199">
        <v>44</v>
      </c>
      <c r="G199">
        <f t="shared" si="2"/>
        <v>1</v>
      </c>
      <c r="H199">
        <v>1</v>
      </c>
      <c r="I199">
        <v>2207</v>
      </c>
      <c r="J199">
        <v>5024</v>
      </c>
      <c r="K199">
        <v>28664</v>
      </c>
      <c r="L199" s="1">
        <v>-12496</v>
      </c>
      <c r="M199">
        <v>-12495</v>
      </c>
      <c r="N199">
        <v>40.6</v>
      </c>
      <c r="O199">
        <v>11</v>
      </c>
      <c r="P199">
        <v>65535</v>
      </c>
      <c r="Q199">
        <v>7943</v>
      </c>
      <c r="R199">
        <v>-32767</v>
      </c>
      <c r="S199">
        <v>37.6</v>
      </c>
      <c r="T199">
        <v>14</v>
      </c>
      <c r="U199">
        <v>100</v>
      </c>
      <c r="V199">
        <v>34800</v>
      </c>
      <c r="W199">
        <v>5000</v>
      </c>
      <c r="X199" t="s">
        <v>823</v>
      </c>
      <c r="Y199" t="s">
        <v>830</v>
      </c>
      <c r="Z199" t="s">
        <v>828</v>
      </c>
      <c r="AA199">
        <v>5</v>
      </c>
      <c r="AB199">
        <v>6</v>
      </c>
      <c r="AC199">
        <v>76</v>
      </c>
      <c r="AD199">
        <v>4</v>
      </c>
      <c r="AE199">
        <v>2207</v>
      </c>
      <c r="AF199">
        <v>5024</v>
      </c>
      <c r="AG199">
        <v>271</v>
      </c>
      <c r="AH199">
        <v>2816</v>
      </c>
      <c r="AI199">
        <v>5</v>
      </c>
      <c r="AJ199">
        <v>87</v>
      </c>
      <c r="AK199">
        <v>1648</v>
      </c>
      <c r="AL199">
        <v>2297</v>
      </c>
      <c r="AM199">
        <v>12</v>
      </c>
      <c r="AN199">
        <v>910</v>
      </c>
      <c r="AO199" t="s">
        <v>826</v>
      </c>
    </row>
    <row r="200" spans="1:41">
      <c r="A200">
        <v>192</v>
      </c>
      <c r="B200" s="2">
        <v>45296.6184143519</v>
      </c>
      <c r="C200">
        <v>280.495</v>
      </c>
      <c r="D200" t="s">
        <v>821</v>
      </c>
      <c r="E200" t="s">
        <v>822</v>
      </c>
      <c r="F200">
        <v>44</v>
      </c>
      <c r="G200">
        <f t="shared" si="2"/>
        <v>0</v>
      </c>
      <c r="H200">
        <v>1</v>
      </c>
      <c r="I200">
        <v>2204</v>
      </c>
      <c r="J200">
        <v>5024</v>
      </c>
      <c r="K200">
        <v>28656</v>
      </c>
      <c r="L200" s="1">
        <v>-12495</v>
      </c>
      <c r="M200">
        <v>-12495</v>
      </c>
      <c r="N200">
        <v>40.6</v>
      </c>
      <c r="O200">
        <v>11</v>
      </c>
      <c r="P200">
        <v>65535</v>
      </c>
      <c r="Q200">
        <v>7932</v>
      </c>
      <c r="R200">
        <v>-32767</v>
      </c>
      <c r="S200">
        <v>37.6</v>
      </c>
      <c r="T200">
        <v>14</v>
      </c>
      <c r="U200">
        <v>100</v>
      </c>
      <c r="V200">
        <v>34800</v>
      </c>
      <c r="W200">
        <v>5000</v>
      </c>
      <c r="X200" t="s">
        <v>823</v>
      </c>
      <c r="Y200" t="s">
        <v>830</v>
      </c>
      <c r="Z200" t="s">
        <v>828</v>
      </c>
      <c r="AA200">
        <v>5</v>
      </c>
      <c r="AB200">
        <v>6</v>
      </c>
      <c r="AC200">
        <v>76</v>
      </c>
      <c r="AD200">
        <v>4</v>
      </c>
      <c r="AE200">
        <v>2204</v>
      </c>
      <c r="AF200">
        <v>5024</v>
      </c>
      <c r="AG200">
        <v>272</v>
      </c>
      <c r="AH200">
        <v>2816</v>
      </c>
      <c r="AI200">
        <v>5</v>
      </c>
      <c r="AJ200">
        <v>87</v>
      </c>
      <c r="AK200">
        <v>1648</v>
      </c>
      <c r="AL200">
        <v>2301</v>
      </c>
      <c r="AM200">
        <v>12</v>
      </c>
      <c r="AN200">
        <v>902</v>
      </c>
      <c r="AO200" t="s">
        <v>826</v>
      </c>
    </row>
    <row r="201" spans="1:41">
      <c r="A201">
        <v>193</v>
      </c>
      <c r="B201" s="2">
        <v>45296.6184259259</v>
      </c>
      <c r="C201">
        <v>281.434</v>
      </c>
      <c r="D201" t="s">
        <v>821</v>
      </c>
      <c r="E201" t="s">
        <v>822</v>
      </c>
      <c r="F201">
        <v>44</v>
      </c>
      <c r="G201">
        <f t="shared" ref="G201:G264" si="3">F200-F201</f>
        <v>0</v>
      </c>
      <c r="H201">
        <v>1</v>
      </c>
      <c r="I201">
        <v>2200</v>
      </c>
      <c r="J201">
        <v>5024</v>
      </c>
      <c r="K201">
        <v>28656</v>
      </c>
      <c r="L201" s="1">
        <v>-12495</v>
      </c>
      <c r="M201">
        <v>-12495</v>
      </c>
      <c r="N201">
        <v>40.6</v>
      </c>
      <c r="O201">
        <v>11</v>
      </c>
      <c r="P201">
        <v>65535</v>
      </c>
      <c r="Q201">
        <v>7918</v>
      </c>
      <c r="R201">
        <v>-32767</v>
      </c>
      <c r="S201">
        <v>37.6</v>
      </c>
      <c r="T201">
        <v>14</v>
      </c>
      <c r="U201">
        <v>100</v>
      </c>
      <c r="V201">
        <v>34800</v>
      </c>
      <c r="W201">
        <v>5000</v>
      </c>
      <c r="X201" t="s">
        <v>823</v>
      </c>
      <c r="Y201" t="s">
        <v>830</v>
      </c>
      <c r="Z201" t="s">
        <v>828</v>
      </c>
      <c r="AA201">
        <v>5</v>
      </c>
      <c r="AB201">
        <v>6</v>
      </c>
      <c r="AC201">
        <v>76</v>
      </c>
      <c r="AD201">
        <v>4</v>
      </c>
      <c r="AE201">
        <v>2200</v>
      </c>
      <c r="AF201">
        <v>5024</v>
      </c>
      <c r="AG201">
        <v>273</v>
      </c>
      <c r="AH201">
        <v>2820</v>
      </c>
      <c r="AI201">
        <v>5</v>
      </c>
      <c r="AJ201">
        <v>87</v>
      </c>
      <c r="AK201">
        <v>1648</v>
      </c>
      <c r="AL201">
        <v>2301</v>
      </c>
      <c r="AM201">
        <v>12</v>
      </c>
      <c r="AN201">
        <v>899</v>
      </c>
      <c r="AO201" t="s">
        <v>826</v>
      </c>
    </row>
    <row r="202" spans="1:41">
      <c r="A202">
        <v>194</v>
      </c>
      <c r="B202" s="2">
        <v>45296.6184490741</v>
      </c>
      <c r="C202">
        <v>283.814</v>
      </c>
      <c r="D202" t="s">
        <v>821</v>
      </c>
      <c r="E202" t="s">
        <v>822</v>
      </c>
      <c r="F202">
        <v>44</v>
      </c>
      <c r="G202">
        <f t="shared" si="3"/>
        <v>0</v>
      </c>
      <c r="H202">
        <v>1</v>
      </c>
      <c r="I202">
        <v>2193</v>
      </c>
      <c r="J202">
        <v>5024</v>
      </c>
      <c r="K202">
        <v>28648</v>
      </c>
      <c r="L202" s="1">
        <v>-12496</v>
      </c>
      <c r="M202">
        <v>-12495</v>
      </c>
      <c r="N202">
        <v>40.6</v>
      </c>
      <c r="O202">
        <v>11</v>
      </c>
      <c r="P202">
        <v>65535</v>
      </c>
      <c r="Q202">
        <v>7882</v>
      </c>
      <c r="R202">
        <v>-32767</v>
      </c>
      <c r="S202">
        <v>37.7</v>
      </c>
      <c r="T202">
        <v>14</v>
      </c>
      <c r="U202">
        <v>100</v>
      </c>
      <c r="V202">
        <v>34800</v>
      </c>
      <c r="W202">
        <v>5000</v>
      </c>
      <c r="X202" t="s">
        <v>823</v>
      </c>
      <c r="Y202" t="s">
        <v>830</v>
      </c>
      <c r="Z202" t="s">
        <v>828</v>
      </c>
      <c r="AA202">
        <v>5</v>
      </c>
      <c r="AB202">
        <v>6</v>
      </c>
      <c r="AC202">
        <v>76</v>
      </c>
      <c r="AD202">
        <v>4</v>
      </c>
      <c r="AE202">
        <v>2190</v>
      </c>
      <c r="AF202">
        <v>5024</v>
      </c>
      <c r="AG202">
        <v>276</v>
      </c>
      <c r="AH202">
        <v>2830</v>
      </c>
      <c r="AI202">
        <v>5</v>
      </c>
      <c r="AJ202">
        <v>87</v>
      </c>
      <c r="AK202">
        <v>1648</v>
      </c>
      <c r="AL202">
        <v>2311</v>
      </c>
      <c r="AM202">
        <v>12</v>
      </c>
      <c r="AN202">
        <v>906</v>
      </c>
      <c r="AO202" t="s">
        <v>826</v>
      </c>
    </row>
    <row r="203" spans="1:41">
      <c r="A203">
        <v>195</v>
      </c>
      <c r="B203" s="2">
        <v>45296.6184606481</v>
      </c>
      <c r="C203">
        <v>284.759</v>
      </c>
      <c r="D203" t="s">
        <v>821</v>
      </c>
      <c r="E203" t="s">
        <v>822</v>
      </c>
      <c r="F203">
        <v>44</v>
      </c>
      <c r="G203">
        <f t="shared" si="3"/>
        <v>0</v>
      </c>
      <c r="H203">
        <v>1</v>
      </c>
      <c r="I203">
        <v>2190</v>
      </c>
      <c r="J203">
        <v>5024</v>
      </c>
      <c r="K203">
        <v>28640</v>
      </c>
      <c r="L203" s="1">
        <v>-12495</v>
      </c>
      <c r="M203">
        <v>-12495</v>
      </c>
      <c r="N203">
        <v>40.7</v>
      </c>
      <c r="O203">
        <v>11</v>
      </c>
      <c r="P203">
        <v>65535</v>
      </c>
      <c r="Q203">
        <v>7882</v>
      </c>
      <c r="R203">
        <v>-32767</v>
      </c>
      <c r="S203">
        <v>37.7</v>
      </c>
      <c r="T203">
        <v>14</v>
      </c>
      <c r="U203">
        <v>100</v>
      </c>
      <c r="V203">
        <v>34800</v>
      </c>
      <c r="W203">
        <v>5000</v>
      </c>
      <c r="X203" t="s">
        <v>823</v>
      </c>
      <c r="Y203" t="s">
        <v>830</v>
      </c>
      <c r="Z203" t="s">
        <v>828</v>
      </c>
      <c r="AA203">
        <v>5</v>
      </c>
      <c r="AB203">
        <v>6</v>
      </c>
      <c r="AC203">
        <v>76</v>
      </c>
      <c r="AD203">
        <v>4</v>
      </c>
      <c r="AE203">
        <v>2186</v>
      </c>
      <c r="AF203">
        <v>5024</v>
      </c>
      <c r="AG203">
        <v>277</v>
      </c>
      <c r="AH203">
        <v>2834</v>
      </c>
      <c r="AI203">
        <v>5</v>
      </c>
      <c r="AJ203">
        <v>87</v>
      </c>
      <c r="AK203">
        <v>1648</v>
      </c>
      <c r="AL203">
        <v>2315</v>
      </c>
      <c r="AM203">
        <v>12</v>
      </c>
      <c r="AN203">
        <v>903</v>
      </c>
      <c r="AO203" t="s">
        <v>826</v>
      </c>
    </row>
    <row r="204" spans="1:41">
      <c r="A204">
        <v>196</v>
      </c>
      <c r="B204" s="2">
        <v>45296.6184722222</v>
      </c>
      <c r="C204">
        <v>285.697</v>
      </c>
      <c r="D204" t="s">
        <v>821</v>
      </c>
      <c r="E204" t="s">
        <v>822</v>
      </c>
      <c r="F204">
        <v>44</v>
      </c>
      <c r="G204">
        <f t="shared" si="3"/>
        <v>0</v>
      </c>
      <c r="H204">
        <v>1</v>
      </c>
      <c r="I204">
        <v>2186</v>
      </c>
      <c r="J204">
        <v>5024</v>
      </c>
      <c r="K204">
        <v>28640</v>
      </c>
      <c r="L204" s="1">
        <v>-12495</v>
      </c>
      <c r="M204">
        <v>-12495</v>
      </c>
      <c r="N204">
        <v>40.7</v>
      </c>
      <c r="O204">
        <v>10</v>
      </c>
      <c r="P204">
        <v>65535</v>
      </c>
      <c r="Q204">
        <v>7868</v>
      </c>
      <c r="R204">
        <v>-32767</v>
      </c>
      <c r="S204">
        <v>37.7</v>
      </c>
      <c r="T204">
        <v>14</v>
      </c>
      <c r="U204">
        <v>100</v>
      </c>
      <c r="V204">
        <v>34800</v>
      </c>
      <c r="W204">
        <v>5000</v>
      </c>
      <c r="X204" t="s">
        <v>823</v>
      </c>
      <c r="Y204" t="s">
        <v>830</v>
      </c>
      <c r="Z204" t="s">
        <v>828</v>
      </c>
      <c r="AA204">
        <v>5</v>
      </c>
      <c r="AB204">
        <v>6</v>
      </c>
      <c r="AC204">
        <v>76</v>
      </c>
      <c r="AD204">
        <v>4</v>
      </c>
      <c r="AE204">
        <v>2183</v>
      </c>
      <c r="AF204">
        <v>5024</v>
      </c>
      <c r="AG204">
        <v>278</v>
      </c>
      <c r="AH204">
        <v>2837</v>
      </c>
      <c r="AI204">
        <v>5</v>
      </c>
      <c r="AJ204">
        <v>87</v>
      </c>
      <c r="AK204">
        <v>1648</v>
      </c>
      <c r="AL204">
        <v>2318</v>
      </c>
      <c r="AM204">
        <v>12</v>
      </c>
      <c r="AN204">
        <v>919</v>
      </c>
      <c r="AO204" t="s">
        <v>826</v>
      </c>
    </row>
    <row r="205" spans="1:41">
      <c r="A205">
        <v>197</v>
      </c>
      <c r="B205" s="2">
        <v>45296.6185069444</v>
      </c>
      <c r="C205">
        <v>288.09</v>
      </c>
      <c r="D205" t="s">
        <v>821</v>
      </c>
      <c r="E205" t="s">
        <v>822</v>
      </c>
      <c r="F205">
        <v>44</v>
      </c>
      <c r="G205">
        <f t="shared" si="3"/>
        <v>0</v>
      </c>
      <c r="H205">
        <v>1</v>
      </c>
      <c r="I205">
        <v>2176</v>
      </c>
      <c r="J205">
        <v>5024</v>
      </c>
      <c r="K205">
        <v>28632</v>
      </c>
      <c r="L205" s="1">
        <v>-12495</v>
      </c>
      <c r="M205">
        <v>-12495</v>
      </c>
      <c r="N205">
        <v>40.7</v>
      </c>
      <c r="O205">
        <v>10</v>
      </c>
      <c r="P205">
        <v>65535</v>
      </c>
      <c r="Q205">
        <v>7832</v>
      </c>
      <c r="R205">
        <v>-32767</v>
      </c>
      <c r="S205">
        <v>37.7</v>
      </c>
      <c r="T205">
        <v>14</v>
      </c>
      <c r="U205">
        <v>100</v>
      </c>
      <c r="V205">
        <v>34800</v>
      </c>
      <c r="W205">
        <v>5000</v>
      </c>
      <c r="X205" t="s">
        <v>823</v>
      </c>
      <c r="Y205" t="s">
        <v>830</v>
      </c>
      <c r="Z205" t="s">
        <v>828</v>
      </c>
      <c r="AA205">
        <v>5</v>
      </c>
      <c r="AB205">
        <v>6</v>
      </c>
      <c r="AC205">
        <v>76</v>
      </c>
      <c r="AD205">
        <v>4</v>
      </c>
      <c r="AE205">
        <v>2176</v>
      </c>
      <c r="AF205">
        <v>5024</v>
      </c>
      <c r="AG205">
        <v>280</v>
      </c>
      <c r="AH205">
        <v>2844</v>
      </c>
      <c r="AI205">
        <v>5</v>
      </c>
      <c r="AJ205">
        <v>87</v>
      </c>
      <c r="AK205">
        <v>1648</v>
      </c>
      <c r="AL205">
        <v>2325</v>
      </c>
      <c r="AM205">
        <v>12</v>
      </c>
      <c r="AN205">
        <v>927</v>
      </c>
      <c r="AO205" t="s">
        <v>826</v>
      </c>
    </row>
    <row r="206" spans="1:41">
      <c r="A206">
        <v>198</v>
      </c>
      <c r="B206" s="2">
        <v>45296.6185185185</v>
      </c>
      <c r="C206">
        <v>289.054</v>
      </c>
      <c r="D206" t="s">
        <v>821</v>
      </c>
      <c r="E206" t="s">
        <v>822</v>
      </c>
      <c r="F206">
        <v>44</v>
      </c>
      <c r="G206">
        <f t="shared" si="3"/>
        <v>0</v>
      </c>
      <c r="H206">
        <v>1</v>
      </c>
      <c r="I206">
        <v>2172</v>
      </c>
      <c r="J206">
        <v>5024</v>
      </c>
      <c r="K206">
        <v>28624</v>
      </c>
      <c r="L206" s="1">
        <v>-12495</v>
      </c>
      <c r="M206">
        <v>-12495</v>
      </c>
      <c r="N206">
        <v>40.7</v>
      </c>
      <c r="O206">
        <v>10</v>
      </c>
      <c r="P206">
        <v>65535</v>
      </c>
      <c r="Q206">
        <v>7817</v>
      </c>
      <c r="R206">
        <v>-32767</v>
      </c>
      <c r="S206">
        <v>37.7</v>
      </c>
      <c r="T206">
        <v>14</v>
      </c>
      <c r="U206">
        <v>100</v>
      </c>
      <c r="V206">
        <v>34800</v>
      </c>
      <c r="W206">
        <v>5000</v>
      </c>
      <c r="X206" t="s">
        <v>823</v>
      </c>
      <c r="Y206" t="s">
        <v>830</v>
      </c>
      <c r="Z206" t="s">
        <v>828</v>
      </c>
      <c r="AA206">
        <v>5</v>
      </c>
      <c r="AB206">
        <v>6</v>
      </c>
      <c r="AC206">
        <v>76</v>
      </c>
      <c r="AD206">
        <v>4</v>
      </c>
      <c r="AE206">
        <v>2172</v>
      </c>
      <c r="AF206">
        <v>5024</v>
      </c>
      <c r="AG206">
        <v>281</v>
      </c>
      <c r="AH206">
        <v>2848</v>
      </c>
      <c r="AI206">
        <v>5</v>
      </c>
      <c r="AJ206">
        <v>87</v>
      </c>
      <c r="AK206">
        <v>1648</v>
      </c>
      <c r="AL206">
        <v>2329</v>
      </c>
      <c r="AM206">
        <v>12</v>
      </c>
      <c r="AN206">
        <v>905</v>
      </c>
      <c r="AO206" t="s">
        <v>826</v>
      </c>
    </row>
    <row r="207" spans="1:41">
      <c r="A207">
        <v>199</v>
      </c>
      <c r="B207" s="2">
        <v>45296.6185300926</v>
      </c>
      <c r="C207">
        <v>289.996</v>
      </c>
      <c r="D207" t="s">
        <v>821</v>
      </c>
      <c r="E207" t="s">
        <v>822</v>
      </c>
      <c r="F207">
        <v>44</v>
      </c>
      <c r="G207">
        <f t="shared" si="3"/>
        <v>0</v>
      </c>
      <c r="H207">
        <v>1</v>
      </c>
      <c r="I207">
        <v>2169</v>
      </c>
      <c r="J207">
        <v>5024</v>
      </c>
      <c r="K207">
        <v>28624</v>
      </c>
      <c r="L207" s="1">
        <v>-12495</v>
      </c>
      <c r="M207">
        <v>-12495</v>
      </c>
      <c r="N207">
        <v>40.8</v>
      </c>
      <c r="O207">
        <v>10</v>
      </c>
      <c r="P207">
        <v>65535</v>
      </c>
      <c r="Q207">
        <v>7807</v>
      </c>
      <c r="R207">
        <v>-32767</v>
      </c>
      <c r="S207">
        <v>37.7</v>
      </c>
      <c r="T207">
        <v>14</v>
      </c>
      <c r="U207">
        <v>100</v>
      </c>
      <c r="V207">
        <v>34800</v>
      </c>
      <c r="W207">
        <v>5000</v>
      </c>
      <c r="X207" t="s">
        <v>823</v>
      </c>
      <c r="Y207" t="s">
        <v>830</v>
      </c>
      <c r="Z207" t="s">
        <v>828</v>
      </c>
      <c r="AA207">
        <v>5</v>
      </c>
      <c r="AB207">
        <v>6</v>
      </c>
      <c r="AC207">
        <v>76</v>
      </c>
      <c r="AD207">
        <v>4</v>
      </c>
      <c r="AE207">
        <v>2169</v>
      </c>
      <c r="AF207">
        <v>5024</v>
      </c>
      <c r="AG207">
        <v>282</v>
      </c>
      <c r="AH207">
        <v>2851</v>
      </c>
      <c r="AI207">
        <v>5</v>
      </c>
      <c r="AJ207">
        <v>87</v>
      </c>
      <c r="AK207">
        <v>1648</v>
      </c>
      <c r="AL207">
        <v>2332</v>
      </c>
      <c r="AM207">
        <v>12</v>
      </c>
      <c r="AN207">
        <v>901</v>
      </c>
      <c r="AO207" t="s">
        <v>826</v>
      </c>
    </row>
    <row r="208" spans="1:41">
      <c r="A208">
        <v>200</v>
      </c>
      <c r="B208" s="2">
        <v>45296.6185532407</v>
      </c>
      <c r="C208">
        <v>292.342</v>
      </c>
      <c r="D208" t="s">
        <v>821</v>
      </c>
      <c r="E208" t="s">
        <v>822</v>
      </c>
      <c r="F208">
        <v>44</v>
      </c>
      <c r="G208">
        <f t="shared" si="3"/>
        <v>0</v>
      </c>
      <c r="H208">
        <v>1</v>
      </c>
      <c r="I208">
        <v>2162</v>
      </c>
      <c r="J208">
        <v>5024</v>
      </c>
      <c r="K208">
        <v>28624</v>
      </c>
      <c r="L208" s="1">
        <v>-12496</v>
      </c>
      <c r="M208">
        <v>-12495</v>
      </c>
      <c r="N208">
        <v>40.8</v>
      </c>
      <c r="O208">
        <v>10</v>
      </c>
      <c r="P208">
        <v>65535</v>
      </c>
      <c r="Q208">
        <v>7782</v>
      </c>
      <c r="R208">
        <v>-32767</v>
      </c>
      <c r="S208">
        <v>37.8</v>
      </c>
      <c r="T208">
        <v>14</v>
      </c>
      <c r="U208">
        <v>100</v>
      </c>
      <c r="V208">
        <v>34800</v>
      </c>
      <c r="W208">
        <v>5000</v>
      </c>
      <c r="X208" t="s">
        <v>823</v>
      </c>
      <c r="Y208" t="s">
        <v>830</v>
      </c>
      <c r="Z208" t="s">
        <v>828</v>
      </c>
      <c r="AA208">
        <v>5</v>
      </c>
      <c r="AB208">
        <v>6</v>
      </c>
      <c r="AC208">
        <v>76</v>
      </c>
      <c r="AD208">
        <v>4</v>
      </c>
      <c r="AE208">
        <v>2162</v>
      </c>
      <c r="AF208">
        <v>5024</v>
      </c>
      <c r="AG208">
        <v>284</v>
      </c>
      <c r="AH208">
        <v>2858</v>
      </c>
      <c r="AI208">
        <v>5</v>
      </c>
      <c r="AJ208">
        <v>87</v>
      </c>
      <c r="AK208">
        <v>1648</v>
      </c>
      <c r="AL208">
        <v>2339</v>
      </c>
      <c r="AM208">
        <v>12</v>
      </c>
      <c r="AN208">
        <v>912</v>
      </c>
      <c r="AO208" t="s">
        <v>826</v>
      </c>
    </row>
    <row r="209" spans="1:41">
      <c r="A209">
        <v>201</v>
      </c>
      <c r="B209" s="2">
        <v>45296.6185648148</v>
      </c>
      <c r="C209">
        <v>293.291</v>
      </c>
      <c r="D209" t="s">
        <v>821</v>
      </c>
      <c r="E209" t="s">
        <v>822</v>
      </c>
      <c r="F209">
        <v>43</v>
      </c>
      <c r="G209">
        <f t="shared" si="3"/>
        <v>1</v>
      </c>
      <c r="H209">
        <v>1</v>
      </c>
      <c r="I209">
        <v>2158</v>
      </c>
      <c r="J209">
        <v>5024</v>
      </c>
      <c r="K209">
        <v>28624</v>
      </c>
      <c r="L209" s="1">
        <v>-12495</v>
      </c>
      <c r="M209">
        <v>-12495</v>
      </c>
      <c r="N209">
        <v>40.8</v>
      </c>
      <c r="O209">
        <v>10</v>
      </c>
      <c r="P209">
        <v>65535</v>
      </c>
      <c r="Q209">
        <v>7767</v>
      </c>
      <c r="R209">
        <v>-32767</v>
      </c>
      <c r="S209">
        <v>37.8</v>
      </c>
      <c r="T209">
        <v>14</v>
      </c>
      <c r="U209">
        <v>100</v>
      </c>
      <c r="V209">
        <v>34800</v>
      </c>
      <c r="W209">
        <v>5000</v>
      </c>
      <c r="X209" t="s">
        <v>823</v>
      </c>
      <c r="Y209" t="s">
        <v>830</v>
      </c>
      <c r="Z209" t="s">
        <v>828</v>
      </c>
      <c r="AA209">
        <v>5</v>
      </c>
      <c r="AB209">
        <v>6</v>
      </c>
      <c r="AC209">
        <v>76</v>
      </c>
      <c r="AD209">
        <v>4</v>
      </c>
      <c r="AE209">
        <v>2158</v>
      </c>
      <c r="AF209">
        <v>5024</v>
      </c>
      <c r="AG209">
        <v>285</v>
      </c>
      <c r="AH209">
        <v>2862</v>
      </c>
      <c r="AI209">
        <v>5</v>
      </c>
      <c r="AJ209">
        <v>87</v>
      </c>
      <c r="AK209">
        <v>1648</v>
      </c>
      <c r="AL209">
        <v>2343</v>
      </c>
      <c r="AM209">
        <v>12</v>
      </c>
      <c r="AN209">
        <v>918</v>
      </c>
      <c r="AO209" t="s">
        <v>826</v>
      </c>
    </row>
    <row r="210" spans="1:41">
      <c r="A210">
        <v>202</v>
      </c>
      <c r="B210" s="2">
        <v>45296.618587963</v>
      </c>
      <c r="C210">
        <v>295.673</v>
      </c>
      <c r="D210" t="s">
        <v>821</v>
      </c>
      <c r="E210" t="s">
        <v>822</v>
      </c>
      <c r="F210">
        <v>43</v>
      </c>
      <c r="G210">
        <f t="shared" si="3"/>
        <v>0</v>
      </c>
      <c r="H210">
        <v>1</v>
      </c>
      <c r="I210">
        <v>2152</v>
      </c>
      <c r="J210">
        <v>5024</v>
      </c>
      <c r="K210">
        <v>28616</v>
      </c>
      <c r="L210" s="1">
        <v>-12495</v>
      </c>
      <c r="M210">
        <v>-12495</v>
      </c>
      <c r="N210">
        <v>40.8</v>
      </c>
      <c r="O210">
        <v>10</v>
      </c>
      <c r="P210">
        <v>65535</v>
      </c>
      <c r="Q210">
        <v>7746</v>
      </c>
      <c r="R210">
        <v>-32767</v>
      </c>
      <c r="S210">
        <v>37.8</v>
      </c>
      <c r="T210">
        <v>14</v>
      </c>
      <c r="U210">
        <v>100</v>
      </c>
      <c r="V210">
        <v>34800</v>
      </c>
      <c r="W210">
        <v>5000</v>
      </c>
      <c r="X210" t="s">
        <v>823</v>
      </c>
      <c r="Y210" t="s">
        <v>830</v>
      </c>
      <c r="Z210" t="s">
        <v>828</v>
      </c>
      <c r="AA210">
        <v>5</v>
      </c>
      <c r="AB210">
        <v>6</v>
      </c>
      <c r="AC210">
        <v>76</v>
      </c>
      <c r="AD210">
        <v>4</v>
      </c>
      <c r="AE210">
        <v>2148</v>
      </c>
      <c r="AF210">
        <v>5024</v>
      </c>
      <c r="AG210">
        <v>288</v>
      </c>
      <c r="AH210">
        <v>2872</v>
      </c>
      <c r="AI210">
        <v>5</v>
      </c>
      <c r="AJ210">
        <v>87</v>
      </c>
      <c r="AK210">
        <v>1648</v>
      </c>
      <c r="AL210">
        <v>2353</v>
      </c>
      <c r="AM210">
        <v>12</v>
      </c>
      <c r="AN210">
        <v>907</v>
      </c>
      <c r="AO210" t="s">
        <v>826</v>
      </c>
    </row>
    <row r="211" spans="1:41">
      <c r="A211">
        <v>203</v>
      </c>
      <c r="B211" s="2">
        <v>45296.618599537</v>
      </c>
      <c r="C211">
        <v>296.624</v>
      </c>
      <c r="D211" t="s">
        <v>821</v>
      </c>
      <c r="E211" t="s">
        <v>822</v>
      </c>
      <c r="F211">
        <v>43</v>
      </c>
      <c r="G211">
        <f t="shared" si="3"/>
        <v>0</v>
      </c>
      <c r="H211">
        <v>1</v>
      </c>
      <c r="I211">
        <v>2148</v>
      </c>
      <c r="J211">
        <v>5024</v>
      </c>
      <c r="K211">
        <v>28608</v>
      </c>
      <c r="L211" s="1">
        <v>-12496</v>
      </c>
      <c r="M211">
        <v>-12495</v>
      </c>
      <c r="N211">
        <v>40.8</v>
      </c>
      <c r="O211">
        <v>10</v>
      </c>
      <c r="P211">
        <v>65535</v>
      </c>
      <c r="Q211">
        <v>7732</v>
      </c>
      <c r="R211">
        <v>-32767</v>
      </c>
      <c r="S211">
        <v>37.8</v>
      </c>
      <c r="T211">
        <v>14</v>
      </c>
      <c r="U211">
        <v>100</v>
      </c>
      <c r="V211">
        <v>34800</v>
      </c>
      <c r="W211">
        <v>5000</v>
      </c>
      <c r="X211" t="s">
        <v>823</v>
      </c>
      <c r="Y211" t="s">
        <v>830</v>
      </c>
      <c r="Z211" t="s">
        <v>828</v>
      </c>
      <c r="AA211">
        <v>5</v>
      </c>
      <c r="AB211">
        <v>6</v>
      </c>
      <c r="AC211">
        <v>76</v>
      </c>
      <c r="AD211">
        <v>4</v>
      </c>
      <c r="AE211">
        <v>2145</v>
      </c>
      <c r="AF211">
        <v>5024</v>
      </c>
      <c r="AG211">
        <v>289</v>
      </c>
      <c r="AH211">
        <v>2875</v>
      </c>
      <c r="AI211">
        <v>5</v>
      </c>
      <c r="AJ211">
        <v>87</v>
      </c>
      <c r="AK211">
        <v>1648</v>
      </c>
      <c r="AL211">
        <v>2356</v>
      </c>
      <c r="AM211">
        <v>12</v>
      </c>
      <c r="AN211">
        <v>913</v>
      </c>
      <c r="AO211" t="s">
        <v>826</v>
      </c>
    </row>
    <row r="212" spans="1:41">
      <c r="A212">
        <v>204</v>
      </c>
      <c r="B212" s="2">
        <v>45296.6186111111</v>
      </c>
      <c r="C212">
        <v>297.572</v>
      </c>
      <c r="D212" t="s">
        <v>821</v>
      </c>
      <c r="E212" t="s">
        <v>822</v>
      </c>
      <c r="F212">
        <v>43</v>
      </c>
      <c r="G212">
        <f t="shared" si="3"/>
        <v>0</v>
      </c>
      <c r="H212">
        <v>1</v>
      </c>
      <c r="I212">
        <v>2145</v>
      </c>
      <c r="J212">
        <v>5024</v>
      </c>
      <c r="K212">
        <v>28600</v>
      </c>
      <c r="L212" s="1">
        <v>-12495</v>
      </c>
      <c r="M212">
        <v>-12495</v>
      </c>
      <c r="N212">
        <v>40.8</v>
      </c>
      <c r="O212">
        <v>10</v>
      </c>
      <c r="P212">
        <v>65535</v>
      </c>
      <c r="Q212">
        <v>7721</v>
      </c>
      <c r="R212">
        <v>-32767</v>
      </c>
      <c r="S212">
        <v>37.8</v>
      </c>
      <c r="T212">
        <v>14</v>
      </c>
      <c r="U212">
        <v>100</v>
      </c>
      <c r="V212">
        <v>34800</v>
      </c>
      <c r="W212">
        <v>5000</v>
      </c>
      <c r="X212" t="s">
        <v>823</v>
      </c>
      <c r="Y212" t="s">
        <v>830</v>
      </c>
      <c r="Z212" t="s">
        <v>828</v>
      </c>
      <c r="AA212">
        <v>5</v>
      </c>
      <c r="AB212">
        <v>6</v>
      </c>
      <c r="AC212">
        <v>76</v>
      </c>
      <c r="AD212">
        <v>4</v>
      </c>
      <c r="AE212">
        <v>2145</v>
      </c>
      <c r="AF212">
        <v>5024</v>
      </c>
      <c r="AG212">
        <v>289</v>
      </c>
      <c r="AH212">
        <v>2875</v>
      </c>
      <c r="AI212">
        <v>5</v>
      </c>
      <c r="AJ212">
        <v>87</v>
      </c>
      <c r="AK212">
        <v>1648</v>
      </c>
      <c r="AL212">
        <v>2360</v>
      </c>
      <c r="AM212">
        <v>12</v>
      </c>
      <c r="AN212">
        <v>903</v>
      </c>
      <c r="AO212" t="s">
        <v>826</v>
      </c>
    </row>
    <row r="213" spans="1:41">
      <c r="A213">
        <v>205</v>
      </c>
      <c r="B213" s="2">
        <v>45296.6186458333</v>
      </c>
      <c r="C213">
        <v>299.939</v>
      </c>
      <c r="D213" t="s">
        <v>821</v>
      </c>
      <c r="E213" t="s">
        <v>822</v>
      </c>
      <c r="F213">
        <v>43</v>
      </c>
      <c r="G213">
        <f t="shared" si="3"/>
        <v>0</v>
      </c>
      <c r="H213">
        <v>1</v>
      </c>
      <c r="I213">
        <v>2138</v>
      </c>
      <c r="J213">
        <v>5024</v>
      </c>
      <c r="K213">
        <v>28592</v>
      </c>
      <c r="L213" s="1">
        <v>-12495</v>
      </c>
      <c r="M213">
        <v>-12495</v>
      </c>
      <c r="N213">
        <v>40.9</v>
      </c>
      <c r="O213">
        <v>10</v>
      </c>
      <c r="P213">
        <v>65535</v>
      </c>
      <c r="Q213">
        <v>7682</v>
      </c>
      <c r="R213">
        <v>-32767</v>
      </c>
      <c r="S213">
        <v>37.9</v>
      </c>
      <c r="T213">
        <v>14</v>
      </c>
      <c r="U213">
        <v>100</v>
      </c>
      <c r="V213">
        <v>34800</v>
      </c>
      <c r="W213">
        <v>5000</v>
      </c>
      <c r="X213" t="s">
        <v>823</v>
      </c>
      <c r="Y213" t="s">
        <v>830</v>
      </c>
      <c r="Z213" t="s">
        <v>828</v>
      </c>
      <c r="AA213">
        <v>5</v>
      </c>
      <c r="AB213">
        <v>6</v>
      </c>
      <c r="AC213">
        <v>76</v>
      </c>
      <c r="AD213">
        <v>4</v>
      </c>
      <c r="AE213">
        <v>2134</v>
      </c>
      <c r="AF213">
        <v>5024</v>
      </c>
      <c r="AG213">
        <v>292</v>
      </c>
      <c r="AH213">
        <v>2886</v>
      </c>
      <c r="AI213">
        <v>5</v>
      </c>
      <c r="AJ213">
        <v>87</v>
      </c>
      <c r="AK213">
        <v>1648</v>
      </c>
      <c r="AL213">
        <v>2367</v>
      </c>
      <c r="AM213">
        <v>12</v>
      </c>
      <c r="AN213">
        <v>909</v>
      </c>
      <c r="AO213" t="s">
        <v>826</v>
      </c>
    </row>
    <row r="214" spans="1:41">
      <c r="A214">
        <v>206</v>
      </c>
      <c r="B214" s="2">
        <v>45296.6186458333</v>
      </c>
      <c r="C214">
        <v>300.901</v>
      </c>
      <c r="D214" t="s">
        <v>821</v>
      </c>
      <c r="E214" t="s">
        <v>822</v>
      </c>
      <c r="F214">
        <v>43</v>
      </c>
      <c r="G214">
        <f t="shared" si="3"/>
        <v>0</v>
      </c>
      <c r="H214">
        <v>1</v>
      </c>
      <c r="I214">
        <v>2134</v>
      </c>
      <c r="J214">
        <v>5024</v>
      </c>
      <c r="K214">
        <v>28592</v>
      </c>
      <c r="L214" s="1">
        <v>-12495</v>
      </c>
      <c r="M214">
        <v>-12495</v>
      </c>
      <c r="N214">
        <v>40.9</v>
      </c>
      <c r="O214">
        <v>10</v>
      </c>
      <c r="P214">
        <v>65535</v>
      </c>
      <c r="Q214">
        <v>7671</v>
      </c>
      <c r="R214">
        <v>-32767</v>
      </c>
      <c r="S214">
        <v>37.9</v>
      </c>
      <c r="T214">
        <v>14</v>
      </c>
      <c r="U214">
        <v>100</v>
      </c>
      <c r="V214">
        <v>34800</v>
      </c>
      <c r="W214">
        <v>5000</v>
      </c>
      <c r="X214" t="s">
        <v>823</v>
      </c>
      <c r="Y214" t="s">
        <v>830</v>
      </c>
      <c r="Z214" t="s">
        <v>828</v>
      </c>
      <c r="AA214">
        <v>5</v>
      </c>
      <c r="AB214">
        <v>6</v>
      </c>
      <c r="AC214">
        <v>76</v>
      </c>
      <c r="AD214">
        <v>4</v>
      </c>
      <c r="AE214">
        <v>2131</v>
      </c>
      <c r="AF214">
        <v>5024</v>
      </c>
      <c r="AG214">
        <v>293</v>
      </c>
      <c r="AH214">
        <v>2889</v>
      </c>
      <c r="AI214">
        <v>5</v>
      </c>
      <c r="AJ214">
        <v>87</v>
      </c>
      <c r="AK214">
        <v>1648</v>
      </c>
      <c r="AL214">
        <v>2370</v>
      </c>
      <c r="AM214">
        <v>12</v>
      </c>
      <c r="AN214">
        <v>903</v>
      </c>
      <c r="AO214" t="s">
        <v>826</v>
      </c>
    </row>
    <row r="215" spans="1:41">
      <c r="A215">
        <v>207</v>
      </c>
      <c r="B215" s="2">
        <v>45296.6186574074</v>
      </c>
      <c r="C215">
        <v>301.903</v>
      </c>
      <c r="D215" t="s">
        <v>821</v>
      </c>
      <c r="E215" t="s">
        <v>822</v>
      </c>
      <c r="F215">
        <v>43</v>
      </c>
      <c r="G215">
        <f t="shared" si="3"/>
        <v>0</v>
      </c>
      <c r="H215">
        <v>1</v>
      </c>
      <c r="I215">
        <v>2131</v>
      </c>
      <c r="J215">
        <v>5024</v>
      </c>
      <c r="K215">
        <v>28592</v>
      </c>
      <c r="L215" s="1">
        <v>-12495</v>
      </c>
      <c r="M215">
        <v>-12495</v>
      </c>
      <c r="N215">
        <v>40.9</v>
      </c>
      <c r="O215">
        <v>10</v>
      </c>
      <c r="P215">
        <v>65535</v>
      </c>
      <c r="Q215">
        <v>7657</v>
      </c>
      <c r="R215">
        <v>-32767</v>
      </c>
      <c r="S215">
        <v>37.9</v>
      </c>
      <c r="T215">
        <v>14</v>
      </c>
      <c r="U215">
        <v>100</v>
      </c>
      <c r="V215">
        <v>34800</v>
      </c>
      <c r="W215">
        <v>5000</v>
      </c>
      <c r="X215" t="s">
        <v>823</v>
      </c>
      <c r="Y215" t="s">
        <v>830</v>
      </c>
      <c r="Z215" t="s">
        <v>828</v>
      </c>
      <c r="AA215">
        <v>5</v>
      </c>
      <c r="AB215">
        <v>6</v>
      </c>
      <c r="AC215">
        <v>76</v>
      </c>
      <c r="AD215">
        <v>4</v>
      </c>
      <c r="AE215">
        <v>2127</v>
      </c>
      <c r="AF215">
        <v>5024</v>
      </c>
      <c r="AG215">
        <v>294</v>
      </c>
      <c r="AH215">
        <v>2893</v>
      </c>
      <c r="AI215">
        <v>5</v>
      </c>
      <c r="AJ215">
        <v>87</v>
      </c>
      <c r="AK215">
        <v>1648</v>
      </c>
      <c r="AL215">
        <v>2374</v>
      </c>
      <c r="AM215">
        <v>12</v>
      </c>
      <c r="AN215">
        <v>913</v>
      </c>
      <c r="AO215" t="s">
        <v>826</v>
      </c>
    </row>
    <row r="216" spans="1:41">
      <c r="A216">
        <v>208</v>
      </c>
      <c r="B216" s="2">
        <v>45296.6186921296</v>
      </c>
      <c r="C216">
        <v>304.281</v>
      </c>
      <c r="D216" t="s">
        <v>821</v>
      </c>
      <c r="E216" t="s">
        <v>822</v>
      </c>
      <c r="F216">
        <v>43</v>
      </c>
      <c r="G216">
        <f t="shared" si="3"/>
        <v>0</v>
      </c>
      <c r="H216">
        <v>1</v>
      </c>
      <c r="I216">
        <v>2120</v>
      </c>
      <c r="J216">
        <v>5024</v>
      </c>
      <c r="K216">
        <v>28584</v>
      </c>
      <c r="L216" s="1">
        <v>-12495</v>
      </c>
      <c r="M216">
        <v>-12495</v>
      </c>
      <c r="N216">
        <v>40.9</v>
      </c>
      <c r="O216">
        <v>10</v>
      </c>
      <c r="P216">
        <v>65535</v>
      </c>
      <c r="Q216">
        <v>7632</v>
      </c>
      <c r="R216">
        <v>-32767</v>
      </c>
      <c r="S216">
        <v>37.9</v>
      </c>
      <c r="T216">
        <v>14</v>
      </c>
      <c r="U216">
        <v>100</v>
      </c>
      <c r="V216">
        <v>34800</v>
      </c>
      <c r="W216">
        <v>5000</v>
      </c>
      <c r="X216" t="s">
        <v>823</v>
      </c>
      <c r="Y216" t="s">
        <v>830</v>
      </c>
      <c r="Z216" t="s">
        <v>828</v>
      </c>
      <c r="AA216">
        <v>5</v>
      </c>
      <c r="AB216">
        <v>6</v>
      </c>
      <c r="AC216">
        <v>76</v>
      </c>
      <c r="AD216">
        <v>4</v>
      </c>
      <c r="AE216">
        <v>2120</v>
      </c>
      <c r="AF216">
        <v>5024</v>
      </c>
      <c r="AG216">
        <v>296</v>
      </c>
      <c r="AH216">
        <v>2900</v>
      </c>
      <c r="AI216">
        <v>5</v>
      </c>
      <c r="AJ216">
        <v>87</v>
      </c>
      <c r="AK216">
        <v>1648</v>
      </c>
      <c r="AL216">
        <v>2381</v>
      </c>
      <c r="AM216">
        <v>12</v>
      </c>
      <c r="AN216">
        <v>908</v>
      </c>
      <c r="AO216" t="s">
        <v>826</v>
      </c>
    </row>
    <row r="217" spans="1:41">
      <c r="A217">
        <v>209</v>
      </c>
      <c r="B217" s="2">
        <v>45296.6187037037</v>
      </c>
      <c r="C217">
        <v>305.234</v>
      </c>
      <c r="D217" t="s">
        <v>821</v>
      </c>
      <c r="E217" t="s">
        <v>822</v>
      </c>
      <c r="F217">
        <v>43</v>
      </c>
      <c r="G217">
        <f t="shared" si="3"/>
        <v>0</v>
      </c>
      <c r="H217">
        <v>1</v>
      </c>
      <c r="I217">
        <v>2117</v>
      </c>
      <c r="J217">
        <v>5024</v>
      </c>
      <c r="K217">
        <v>28576</v>
      </c>
      <c r="L217" s="1">
        <v>-12496</v>
      </c>
      <c r="M217">
        <v>-12495</v>
      </c>
      <c r="N217">
        <v>40.9</v>
      </c>
      <c r="O217">
        <v>10</v>
      </c>
      <c r="P217">
        <v>65535</v>
      </c>
      <c r="Q217">
        <v>7621</v>
      </c>
      <c r="R217">
        <v>-32767</v>
      </c>
      <c r="S217">
        <v>37.9</v>
      </c>
      <c r="T217">
        <v>14</v>
      </c>
      <c r="U217">
        <v>100</v>
      </c>
      <c r="V217">
        <v>34800</v>
      </c>
      <c r="W217">
        <v>5000</v>
      </c>
      <c r="X217" t="s">
        <v>823</v>
      </c>
      <c r="Y217" t="s">
        <v>830</v>
      </c>
      <c r="Z217" t="s">
        <v>828</v>
      </c>
      <c r="AA217">
        <v>5</v>
      </c>
      <c r="AB217">
        <v>6</v>
      </c>
      <c r="AC217">
        <v>76</v>
      </c>
      <c r="AD217">
        <v>4</v>
      </c>
      <c r="AE217">
        <v>2117</v>
      </c>
      <c r="AF217">
        <v>5024</v>
      </c>
      <c r="AG217">
        <v>297</v>
      </c>
      <c r="AH217">
        <v>2903</v>
      </c>
      <c r="AI217">
        <v>5</v>
      </c>
      <c r="AJ217">
        <v>87</v>
      </c>
      <c r="AK217">
        <v>1648</v>
      </c>
      <c r="AL217">
        <v>2384</v>
      </c>
      <c r="AM217">
        <v>12</v>
      </c>
      <c r="AN217">
        <v>910</v>
      </c>
      <c r="AO217" t="s">
        <v>826</v>
      </c>
    </row>
    <row r="218" spans="1:41">
      <c r="A218">
        <v>210</v>
      </c>
      <c r="B218" s="2">
        <v>45296.6187268519</v>
      </c>
      <c r="C218">
        <v>307.606</v>
      </c>
      <c r="D218" t="s">
        <v>821</v>
      </c>
      <c r="E218" t="s">
        <v>822</v>
      </c>
      <c r="F218">
        <v>42</v>
      </c>
      <c r="G218">
        <f t="shared" si="3"/>
        <v>1</v>
      </c>
      <c r="H218">
        <v>1</v>
      </c>
      <c r="I218">
        <v>2110</v>
      </c>
      <c r="J218">
        <v>5024</v>
      </c>
      <c r="K218">
        <v>28568</v>
      </c>
      <c r="L218" s="1">
        <v>-12495</v>
      </c>
      <c r="M218">
        <v>-12495</v>
      </c>
      <c r="N218">
        <v>41</v>
      </c>
      <c r="O218">
        <v>10</v>
      </c>
      <c r="P218">
        <v>65535</v>
      </c>
      <c r="Q218">
        <v>7596</v>
      </c>
      <c r="R218">
        <v>-32767</v>
      </c>
      <c r="S218">
        <v>38</v>
      </c>
      <c r="T218">
        <v>14</v>
      </c>
      <c r="U218">
        <v>100</v>
      </c>
      <c r="V218">
        <v>34800</v>
      </c>
      <c r="W218">
        <v>5000</v>
      </c>
      <c r="X218" t="s">
        <v>823</v>
      </c>
      <c r="Y218" t="s">
        <v>830</v>
      </c>
      <c r="Z218" t="s">
        <v>828</v>
      </c>
      <c r="AA218">
        <v>5</v>
      </c>
      <c r="AB218">
        <v>6</v>
      </c>
      <c r="AC218">
        <v>76</v>
      </c>
      <c r="AD218">
        <v>4</v>
      </c>
      <c r="AE218">
        <v>2110</v>
      </c>
      <c r="AF218">
        <v>5024</v>
      </c>
      <c r="AG218">
        <v>299</v>
      </c>
      <c r="AH218">
        <v>2914</v>
      </c>
      <c r="AI218">
        <v>5</v>
      </c>
      <c r="AJ218">
        <v>87</v>
      </c>
      <c r="AK218">
        <v>1648</v>
      </c>
      <c r="AL218">
        <v>2395</v>
      </c>
      <c r="AM218">
        <v>12</v>
      </c>
      <c r="AN218">
        <v>899</v>
      </c>
      <c r="AO218" t="s">
        <v>826</v>
      </c>
    </row>
    <row r="219" spans="1:41">
      <c r="A219">
        <v>211</v>
      </c>
      <c r="B219" s="2">
        <v>45296.6187384259</v>
      </c>
      <c r="C219">
        <v>308.559</v>
      </c>
      <c r="D219" t="s">
        <v>821</v>
      </c>
      <c r="E219" t="s">
        <v>822</v>
      </c>
      <c r="F219">
        <v>42</v>
      </c>
      <c r="G219">
        <f t="shared" si="3"/>
        <v>0</v>
      </c>
      <c r="H219">
        <v>1</v>
      </c>
      <c r="I219">
        <v>2106</v>
      </c>
      <c r="J219">
        <v>5024</v>
      </c>
      <c r="K219">
        <v>28568</v>
      </c>
      <c r="L219" s="1">
        <v>-12496</v>
      </c>
      <c r="M219">
        <v>-12495</v>
      </c>
      <c r="N219">
        <v>41</v>
      </c>
      <c r="O219">
        <v>10</v>
      </c>
      <c r="P219">
        <v>65535</v>
      </c>
      <c r="Q219">
        <v>7582</v>
      </c>
      <c r="R219">
        <v>-32767</v>
      </c>
      <c r="S219">
        <v>38</v>
      </c>
      <c r="T219">
        <v>14</v>
      </c>
      <c r="U219">
        <v>100</v>
      </c>
      <c r="V219">
        <v>34800</v>
      </c>
      <c r="W219">
        <v>5000</v>
      </c>
      <c r="X219" t="s">
        <v>823</v>
      </c>
      <c r="Y219" t="s">
        <v>830</v>
      </c>
      <c r="Z219" t="s">
        <v>828</v>
      </c>
      <c r="AA219">
        <v>5</v>
      </c>
      <c r="AB219">
        <v>6</v>
      </c>
      <c r="AC219">
        <v>76</v>
      </c>
      <c r="AD219">
        <v>4</v>
      </c>
      <c r="AE219">
        <v>2106</v>
      </c>
      <c r="AF219">
        <v>5024</v>
      </c>
      <c r="AG219">
        <v>300</v>
      </c>
      <c r="AH219">
        <v>2914</v>
      </c>
      <c r="AI219">
        <v>5</v>
      </c>
      <c r="AJ219">
        <v>87</v>
      </c>
      <c r="AK219">
        <v>1648</v>
      </c>
      <c r="AL219">
        <v>2398</v>
      </c>
      <c r="AM219">
        <v>12</v>
      </c>
      <c r="AN219">
        <v>899</v>
      </c>
      <c r="AO219" t="s">
        <v>826</v>
      </c>
    </row>
    <row r="220" spans="1:41">
      <c r="A220">
        <v>212</v>
      </c>
      <c r="B220" s="2">
        <v>45296.61875</v>
      </c>
      <c r="C220">
        <v>309.499</v>
      </c>
      <c r="D220" t="s">
        <v>821</v>
      </c>
      <c r="E220" t="s">
        <v>822</v>
      </c>
      <c r="F220">
        <v>42</v>
      </c>
      <c r="G220">
        <f t="shared" si="3"/>
        <v>0</v>
      </c>
      <c r="H220">
        <v>1</v>
      </c>
      <c r="I220">
        <v>2103</v>
      </c>
      <c r="J220">
        <v>5024</v>
      </c>
      <c r="K220">
        <v>28560</v>
      </c>
      <c r="L220" s="1">
        <v>-12496</v>
      </c>
      <c r="M220">
        <v>-12495</v>
      </c>
      <c r="N220">
        <v>41</v>
      </c>
      <c r="O220">
        <v>10</v>
      </c>
      <c r="P220">
        <v>65535</v>
      </c>
      <c r="Q220">
        <v>7571</v>
      </c>
      <c r="R220">
        <v>-32767</v>
      </c>
      <c r="S220">
        <v>38</v>
      </c>
      <c r="T220">
        <v>14</v>
      </c>
      <c r="U220">
        <v>100</v>
      </c>
      <c r="V220">
        <v>34800</v>
      </c>
      <c r="W220">
        <v>5000</v>
      </c>
      <c r="X220" t="s">
        <v>823</v>
      </c>
      <c r="Y220" t="s">
        <v>830</v>
      </c>
      <c r="Z220" t="s">
        <v>828</v>
      </c>
      <c r="AA220">
        <v>5</v>
      </c>
      <c r="AB220">
        <v>6</v>
      </c>
      <c r="AC220">
        <v>76</v>
      </c>
      <c r="AD220">
        <v>4</v>
      </c>
      <c r="AE220">
        <v>2103</v>
      </c>
      <c r="AF220">
        <v>5024</v>
      </c>
      <c r="AG220">
        <v>301</v>
      </c>
      <c r="AH220">
        <v>2917</v>
      </c>
      <c r="AI220">
        <v>5</v>
      </c>
      <c r="AJ220">
        <v>87</v>
      </c>
      <c r="AK220">
        <v>1648</v>
      </c>
      <c r="AL220">
        <v>2398</v>
      </c>
      <c r="AM220">
        <v>12</v>
      </c>
      <c r="AN220">
        <v>914</v>
      </c>
      <c r="AO220" t="s">
        <v>826</v>
      </c>
    </row>
    <row r="221" spans="1:41">
      <c r="A221">
        <v>213</v>
      </c>
      <c r="B221" s="2">
        <v>45296.6187731481</v>
      </c>
      <c r="C221">
        <v>311.855</v>
      </c>
      <c r="D221" t="s">
        <v>821</v>
      </c>
      <c r="E221" t="s">
        <v>822</v>
      </c>
      <c r="F221">
        <v>42</v>
      </c>
      <c r="G221">
        <f t="shared" si="3"/>
        <v>0</v>
      </c>
      <c r="H221">
        <v>1</v>
      </c>
      <c r="I221">
        <v>2096</v>
      </c>
      <c r="J221">
        <v>5024</v>
      </c>
      <c r="K221">
        <v>28560</v>
      </c>
      <c r="L221" s="1">
        <v>-12495</v>
      </c>
      <c r="M221">
        <v>-12495</v>
      </c>
      <c r="N221">
        <v>41</v>
      </c>
      <c r="O221">
        <v>10</v>
      </c>
      <c r="P221">
        <v>65535</v>
      </c>
      <c r="Q221">
        <v>7535</v>
      </c>
      <c r="R221">
        <v>-32767</v>
      </c>
      <c r="S221">
        <v>38</v>
      </c>
      <c r="T221">
        <v>14</v>
      </c>
      <c r="U221">
        <v>100</v>
      </c>
      <c r="V221">
        <v>34800</v>
      </c>
      <c r="W221">
        <v>5000</v>
      </c>
      <c r="X221" t="s">
        <v>823</v>
      </c>
      <c r="Y221" t="s">
        <v>830</v>
      </c>
      <c r="Z221" t="s">
        <v>828</v>
      </c>
      <c r="AA221">
        <v>5</v>
      </c>
      <c r="AB221">
        <v>6</v>
      </c>
      <c r="AC221">
        <v>76</v>
      </c>
      <c r="AD221">
        <v>4</v>
      </c>
      <c r="AE221">
        <v>2093</v>
      </c>
      <c r="AF221">
        <v>5024</v>
      </c>
      <c r="AG221">
        <v>304</v>
      </c>
      <c r="AH221">
        <v>2927</v>
      </c>
      <c r="AI221">
        <v>5</v>
      </c>
      <c r="AJ221">
        <v>87</v>
      </c>
      <c r="AK221">
        <v>1648</v>
      </c>
      <c r="AL221">
        <v>2408</v>
      </c>
      <c r="AM221">
        <v>12</v>
      </c>
      <c r="AN221">
        <v>913</v>
      </c>
      <c r="AO221" t="s">
        <v>826</v>
      </c>
    </row>
    <row r="222" spans="1:41">
      <c r="A222">
        <v>214</v>
      </c>
      <c r="B222" s="2">
        <v>45296.6187847222</v>
      </c>
      <c r="C222">
        <v>312.808</v>
      </c>
      <c r="D222" t="s">
        <v>821</v>
      </c>
      <c r="E222" t="s">
        <v>822</v>
      </c>
      <c r="F222">
        <v>42</v>
      </c>
      <c r="G222">
        <f t="shared" si="3"/>
        <v>0</v>
      </c>
      <c r="H222">
        <v>1</v>
      </c>
      <c r="I222">
        <v>2093</v>
      </c>
      <c r="J222">
        <v>5024</v>
      </c>
      <c r="K222">
        <v>28552</v>
      </c>
      <c r="L222" s="1">
        <v>-12496</v>
      </c>
      <c r="M222">
        <v>-12495</v>
      </c>
      <c r="N222">
        <v>41</v>
      </c>
      <c r="O222">
        <v>10</v>
      </c>
      <c r="P222">
        <v>65535</v>
      </c>
      <c r="Q222">
        <v>7535</v>
      </c>
      <c r="R222">
        <v>-32767</v>
      </c>
      <c r="S222">
        <v>38</v>
      </c>
      <c r="T222">
        <v>14</v>
      </c>
      <c r="U222">
        <v>100</v>
      </c>
      <c r="V222">
        <v>34800</v>
      </c>
      <c r="W222">
        <v>5000</v>
      </c>
      <c r="X222" t="s">
        <v>823</v>
      </c>
      <c r="Y222" t="s">
        <v>830</v>
      </c>
      <c r="Z222" t="s">
        <v>828</v>
      </c>
      <c r="AA222">
        <v>5</v>
      </c>
      <c r="AB222">
        <v>6</v>
      </c>
      <c r="AC222">
        <v>76</v>
      </c>
      <c r="AD222">
        <v>4</v>
      </c>
      <c r="AE222">
        <v>2089</v>
      </c>
      <c r="AF222">
        <v>5024</v>
      </c>
      <c r="AG222">
        <v>305</v>
      </c>
      <c r="AH222">
        <v>2931</v>
      </c>
      <c r="AI222">
        <v>5</v>
      </c>
      <c r="AJ222">
        <v>87</v>
      </c>
      <c r="AK222">
        <v>1648</v>
      </c>
      <c r="AL222">
        <v>2412</v>
      </c>
      <c r="AM222">
        <v>12</v>
      </c>
      <c r="AN222">
        <v>903</v>
      </c>
      <c r="AO222" t="s">
        <v>826</v>
      </c>
    </row>
    <row r="223" spans="1:41">
      <c r="A223">
        <v>215</v>
      </c>
      <c r="B223" s="2">
        <v>45296.6187962963</v>
      </c>
      <c r="C223">
        <v>313.746</v>
      </c>
      <c r="D223" t="s">
        <v>821</v>
      </c>
      <c r="E223" t="s">
        <v>822</v>
      </c>
      <c r="F223">
        <v>42</v>
      </c>
      <c r="G223">
        <f t="shared" si="3"/>
        <v>0</v>
      </c>
      <c r="H223">
        <v>1</v>
      </c>
      <c r="I223">
        <v>2089</v>
      </c>
      <c r="J223">
        <v>5024</v>
      </c>
      <c r="K223">
        <v>28552</v>
      </c>
      <c r="L223" s="1">
        <v>-12495</v>
      </c>
      <c r="M223">
        <v>-12495</v>
      </c>
      <c r="N223">
        <v>41</v>
      </c>
      <c r="O223">
        <v>10</v>
      </c>
      <c r="P223">
        <v>65535</v>
      </c>
      <c r="Q223">
        <v>7521</v>
      </c>
      <c r="R223">
        <v>-32767</v>
      </c>
      <c r="S223">
        <v>38.1</v>
      </c>
      <c r="T223">
        <v>14</v>
      </c>
      <c r="U223">
        <v>100</v>
      </c>
      <c r="V223">
        <v>34800</v>
      </c>
      <c r="W223">
        <v>5000</v>
      </c>
      <c r="X223" t="s">
        <v>823</v>
      </c>
      <c r="Y223" t="s">
        <v>830</v>
      </c>
      <c r="Z223" t="s">
        <v>828</v>
      </c>
      <c r="AA223">
        <v>5</v>
      </c>
      <c r="AB223">
        <v>6</v>
      </c>
      <c r="AC223">
        <v>76</v>
      </c>
      <c r="AD223">
        <v>4</v>
      </c>
      <c r="AE223">
        <v>2086</v>
      </c>
      <c r="AF223">
        <v>5024</v>
      </c>
      <c r="AG223">
        <v>306</v>
      </c>
      <c r="AH223">
        <v>2934</v>
      </c>
      <c r="AI223">
        <v>5</v>
      </c>
      <c r="AJ223">
        <v>87</v>
      </c>
      <c r="AK223">
        <v>1648</v>
      </c>
      <c r="AL223">
        <v>2415</v>
      </c>
      <c r="AM223">
        <v>12</v>
      </c>
      <c r="AN223">
        <v>913</v>
      </c>
      <c r="AO223" t="s">
        <v>826</v>
      </c>
    </row>
    <row r="224" spans="1:41">
      <c r="A224">
        <v>216</v>
      </c>
      <c r="B224" s="2">
        <v>45296.6188310185</v>
      </c>
      <c r="C224">
        <v>316.104</v>
      </c>
      <c r="D224" t="s">
        <v>821</v>
      </c>
      <c r="E224" t="s">
        <v>822</v>
      </c>
      <c r="F224">
        <v>42</v>
      </c>
      <c r="G224">
        <f t="shared" si="3"/>
        <v>0</v>
      </c>
      <c r="H224">
        <v>1</v>
      </c>
      <c r="I224">
        <v>2079</v>
      </c>
      <c r="J224">
        <v>5024</v>
      </c>
      <c r="K224">
        <v>28544</v>
      </c>
      <c r="L224" s="1">
        <v>-12495</v>
      </c>
      <c r="M224">
        <v>-12495</v>
      </c>
      <c r="N224">
        <v>41</v>
      </c>
      <c r="O224">
        <v>10</v>
      </c>
      <c r="P224">
        <v>65535</v>
      </c>
      <c r="Q224">
        <v>7485</v>
      </c>
      <c r="R224">
        <v>-32767</v>
      </c>
      <c r="S224">
        <v>38.1</v>
      </c>
      <c r="T224">
        <v>14</v>
      </c>
      <c r="U224">
        <v>100</v>
      </c>
      <c r="V224">
        <v>34800</v>
      </c>
      <c r="W224">
        <v>5000</v>
      </c>
      <c r="X224" t="s">
        <v>823</v>
      </c>
      <c r="Y224" t="s">
        <v>830</v>
      </c>
      <c r="Z224" t="s">
        <v>828</v>
      </c>
      <c r="AA224">
        <v>5</v>
      </c>
      <c r="AB224">
        <v>6</v>
      </c>
      <c r="AC224">
        <v>76</v>
      </c>
      <c r="AD224">
        <v>4</v>
      </c>
      <c r="AE224">
        <v>2079</v>
      </c>
      <c r="AF224">
        <v>5024</v>
      </c>
      <c r="AG224">
        <v>308</v>
      </c>
      <c r="AH224">
        <v>2941</v>
      </c>
      <c r="AI224">
        <v>5</v>
      </c>
      <c r="AJ224">
        <v>87</v>
      </c>
      <c r="AK224">
        <v>1648</v>
      </c>
      <c r="AL224">
        <v>2422</v>
      </c>
      <c r="AM224">
        <v>12</v>
      </c>
      <c r="AN224">
        <v>901</v>
      </c>
      <c r="AO224" t="s">
        <v>826</v>
      </c>
    </row>
    <row r="225" spans="1:41">
      <c r="A225">
        <v>217</v>
      </c>
      <c r="B225" s="2">
        <v>45296.6188425926</v>
      </c>
      <c r="C225">
        <v>317.043</v>
      </c>
      <c r="D225" t="s">
        <v>821</v>
      </c>
      <c r="E225" t="s">
        <v>822</v>
      </c>
      <c r="F225">
        <v>42</v>
      </c>
      <c r="G225">
        <f t="shared" si="3"/>
        <v>0</v>
      </c>
      <c r="H225">
        <v>1</v>
      </c>
      <c r="I225">
        <v>2075</v>
      </c>
      <c r="J225">
        <v>5024</v>
      </c>
      <c r="K225">
        <v>28536</v>
      </c>
      <c r="L225" s="1">
        <v>-12495</v>
      </c>
      <c r="M225">
        <v>-12495</v>
      </c>
      <c r="N225">
        <v>41</v>
      </c>
      <c r="O225">
        <v>10</v>
      </c>
      <c r="P225">
        <v>65535</v>
      </c>
      <c r="Q225">
        <v>7471</v>
      </c>
      <c r="R225">
        <v>-32767</v>
      </c>
      <c r="S225">
        <v>38.1</v>
      </c>
      <c r="T225">
        <v>14</v>
      </c>
      <c r="U225">
        <v>100</v>
      </c>
      <c r="V225">
        <v>34800</v>
      </c>
      <c r="W225">
        <v>5000</v>
      </c>
      <c r="X225" t="s">
        <v>823</v>
      </c>
      <c r="Y225" t="s">
        <v>830</v>
      </c>
      <c r="Z225" t="s">
        <v>828</v>
      </c>
      <c r="AA225">
        <v>5</v>
      </c>
      <c r="AB225">
        <v>6</v>
      </c>
      <c r="AC225">
        <v>76</v>
      </c>
      <c r="AD225">
        <v>4</v>
      </c>
      <c r="AE225">
        <v>2075</v>
      </c>
      <c r="AF225">
        <v>5024</v>
      </c>
      <c r="AG225">
        <v>309</v>
      </c>
      <c r="AH225">
        <v>2945</v>
      </c>
      <c r="AI225">
        <v>5</v>
      </c>
      <c r="AJ225">
        <v>87</v>
      </c>
      <c r="AK225">
        <v>1648</v>
      </c>
      <c r="AL225">
        <v>2426</v>
      </c>
      <c r="AM225">
        <v>12</v>
      </c>
      <c r="AN225">
        <v>901</v>
      </c>
      <c r="AO225" t="s">
        <v>826</v>
      </c>
    </row>
    <row r="226" spans="1:41">
      <c r="A226">
        <v>218</v>
      </c>
      <c r="B226" s="2">
        <v>45296.6188541667</v>
      </c>
      <c r="C226">
        <v>317.982</v>
      </c>
      <c r="D226" t="s">
        <v>821</v>
      </c>
      <c r="E226" t="s">
        <v>822</v>
      </c>
      <c r="F226">
        <v>42</v>
      </c>
      <c r="G226">
        <f t="shared" si="3"/>
        <v>0</v>
      </c>
      <c r="H226">
        <v>1</v>
      </c>
      <c r="I226">
        <v>2075</v>
      </c>
      <c r="J226">
        <v>5024</v>
      </c>
      <c r="K226">
        <v>28536</v>
      </c>
      <c r="L226" s="1">
        <v>-12496</v>
      </c>
      <c r="M226">
        <v>-12495</v>
      </c>
      <c r="N226">
        <v>41.1</v>
      </c>
      <c r="O226">
        <v>10</v>
      </c>
      <c r="P226">
        <v>65535</v>
      </c>
      <c r="Q226">
        <v>7460</v>
      </c>
      <c r="R226">
        <v>-32767</v>
      </c>
      <c r="S226">
        <v>38.1</v>
      </c>
      <c r="T226">
        <v>14</v>
      </c>
      <c r="U226">
        <v>100</v>
      </c>
      <c r="V226">
        <v>34800</v>
      </c>
      <c r="W226">
        <v>5000</v>
      </c>
      <c r="X226" t="s">
        <v>823</v>
      </c>
      <c r="Y226" t="s">
        <v>830</v>
      </c>
      <c r="Z226" t="s">
        <v>828</v>
      </c>
      <c r="AA226">
        <v>5</v>
      </c>
      <c r="AB226">
        <v>6</v>
      </c>
      <c r="AC226">
        <v>76</v>
      </c>
      <c r="AD226">
        <v>4</v>
      </c>
      <c r="AE226">
        <v>2072</v>
      </c>
      <c r="AF226">
        <v>5024</v>
      </c>
      <c r="AG226">
        <v>310</v>
      </c>
      <c r="AH226">
        <v>2948</v>
      </c>
      <c r="AI226">
        <v>5</v>
      </c>
      <c r="AJ226">
        <v>87</v>
      </c>
      <c r="AK226">
        <v>1648</v>
      </c>
      <c r="AL226">
        <v>2429</v>
      </c>
      <c r="AM226">
        <v>12</v>
      </c>
      <c r="AN226">
        <v>901</v>
      </c>
      <c r="AO226" t="s">
        <v>826</v>
      </c>
    </row>
    <row r="227" spans="1:41">
      <c r="A227">
        <v>219</v>
      </c>
      <c r="B227" s="2">
        <v>45296.6188773148</v>
      </c>
      <c r="C227">
        <v>320.339</v>
      </c>
      <c r="D227" t="s">
        <v>821</v>
      </c>
      <c r="E227" t="s">
        <v>822</v>
      </c>
      <c r="F227">
        <v>42</v>
      </c>
      <c r="G227">
        <f t="shared" si="3"/>
        <v>0</v>
      </c>
      <c r="H227">
        <v>1</v>
      </c>
      <c r="I227">
        <v>2065</v>
      </c>
      <c r="J227">
        <v>5024</v>
      </c>
      <c r="K227">
        <v>28528</v>
      </c>
      <c r="L227" s="1">
        <v>-12496</v>
      </c>
      <c r="M227">
        <v>-12495</v>
      </c>
      <c r="N227">
        <v>41.1</v>
      </c>
      <c r="O227">
        <v>10</v>
      </c>
      <c r="P227">
        <v>65535</v>
      </c>
      <c r="Q227">
        <v>7435</v>
      </c>
      <c r="R227">
        <v>-32767</v>
      </c>
      <c r="S227">
        <v>38.2</v>
      </c>
      <c r="T227">
        <v>14</v>
      </c>
      <c r="U227">
        <v>100</v>
      </c>
      <c r="V227">
        <v>34800</v>
      </c>
      <c r="W227">
        <v>5000</v>
      </c>
      <c r="X227" t="s">
        <v>823</v>
      </c>
      <c r="Y227" t="s">
        <v>830</v>
      </c>
      <c r="Z227" t="s">
        <v>828</v>
      </c>
      <c r="AA227">
        <v>5</v>
      </c>
      <c r="AB227">
        <v>6</v>
      </c>
      <c r="AC227">
        <v>76</v>
      </c>
      <c r="AD227">
        <v>4</v>
      </c>
      <c r="AE227">
        <v>2065</v>
      </c>
      <c r="AF227">
        <v>5024</v>
      </c>
      <c r="AG227">
        <v>312</v>
      </c>
      <c r="AH227">
        <v>2955</v>
      </c>
      <c r="AI227">
        <v>5</v>
      </c>
      <c r="AJ227">
        <v>87</v>
      </c>
      <c r="AK227">
        <v>1648</v>
      </c>
      <c r="AL227">
        <v>2436</v>
      </c>
      <c r="AM227">
        <v>12</v>
      </c>
      <c r="AN227">
        <v>915</v>
      </c>
      <c r="AO227" t="s">
        <v>826</v>
      </c>
    </row>
    <row r="228" spans="1:41">
      <c r="A228">
        <v>220</v>
      </c>
      <c r="B228" s="2">
        <v>45296.6188888889</v>
      </c>
      <c r="C228">
        <v>321.29</v>
      </c>
      <c r="D228" t="s">
        <v>821</v>
      </c>
      <c r="E228" t="s">
        <v>822</v>
      </c>
      <c r="F228">
        <v>42</v>
      </c>
      <c r="G228">
        <f t="shared" si="3"/>
        <v>0</v>
      </c>
      <c r="H228">
        <v>1</v>
      </c>
      <c r="I228">
        <v>2061</v>
      </c>
      <c r="J228">
        <v>5024</v>
      </c>
      <c r="K228">
        <v>28520</v>
      </c>
      <c r="L228" s="1">
        <v>-12495</v>
      </c>
      <c r="M228">
        <v>-12495</v>
      </c>
      <c r="N228">
        <v>41.1</v>
      </c>
      <c r="O228">
        <v>10</v>
      </c>
      <c r="P228">
        <v>65535</v>
      </c>
      <c r="Q228">
        <v>7421</v>
      </c>
      <c r="R228">
        <v>-32767</v>
      </c>
      <c r="S228">
        <v>38.2</v>
      </c>
      <c r="T228">
        <v>14</v>
      </c>
      <c r="U228">
        <v>100</v>
      </c>
      <c r="V228">
        <v>34800</v>
      </c>
      <c r="W228">
        <v>5000</v>
      </c>
      <c r="X228" t="s">
        <v>823</v>
      </c>
      <c r="Y228" t="s">
        <v>830</v>
      </c>
      <c r="Z228" t="s">
        <v>828</v>
      </c>
      <c r="AA228">
        <v>5</v>
      </c>
      <c r="AB228">
        <v>6</v>
      </c>
      <c r="AC228">
        <v>76</v>
      </c>
      <c r="AD228">
        <v>4</v>
      </c>
      <c r="AE228">
        <v>2061</v>
      </c>
      <c r="AF228">
        <v>5024</v>
      </c>
      <c r="AG228">
        <v>313</v>
      </c>
      <c r="AH228">
        <v>2959</v>
      </c>
      <c r="AI228">
        <v>5</v>
      </c>
      <c r="AJ228">
        <v>87</v>
      </c>
      <c r="AK228">
        <v>1648</v>
      </c>
      <c r="AL228">
        <v>2440</v>
      </c>
      <c r="AM228">
        <v>12</v>
      </c>
      <c r="AN228">
        <v>905</v>
      </c>
      <c r="AO228" t="s">
        <v>826</v>
      </c>
    </row>
    <row r="229" spans="1:41">
      <c r="A229">
        <v>221</v>
      </c>
      <c r="B229" s="2">
        <v>45296.618912037</v>
      </c>
      <c r="C229">
        <v>323.653</v>
      </c>
      <c r="D229" t="s">
        <v>821</v>
      </c>
      <c r="E229" t="s">
        <v>822</v>
      </c>
      <c r="F229">
        <v>41</v>
      </c>
      <c r="G229">
        <f t="shared" si="3"/>
        <v>1</v>
      </c>
      <c r="H229">
        <v>1</v>
      </c>
      <c r="I229">
        <v>2054</v>
      </c>
      <c r="J229">
        <v>5024</v>
      </c>
      <c r="K229">
        <v>28520</v>
      </c>
      <c r="L229" s="1">
        <v>-12495</v>
      </c>
      <c r="M229">
        <v>-12495</v>
      </c>
      <c r="N229">
        <v>41.1</v>
      </c>
      <c r="O229">
        <v>10</v>
      </c>
      <c r="P229">
        <v>65535</v>
      </c>
      <c r="Q229">
        <v>7396</v>
      </c>
      <c r="R229">
        <v>-32767</v>
      </c>
      <c r="S229">
        <v>38.2</v>
      </c>
      <c r="T229">
        <v>14</v>
      </c>
      <c r="U229">
        <v>100</v>
      </c>
      <c r="V229">
        <v>34800</v>
      </c>
      <c r="W229">
        <v>5000</v>
      </c>
      <c r="X229" t="s">
        <v>823</v>
      </c>
      <c r="Y229" t="s">
        <v>830</v>
      </c>
      <c r="Z229" t="s">
        <v>828</v>
      </c>
      <c r="AA229">
        <v>5</v>
      </c>
      <c r="AB229">
        <v>6</v>
      </c>
      <c r="AC229">
        <v>76</v>
      </c>
      <c r="AD229">
        <v>4</v>
      </c>
      <c r="AE229">
        <v>2054</v>
      </c>
      <c r="AF229">
        <v>5024</v>
      </c>
      <c r="AG229">
        <v>316</v>
      </c>
      <c r="AH229">
        <v>2969</v>
      </c>
      <c r="AI229">
        <v>5</v>
      </c>
      <c r="AJ229">
        <v>87</v>
      </c>
      <c r="AK229">
        <v>1648</v>
      </c>
      <c r="AL229">
        <v>2450</v>
      </c>
      <c r="AM229">
        <v>12</v>
      </c>
      <c r="AN229">
        <v>898</v>
      </c>
      <c r="AO229" t="s">
        <v>826</v>
      </c>
    </row>
    <row r="230" spans="1:41">
      <c r="A230">
        <v>222</v>
      </c>
      <c r="B230" s="2">
        <v>45296.6189236111</v>
      </c>
      <c r="C230">
        <v>324.605</v>
      </c>
      <c r="D230" t="s">
        <v>821</v>
      </c>
      <c r="E230" t="s">
        <v>822</v>
      </c>
      <c r="F230">
        <v>41</v>
      </c>
      <c r="G230">
        <f t="shared" si="3"/>
        <v>0</v>
      </c>
      <c r="H230">
        <v>1</v>
      </c>
      <c r="I230">
        <v>2051</v>
      </c>
      <c r="J230">
        <v>5024</v>
      </c>
      <c r="K230">
        <v>28512</v>
      </c>
      <c r="L230" s="1">
        <v>-12496</v>
      </c>
      <c r="M230">
        <v>-12495</v>
      </c>
      <c r="N230">
        <v>41.2</v>
      </c>
      <c r="O230">
        <v>10</v>
      </c>
      <c r="P230">
        <v>65535</v>
      </c>
      <c r="Q230">
        <v>7385</v>
      </c>
      <c r="R230">
        <v>-32767</v>
      </c>
      <c r="S230">
        <v>38.2</v>
      </c>
      <c r="T230">
        <v>14</v>
      </c>
      <c r="U230">
        <v>100</v>
      </c>
      <c r="V230">
        <v>34800</v>
      </c>
      <c r="W230">
        <v>5000</v>
      </c>
      <c r="X230" t="s">
        <v>823</v>
      </c>
      <c r="Y230" t="s">
        <v>830</v>
      </c>
      <c r="Z230" t="s">
        <v>828</v>
      </c>
      <c r="AA230">
        <v>5</v>
      </c>
      <c r="AB230">
        <v>6</v>
      </c>
      <c r="AC230">
        <v>76</v>
      </c>
      <c r="AD230">
        <v>4</v>
      </c>
      <c r="AE230">
        <v>2051</v>
      </c>
      <c r="AF230">
        <v>5024</v>
      </c>
      <c r="AG230">
        <v>316</v>
      </c>
      <c r="AH230">
        <v>2969</v>
      </c>
      <c r="AI230">
        <v>5</v>
      </c>
      <c r="AJ230">
        <v>87</v>
      </c>
      <c r="AK230">
        <v>1648</v>
      </c>
      <c r="AL230">
        <v>2454</v>
      </c>
      <c r="AM230">
        <v>12</v>
      </c>
      <c r="AN230">
        <v>901</v>
      </c>
      <c r="AO230" t="s">
        <v>826</v>
      </c>
    </row>
    <row r="231" spans="1:41">
      <c r="A231">
        <v>223</v>
      </c>
      <c r="B231" s="2">
        <v>45296.6189351852</v>
      </c>
      <c r="C231">
        <v>325.544</v>
      </c>
      <c r="D231" t="s">
        <v>821</v>
      </c>
      <c r="E231" t="s">
        <v>822</v>
      </c>
      <c r="F231">
        <v>41</v>
      </c>
      <c r="G231">
        <f t="shared" si="3"/>
        <v>0</v>
      </c>
      <c r="H231">
        <v>1</v>
      </c>
      <c r="I231">
        <v>2047</v>
      </c>
      <c r="J231">
        <v>5024</v>
      </c>
      <c r="K231">
        <v>28512</v>
      </c>
      <c r="L231" s="1">
        <v>-12495</v>
      </c>
      <c r="M231">
        <v>-12495</v>
      </c>
      <c r="N231">
        <v>41.1</v>
      </c>
      <c r="O231">
        <v>10</v>
      </c>
      <c r="P231">
        <v>65535</v>
      </c>
      <c r="Q231">
        <v>7371</v>
      </c>
      <c r="R231">
        <v>-32767</v>
      </c>
      <c r="S231">
        <v>38.2</v>
      </c>
      <c r="T231">
        <v>14</v>
      </c>
      <c r="U231">
        <v>100</v>
      </c>
      <c r="V231">
        <v>34800</v>
      </c>
      <c r="W231">
        <v>5000</v>
      </c>
      <c r="X231" t="s">
        <v>823</v>
      </c>
      <c r="Y231" t="s">
        <v>830</v>
      </c>
      <c r="Z231" t="s">
        <v>828</v>
      </c>
      <c r="AA231">
        <v>5</v>
      </c>
      <c r="AB231">
        <v>6</v>
      </c>
      <c r="AC231">
        <v>76</v>
      </c>
      <c r="AD231">
        <v>4</v>
      </c>
      <c r="AE231">
        <v>2047</v>
      </c>
      <c r="AF231">
        <v>5024</v>
      </c>
      <c r="AG231">
        <v>317</v>
      </c>
      <c r="AH231">
        <v>2973</v>
      </c>
      <c r="AI231">
        <v>5</v>
      </c>
      <c r="AJ231">
        <v>87</v>
      </c>
      <c r="AK231">
        <v>1648</v>
      </c>
      <c r="AL231">
        <v>2454</v>
      </c>
      <c r="AM231">
        <v>12</v>
      </c>
      <c r="AN231">
        <v>899</v>
      </c>
      <c r="AO231" t="s">
        <v>826</v>
      </c>
    </row>
    <row r="232" spans="1:41">
      <c r="A232">
        <v>224</v>
      </c>
      <c r="B232" s="2">
        <v>45296.6189583333</v>
      </c>
      <c r="C232">
        <v>327.902</v>
      </c>
      <c r="D232" t="s">
        <v>821</v>
      </c>
      <c r="E232" t="s">
        <v>822</v>
      </c>
      <c r="F232">
        <v>41</v>
      </c>
      <c r="G232">
        <f t="shared" si="3"/>
        <v>0</v>
      </c>
      <c r="H232">
        <v>1</v>
      </c>
      <c r="I232">
        <v>2040</v>
      </c>
      <c r="J232">
        <v>5024</v>
      </c>
      <c r="K232">
        <v>28504</v>
      </c>
      <c r="L232" s="1">
        <v>-12495</v>
      </c>
      <c r="M232">
        <v>-12495</v>
      </c>
      <c r="N232">
        <v>41.2</v>
      </c>
      <c r="O232">
        <v>10</v>
      </c>
      <c r="P232">
        <v>65535</v>
      </c>
      <c r="Q232">
        <v>7335</v>
      </c>
      <c r="R232">
        <v>-32767</v>
      </c>
      <c r="S232">
        <v>38.2</v>
      </c>
      <c r="T232">
        <v>14</v>
      </c>
      <c r="U232">
        <v>100</v>
      </c>
      <c r="V232">
        <v>34800</v>
      </c>
      <c r="W232">
        <v>5000</v>
      </c>
      <c r="X232" t="s">
        <v>823</v>
      </c>
      <c r="Y232" t="s">
        <v>830</v>
      </c>
      <c r="Z232" t="s">
        <v>828</v>
      </c>
      <c r="AA232">
        <v>5</v>
      </c>
      <c r="AB232">
        <v>6</v>
      </c>
      <c r="AC232">
        <v>76</v>
      </c>
      <c r="AD232">
        <v>4</v>
      </c>
      <c r="AE232">
        <v>2037</v>
      </c>
      <c r="AF232">
        <v>5024</v>
      </c>
      <c r="AG232">
        <v>320</v>
      </c>
      <c r="AH232">
        <v>2983</v>
      </c>
      <c r="AI232">
        <v>5</v>
      </c>
      <c r="AJ232">
        <v>87</v>
      </c>
      <c r="AK232">
        <v>1648</v>
      </c>
      <c r="AL232">
        <v>2464</v>
      </c>
      <c r="AM232">
        <v>12</v>
      </c>
      <c r="AN232">
        <v>901</v>
      </c>
      <c r="AO232" t="s">
        <v>826</v>
      </c>
    </row>
    <row r="233" spans="1:41">
      <c r="A233">
        <v>225</v>
      </c>
      <c r="B233" s="2">
        <v>45296.6189699074</v>
      </c>
      <c r="C233">
        <v>328.836</v>
      </c>
      <c r="D233" t="s">
        <v>821</v>
      </c>
      <c r="E233" t="s">
        <v>822</v>
      </c>
      <c r="F233">
        <v>41</v>
      </c>
      <c r="G233">
        <f t="shared" si="3"/>
        <v>0</v>
      </c>
      <c r="H233">
        <v>1</v>
      </c>
      <c r="I233">
        <v>2037</v>
      </c>
      <c r="J233">
        <v>5024</v>
      </c>
      <c r="K233">
        <v>28504</v>
      </c>
      <c r="L233" s="1">
        <v>-12496</v>
      </c>
      <c r="M233">
        <v>-12495</v>
      </c>
      <c r="N233">
        <v>41.2</v>
      </c>
      <c r="O233">
        <v>10</v>
      </c>
      <c r="P233">
        <v>65535</v>
      </c>
      <c r="Q233">
        <v>7335</v>
      </c>
      <c r="R233">
        <v>-32767</v>
      </c>
      <c r="S233">
        <v>38.2</v>
      </c>
      <c r="T233">
        <v>14</v>
      </c>
      <c r="U233">
        <v>100</v>
      </c>
      <c r="V233">
        <v>34800</v>
      </c>
      <c r="W233">
        <v>5000</v>
      </c>
      <c r="X233" t="s">
        <v>823</v>
      </c>
      <c r="Y233" t="s">
        <v>830</v>
      </c>
      <c r="Z233" t="s">
        <v>828</v>
      </c>
      <c r="AA233">
        <v>5</v>
      </c>
      <c r="AB233">
        <v>6</v>
      </c>
      <c r="AC233">
        <v>76</v>
      </c>
      <c r="AD233">
        <v>4</v>
      </c>
      <c r="AE233">
        <v>2034</v>
      </c>
      <c r="AF233">
        <v>5024</v>
      </c>
      <c r="AG233">
        <v>321</v>
      </c>
      <c r="AH233">
        <v>2986</v>
      </c>
      <c r="AI233">
        <v>5</v>
      </c>
      <c r="AJ233">
        <v>87</v>
      </c>
      <c r="AK233">
        <v>1648</v>
      </c>
      <c r="AL233">
        <v>2467</v>
      </c>
      <c r="AM233">
        <v>12</v>
      </c>
      <c r="AN233">
        <v>922</v>
      </c>
      <c r="AO233" t="s">
        <v>826</v>
      </c>
    </row>
    <row r="234" spans="1:41">
      <c r="A234">
        <v>226</v>
      </c>
      <c r="B234" s="2">
        <v>45296.6189814815</v>
      </c>
      <c r="C234">
        <v>329.791</v>
      </c>
      <c r="D234" t="s">
        <v>821</v>
      </c>
      <c r="E234" t="s">
        <v>822</v>
      </c>
      <c r="F234">
        <v>41</v>
      </c>
      <c r="G234">
        <f t="shared" si="3"/>
        <v>0</v>
      </c>
      <c r="H234">
        <v>1</v>
      </c>
      <c r="I234">
        <v>2034</v>
      </c>
      <c r="J234">
        <v>5024</v>
      </c>
      <c r="K234">
        <v>28496</v>
      </c>
      <c r="L234" s="1">
        <v>-12495</v>
      </c>
      <c r="M234">
        <v>-12495</v>
      </c>
      <c r="N234">
        <v>41.2</v>
      </c>
      <c r="O234">
        <v>10</v>
      </c>
      <c r="P234">
        <v>65535</v>
      </c>
      <c r="Q234">
        <v>7325</v>
      </c>
      <c r="R234">
        <v>-32767</v>
      </c>
      <c r="S234">
        <v>38.3</v>
      </c>
      <c r="T234">
        <v>14</v>
      </c>
      <c r="U234">
        <v>100</v>
      </c>
      <c r="V234">
        <v>34800</v>
      </c>
      <c r="W234">
        <v>5000</v>
      </c>
      <c r="X234" t="s">
        <v>823</v>
      </c>
      <c r="Y234" t="s">
        <v>830</v>
      </c>
      <c r="Z234" t="s">
        <v>828</v>
      </c>
      <c r="AA234">
        <v>6</v>
      </c>
      <c r="AB234">
        <v>6</v>
      </c>
      <c r="AC234">
        <v>76</v>
      </c>
      <c r="AD234">
        <v>4</v>
      </c>
      <c r="AE234">
        <v>2030</v>
      </c>
      <c r="AF234">
        <v>5024</v>
      </c>
      <c r="AG234">
        <v>322</v>
      </c>
      <c r="AH234">
        <v>2990</v>
      </c>
      <c r="AI234">
        <v>5</v>
      </c>
      <c r="AJ234">
        <v>87</v>
      </c>
      <c r="AK234">
        <v>1648</v>
      </c>
      <c r="AL234">
        <v>2471</v>
      </c>
      <c r="AM234">
        <v>12</v>
      </c>
      <c r="AN234">
        <v>901</v>
      </c>
      <c r="AO234" t="s">
        <v>826</v>
      </c>
    </row>
    <row r="235" spans="1:41">
      <c r="A235">
        <v>227</v>
      </c>
      <c r="B235" s="2">
        <v>45296.6190162037</v>
      </c>
      <c r="C235">
        <v>332.141</v>
      </c>
      <c r="D235" t="s">
        <v>821</v>
      </c>
      <c r="E235" t="s">
        <v>822</v>
      </c>
      <c r="F235">
        <v>41</v>
      </c>
      <c r="G235">
        <f t="shared" si="3"/>
        <v>0</v>
      </c>
      <c r="H235">
        <v>1</v>
      </c>
      <c r="I235">
        <v>2023</v>
      </c>
      <c r="J235">
        <v>5024</v>
      </c>
      <c r="K235">
        <v>28488</v>
      </c>
      <c r="L235" s="1">
        <v>-12495</v>
      </c>
      <c r="M235">
        <v>-12495</v>
      </c>
      <c r="N235">
        <v>41.3</v>
      </c>
      <c r="O235">
        <v>10</v>
      </c>
      <c r="P235">
        <v>65535</v>
      </c>
      <c r="Q235">
        <v>7286</v>
      </c>
      <c r="R235">
        <v>-32767</v>
      </c>
      <c r="S235">
        <v>38.3</v>
      </c>
      <c r="T235">
        <v>14</v>
      </c>
      <c r="U235">
        <v>100</v>
      </c>
      <c r="V235">
        <v>34800</v>
      </c>
      <c r="W235">
        <v>5000</v>
      </c>
      <c r="X235" t="s">
        <v>823</v>
      </c>
      <c r="Y235" t="s">
        <v>830</v>
      </c>
      <c r="Z235" t="s">
        <v>828</v>
      </c>
      <c r="AA235">
        <v>6</v>
      </c>
      <c r="AB235">
        <v>6</v>
      </c>
      <c r="AC235">
        <v>76</v>
      </c>
      <c r="AD235">
        <v>4</v>
      </c>
      <c r="AE235">
        <v>2023</v>
      </c>
      <c r="AF235">
        <v>5024</v>
      </c>
      <c r="AG235">
        <v>324</v>
      </c>
      <c r="AH235">
        <v>2997</v>
      </c>
      <c r="AI235">
        <v>5</v>
      </c>
      <c r="AJ235">
        <v>87</v>
      </c>
      <c r="AK235">
        <v>1648</v>
      </c>
      <c r="AL235">
        <v>2478</v>
      </c>
      <c r="AM235">
        <v>12</v>
      </c>
      <c r="AN235">
        <v>907</v>
      </c>
      <c r="AO235" t="s">
        <v>826</v>
      </c>
    </row>
    <row r="236" spans="1:41">
      <c r="A236">
        <v>228</v>
      </c>
      <c r="B236" s="2">
        <v>45296.6190277778</v>
      </c>
      <c r="C236">
        <v>333.088</v>
      </c>
      <c r="D236" t="s">
        <v>821</v>
      </c>
      <c r="E236" t="s">
        <v>822</v>
      </c>
      <c r="F236">
        <v>41</v>
      </c>
      <c r="G236">
        <f t="shared" si="3"/>
        <v>0</v>
      </c>
      <c r="H236">
        <v>1</v>
      </c>
      <c r="I236">
        <v>2020</v>
      </c>
      <c r="J236">
        <v>5024</v>
      </c>
      <c r="K236">
        <v>28488</v>
      </c>
      <c r="L236" s="1">
        <v>-12496</v>
      </c>
      <c r="M236">
        <v>-12495</v>
      </c>
      <c r="N236">
        <v>41.3</v>
      </c>
      <c r="O236">
        <v>10</v>
      </c>
      <c r="P236">
        <v>65535</v>
      </c>
      <c r="Q236">
        <v>7275</v>
      </c>
      <c r="R236">
        <v>-32767</v>
      </c>
      <c r="S236">
        <v>38.3</v>
      </c>
      <c r="T236">
        <v>14</v>
      </c>
      <c r="U236">
        <v>100</v>
      </c>
      <c r="V236">
        <v>34800</v>
      </c>
      <c r="W236">
        <v>5000</v>
      </c>
      <c r="X236" t="s">
        <v>823</v>
      </c>
      <c r="Y236" t="s">
        <v>830</v>
      </c>
      <c r="Z236" t="s">
        <v>828</v>
      </c>
      <c r="AA236">
        <v>6</v>
      </c>
      <c r="AB236">
        <v>6</v>
      </c>
      <c r="AC236">
        <v>76</v>
      </c>
      <c r="AD236">
        <v>4</v>
      </c>
      <c r="AE236">
        <v>2020</v>
      </c>
      <c r="AF236">
        <v>5024</v>
      </c>
      <c r="AG236">
        <v>325</v>
      </c>
      <c r="AH236">
        <v>3000</v>
      </c>
      <c r="AI236">
        <v>5</v>
      </c>
      <c r="AJ236">
        <v>87</v>
      </c>
      <c r="AK236">
        <v>1648</v>
      </c>
      <c r="AL236">
        <v>2481</v>
      </c>
      <c r="AM236">
        <v>12</v>
      </c>
      <c r="AN236">
        <v>902</v>
      </c>
      <c r="AO236" t="s">
        <v>826</v>
      </c>
    </row>
    <row r="237" spans="1:41">
      <c r="A237">
        <v>229</v>
      </c>
      <c r="B237" s="2">
        <v>45296.6190393519</v>
      </c>
      <c r="C237">
        <v>334.027</v>
      </c>
      <c r="D237" t="s">
        <v>821</v>
      </c>
      <c r="E237" t="s">
        <v>822</v>
      </c>
      <c r="F237">
        <v>41</v>
      </c>
      <c r="G237">
        <f t="shared" si="3"/>
        <v>0</v>
      </c>
      <c r="H237">
        <v>1</v>
      </c>
      <c r="I237">
        <v>2016</v>
      </c>
      <c r="J237">
        <v>5024</v>
      </c>
      <c r="K237">
        <v>28480</v>
      </c>
      <c r="L237" s="1">
        <v>-12495</v>
      </c>
      <c r="M237">
        <v>-12495</v>
      </c>
      <c r="N237">
        <v>41.3</v>
      </c>
      <c r="O237">
        <v>10</v>
      </c>
      <c r="P237">
        <v>65535</v>
      </c>
      <c r="Q237">
        <v>7261</v>
      </c>
      <c r="R237">
        <v>-32767</v>
      </c>
      <c r="S237">
        <v>38.3</v>
      </c>
      <c r="T237">
        <v>14</v>
      </c>
      <c r="U237">
        <v>100</v>
      </c>
      <c r="V237">
        <v>34800</v>
      </c>
      <c r="W237">
        <v>5000</v>
      </c>
      <c r="X237" t="s">
        <v>823</v>
      </c>
      <c r="Y237" t="s">
        <v>830</v>
      </c>
      <c r="Z237" t="s">
        <v>828</v>
      </c>
      <c r="AA237">
        <v>6</v>
      </c>
      <c r="AB237">
        <v>6</v>
      </c>
      <c r="AC237">
        <v>76</v>
      </c>
      <c r="AD237">
        <v>4</v>
      </c>
      <c r="AE237">
        <v>2016</v>
      </c>
      <c r="AF237">
        <v>5024</v>
      </c>
      <c r="AG237">
        <v>326</v>
      </c>
      <c r="AH237">
        <v>3004</v>
      </c>
      <c r="AI237">
        <v>5</v>
      </c>
      <c r="AJ237">
        <v>87</v>
      </c>
      <c r="AK237">
        <v>1648</v>
      </c>
      <c r="AL237">
        <v>2485</v>
      </c>
      <c r="AM237">
        <v>12</v>
      </c>
      <c r="AN237">
        <v>900</v>
      </c>
      <c r="AO237" t="s">
        <v>826</v>
      </c>
    </row>
    <row r="238" spans="1:41">
      <c r="A238">
        <v>230</v>
      </c>
      <c r="B238" s="2">
        <v>45296.6190625</v>
      </c>
      <c r="C238">
        <v>336.409</v>
      </c>
      <c r="D238" t="s">
        <v>821</v>
      </c>
      <c r="E238" t="s">
        <v>822</v>
      </c>
      <c r="F238">
        <v>40</v>
      </c>
      <c r="G238">
        <f t="shared" si="3"/>
        <v>1</v>
      </c>
      <c r="H238">
        <v>1</v>
      </c>
      <c r="I238">
        <v>2009</v>
      </c>
      <c r="J238">
        <v>5024</v>
      </c>
      <c r="K238">
        <v>28472</v>
      </c>
      <c r="L238" s="1">
        <v>-12495</v>
      </c>
      <c r="M238">
        <v>-12495</v>
      </c>
      <c r="N238">
        <v>41.3</v>
      </c>
      <c r="O238">
        <v>10</v>
      </c>
      <c r="P238">
        <v>65535</v>
      </c>
      <c r="Q238">
        <v>7236</v>
      </c>
      <c r="R238">
        <v>-32767</v>
      </c>
      <c r="S238">
        <v>38.4</v>
      </c>
      <c r="T238">
        <v>14</v>
      </c>
      <c r="U238">
        <v>100</v>
      </c>
      <c r="V238">
        <v>34800</v>
      </c>
      <c r="W238">
        <v>5000</v>
      </c>
      <c r="X238" t="s">
        <v>823</v>
      </c>
      <c r="Y238" t="s">
        <v>830</v>
      </c>
      <c r="Z238" t="s">
        <v>828</v>
      </c>
      <c r="AA238">
        <v>6</v>
      </c>
      <c r="AB238">
        <v>6</v>
      </c>
      <c r="AC238">
        <v>76</v>
      </c>
      <c r="AD238">
        <v>4</v>
      </c>
      <c r="AE238">
        <v>2009</v>
      </c>
      <c r="AF238">
        <v>5024</v>
      </c>
      <c r="AG238">
        <v>328</v>
      </c>
      <c r="AH238">
        <v>3011</v>
      </c>
      <c r="AI238">
        <v>5</v>
      </c>
      <c r="AJ238">
        <v>87</v>
      </c>
      <c r="AK238">
        <v>1648</v>
      </c>
      <c r="AL238">
        <v>2492</v>
      </c>
      <c r="AM238">
        <v>12</v>
      </c>
      <c r="AN238">
        <v>905</v>
      </c>
      <c r="AO238" t="s">
        <v>826</v>
      </c>
    </row>
    <row r="239" spans="1:41">
      <c r="A239">
        <v>231</v>
      </c>
      <c r="B239" s="2">
        <v>45296.6190740741</v>
      </c>
      <c r="C239">
        <v>337.353</v>
      </c>
      <c r="D239" t="s">
        <v>821</v>
      </c>
      <c r="E239" t="s">
        <v>822</v>
      </c>
      <c r="F239">
        <v>40</v>
      </c>
      <c r="G239">
        <f t="shared" si="3"/>
        <v>0</v>
      </c>
      <c r="H239">
        <v>1</v>
      </c>
      <c r="I239">
        <v>2006</v>
      </c>
      <c r="J239">
        <v>5024</v>
      </c>
      <c r="K239">
        <v>28472</v>
      </c>
      <c r="L239" s="1">
        <v>-12496</v>
      </c>
      <c r="M239">
        <v>-12495</v>
      </c>
      <c r="N239">
        <v>41.3</v>
      </c>
      <c r="O239">
        <v>10</v>
      </c>
      <c r="P239">
        <v>65535</v>
      </c>
      <c r="Q239">
        <v>7225</v>
      </c>
      <c r="R239">
        <v>-32767</v>
      </c>
      <c r="S239">
        <v>38.4</v>
      </c>
      <c r="T239">
        <v>14</v>
      </c>
      <c r="U239">
        <v>100</v>
      </c>
      <c r="V239">
        <v>34800</v>
      </c>
      <c r="W239">
        <v>5000</v>
      </c>
      <c r="X239" t="s">
        <v>823</v>
      </c>
      <c r="Y239" t="s">
        <v>830</v>
      </c>
      <c r="Z239" t="s">
        <v>828</v>
      </c>
      <c r="AA239">
        <v>6</v>
      </c>
      <c r="AB239">
        <v>6</v>
      </c>
      <c r="AC239">
        <v>76</v>
      </c>
      <c r="AD239">
        <v>4</v>
      </c>
      <c r="AE239">
        <v>2006</v>
      </c>
      <c r="AF239">
        <v>5024</v>
      </c>
      <c r="AG239">
        <v>329</v>
      </c>
      <c r="AH239">
        <v>3014</v>
      </c>
      <c r="AI239">
        <v>5</v>
      </c>
      <c r="AJ239">
        <v>87</v>
      </c>
      <c r="AK239">
        <v>1648</v>
      </c>
      <c r="AL239">
        <v>2495</v>
      </c>
      <c r="AM239">
        <v>12</v>
      </c>
      <c r="AN239">
        <v>903</v>
      </c>
      <c r="AO239" t="s">
        <v>826</v>
      </c>
    </row>
    <row r="240" spans="1:41">
      <c r="A240">
        <v>232</v>
      </c>
      <c r="B240" s="2">
        <v>45296.6190972222</v>
      </c>
      <c r="C240">
        <v>339.697</v>
      </c>
      <c r="D240" t="s">
        <v>821</v>
      </c>
      <c r="E240" t="s">
        <v>822</v>
      </c>
      <c r="F240">
        <v>40</v>
      </c>
      <c r="G240">
        <f t="shared" si="3"/>
        <v>0</v>
      </c>
      <c r="H240">
        <v>1</v>
      </c>
      <c r="I240">
        <v>1999</v>
      </c>
      <c r="J240">
        <v>5024</v>
      </c>
      <c r="K240">
        <v>28464</v>
      </c>
      <c r="L240" s="1">
        <v>-12496</v>
      </c>
      <c r="M240">
        <v>-12495</v>
      </c>
      <c r="N240">
        <v>41.3</v>
      </c>
      <c r="O240">
        <v>10</v>
      </c>
      <c r="P240">
        <v>65535</v>
      </c>
      <c r="Q240">
        <v>7200</v>
      </c>
      <c r="R240">
        <v>-32767</v>
      </c>
      <c r="S240">
        <v>38.4</v>
      </c>
      <c r="T240">
        <v>14</v>
      </c>
      <c r="U240">
        <v>100</v>
      </c>
      <c r="V240">
        <v>34800</v>
      </c>
      <c r="W240">
        <v>5000</v>
      </c>
      <c r="X240" t="s">
        <v>823</v>
      </c>
      <c r="Y240" t="s">
        <v>830</v>
      </c>
      <c r="Z240" t="s">
        <v>828</v>
      </c>
      <c r="AA240">
        <v>6</v>
      </c>
      <c r="AB240">
        <v>6</v>
      </c>
      <c r="AC240">
        <v>76</v>
      </c>
      <c r="AD240">
        <v>4</v>
      </c>
      <c r="AE240">
        <v>1999</v>
      </c>
      <c r="AF240">
        <v>5024</v>
      </c>
      <c r="AG240">
        <v>332</v>
      </c>
      <c r="AH240">
        <v>3025</v>
      </c>
      <c r="AI240">
        <v>5</v>
      </c>
      <c r="AJ240">
        <v>87</v>
      </c>
      <c r="AK240">
        <v>1648</v>
      </c>
      <c r="AL240">
        <v>2506</v>
      </c>
      <c r="AM240">
        <v>12</v>
      </c>
      <c r="AN240">
        <v>886</v>
      </c>
      <c r="AO240" t="s">
        <v>826</v>
      </c>
    </row>
    <row r="241" spans="1:41">
      <c r="A241">
        <v>233</v>
      </c>
      <c r="B241" s="2">
        <v>45296.6191087963</v>
      </c>
      <c r="C241">
        <v>340.622</v>
      </c>
      <c r="D241" t="s">
        <v>821</v>
      </c>
      <c r="E241" t="s">
        <v>822</v>
      </c>
      <c r="F241">
        <v>40</v>
      </c>
      <c r="G241">
        <f t="shared" si="3"/>
        <v>0</v>
      </c>
      <c r="H241">
        <v>1</v>
      </c>
      <c r="I241">
        <v>1995</v>
      </c>
      <c r="J241">
        <v>5024</v>
      </c>
      <c r="K241">
        <v>28464</v>
      </c>
      <c r="L241" s="1">
        <v>-12495</v>
      </c>
      <c r="M241">
        <v>-12495</v>
      </c>
      <c r="N241">
        <v>41.3</v>
      </c>
      <c r="O241">
        <v>10</v>
      </c>
      <c r="P241">
        <v>65535</v>
      </c>
      <c r="Q241">
        <v>7186</v>
      </c>
      <c r="R241">
        <v>-32767</v>
      </c>
      <c r="S241">
        <v>38.4</v>
      </c>
      <c r="T241">
        <v>14</v>
      </c>
      <c r="U241">
        <v>100</v>
      </c>
      <c r="V241">
        <v>34800</v>
      </c>
      <c r="W241">
        <v>5000</v>
      </c>
      <c r="X241" t="s">
        <v>823</v>
      </c>
      <c r="Y241" t="s">
        <v>830</v>
      </c>
      <c r="Z241" t="s">
        <v>828</v>
      </c>
      <c r="AA241">
        <v>6</v>
      </c>
      <c r="AB241">
        <v>6</v>
      </c>
      <c r="AC241">
        <v>76</v>
      </c>
      <c r="AD241">
        <v>4</v>
      </c>
      <c r="AE241">
        <v>1995</v>
      </c>
      <c r="AF241">
        <v>5024</v>
      </c>
      <c r="AG241">
        <v>332</v>
      </c>
      <c r="AH241">
        <v>3025</v>
      </c>
      <c r="AI241">
        <v>5</v>
      </c>
      <c r="AJ241">
        <v>87</v>
      </c>
      <c r="AK241">
        <v>1648</v>
      </c>
      <c r="AL241">
        <v>2509</v>
      </c>
      <c r="AM241">
        <v>12</v>
      </c>
      <c r="AN241">
        <v>897</v>
      </c>
      <c r="AO241" t="s">
        <v>826</v>
      </c>
    </row>
    <row r="242" spans="1:41">
      <c r="A242">
        <v>234</v>
      </c>
      <c r="B242" s="2">
        <v>45296.6191203704</v>
      </c>
      <c r="C242">
        <v>341.564</v>
      </c>
      <c r="D242" t="s">
        <v>821</v>
      </c>
      <c r="E242" t="s">
        <v>822</v>
      </c>
      <c r="F242">
        <v>40</v>
      </c>
      <c r="G242">
        <f t="shared" si="3"/>
        <v>0</v>
      </c>
      <c r="H242">
        <v>1</v>
      </c>
      <c r="I242">
        <v>1992</v>
      </c>
      <c r="J242">
        <v>5024</v>
      </c>
      <c r="K242">
        <v>28456</v>
      </c>
      <c r="L242" s="1">
        <v>-12496</v>
      </c>
      <c r="M242">
        <v>-12495</v>
      </c>
      <c r="N242">
        <v>41.4</v>
      </c>
      <c r="O242">
        <v>10</v>
      </c>
      <c r="P242">
        <v>65535</v>
      </c>
      <c r="Q242">
        <v>7175</v>
      </c>
      <c r="R242">
        <v>-32767</v>
      </c>
      <c r="S242">
        <v>38.4</v>
      </c>
      <c r="T242">
        <v>14</v>
      </c>
      <c r="U242">
        <v>100</v>
      </c>
      <c r="V242">
        <v>34800</v>
      </c>
      <c r="W242">
        <v>5000</v>
      </c>
      <c r="X242" t="s">
        <v>823</v>
      </c>
      <c r="Y242" t="s">
        <v>830</v>
      </c>
      <c r="Z242" t="s">
        <v>828</v>
      </c>
      <c r="AA242">
        <v>6</v>
      </c>
      <c r="AB242">
        <v>6</v>
      </c>
      <c r="AC242">
        <v>76</v>
      </c>
      <c r="AD242">
        <v>4</v>
      </c>
      <c r="AE242">
        <v>1992</v>
      </c>
      <c r="AF242">
        <v>5024</v>
      </c>
      <c r="AG242">
        <v>333</v>
      </c>
      <c r="AH242">
        <v>3028</v>
      </c>
      <c r="AI242">
        <v>5</v>
      </c>
      <c r="AJ242">
        <v>87</v>
      </c>
      <c r="AK242">
        <v>1648</v>
      </c>
      <c r="AL242">
        <v>2509</v>
      </c>
      <c r="AM242">
        <v>12</v>
      </c>
      <c r="AN242">
        <v>910</v>
      </c>
      <c r="AO242" t="s">
        <v>826</v>
      </c>
    </row>
    <row r="243" spans="1:41">
      <c r="A243">
        <v>235</v>
      </c>
      <c r="B243" s="2">
        <v>45296.6191550926</v>
      </c>
      <c r="C243">
        <v>343.923</v>
      </c>
      <c r="D243" t="s">
        <v>821</v>
      </c>
      <c r="E243" t="s">
        <v>822</v>
      </c>
      <c r="F243">
        <v>40</v>
      </c>
      <c r="G243">
        <f t="shared" si="3"/>
        <v>0</v>
      </c>
      <c r="H243">
        <v>1</v>
      </c>
      <c r="I243">
        <v>1985</v>
      </c>
      <c r="J243">
        <v>5024</v>
      </c>
      <c r="K243">
        <v>28456</v>
      </c>
      <c r="L243" s="1">
        <v>-12496</v>
      </c>
      <c r="M243">
        <v>-12496</v>
      </c>
      <c r="N243">
        <v>41.4</v>
      </c>
      <c r="O243">
        <v>10</v>
      </c>
      <c r="P243">
        <v>65535</v>
      </c>
      <c r="Q243">
        <v>7136</v>
      </c>
      <c r="R243">
        <v>-32767</v>
      </c>
      <c r="S243">
        <v>38.4</v>
      </c>
      <c r="T243">
        <v>14</v>
      </c>
      <c r="U243">
        <v>100</v>
      </c>
      <c r="V243">
        <v>34800</v>
      </c>
      <c r="W243">
        <v>5000</v>
      </c>
      <c r="X243" t="s">
        <v>823</v>
      </c>
      <c r="Y243" t="s">
        <v>830</v>
      </c>
      <c r="Z243" t="s">
        <v>828</v>
      </c>
      <c r="AA243">
        <v>6</v>
      </c>
      <c r="AB243">
        <v>6</v>
      </c>
      <c r="AC243">
        <v>76</v>
      </c>
      <c r="AD243">
        <v>4</v>
      </c>
      <c r="AE243">
        <v>1981</v>
      </c>
      <c r="AF243">
        <v>5024</v>
      </c>
      <c r="AG243">
        <v>336</v>
      </c>
      <c r="AH243">
        <v>3039</v>
      </c>
      <c r="AI243">
        <v>5</v>
      </c>
      <c r="AJ243">
        <v>87</v>
      </c>
      <c r="AK243">
        <v>1648</v>
      </c>
      <c r="AL243">
        <v>2520</v>
      </c>
      <c r="AM243">
        <v>12</v>
      </c>
      <c r="AN243">
        <v>906</v>
      </c>
      <c r="AO243" t="s">
        <v>826</v>
      </c>
    </row>
    <row r="244" spans="1:41">
      <c r="A244">
        <v>236</v>
      </c>
      <c r="B244" s="2">
        <v>45296.6191550926</v>
      </c>
      <c r="C244">
        <v>344.87</v>
      </c>
      <c r="D244" t="s">
        <v>821</v>
      </c>
      <c r="E244" t="s">
        <v>822</v>
      </c>
      <c r="F244">
        <v>40</v>
      </c>
      <c r="G244">
        <f t="shared" si="3"/>
        <v>0</v>
      </c>
      <c r="H244">
        <v>1</v>
      </c>
      <c r="I244">
        <v>1981</v>
      </c>
      <c r="J244">
        <v>5024</v>
      </c>
      <c r="K244">
        <v>28448</v>
      </c>
      <c r="L244" s="1">
        <v>-12495</v>
      </c>
      <c r="M244">
        <v>-12495</v>
      </c>
      <c r="N244">
        <v>41.4</v>
      </c>
      <c r="O244">
        <v>10</v>
      </c>
      <c r="P244">
        <v>65535</v>
      </c>
      <c r="Q244">
        <v>7136</v>
      </c>
      <c r="R244">
        <v>-32767</v>
      </c>
      <c r="S244">
        <v>38.5</v>
      </c>
      <c r="T244">
        <v>14</v>
      </c>
      <c r="U244">
        <v>100</v>
      </c>
      <c r="V244">
        <v>34800</v>
      </c>
      <c r="W244">
        <v>5000</v>
      </c>
      <c r="X244" t="s">
        <v>823</v>
      </c>
      <c r="Y244" t="s">
        <v>830</v>
      </c>
      <c r="Z244" t="s">
        <v>828</v>
      </c>
      <c r="AA244">
        <v>6</v>
      </c>
      <c r="AB244">
        <v>6</v>
      </c>
      <c r="AC244">
        <v>76</v>
      </c>
      <c r="AD244">
        <v>4</v>
      </c>
      <c r="AE244">
        <v>1978</v>
      </c>
      <c r="AF244">
        <v>5024</v>
      </c>
      <c r="AG244">
        <v>337</v>
      </c>
      <c r="AH244">
        <v>3042</v>
      </c>
      <c r="AI244">
        <v>5</v>
      </c>
      <c r="AJ244">
        <v>87</v>
      </c>
      <c r="AK244">
        <v>1648</v>
      </c>
      <c r="AL244">
        <v>2523</v>
      </c>
      <c r="AM244">
        <v>12</v>
      </c>
      <c r="AN244">
        <v>901</v>
      </c>
      <c r="AO244" t="s">
        <v>826</v>
      </c>
    </row>
    <row r="245" spans="1:41">
      <c r="A245">
        <v>237</v>
      </c>
      <c r="B245" s="2">
        <v>45296.6191666667</v>
      </c>
      <c r="C245">
        <v>345.807</v>
      </c>
      <c r="D245" t="s">
        <v>821</v>
      </c>
      <c r="E245" t="s">
        <v>822</v>
      </c>
      <c r="F245">
        <v>40</v>
      </c>
      <c r="G245">
        <f t="shared" si="3"/>
        <v>0</v>
      </c>
      <c r="H245">
        <v>1</v>
      </c>
      <c r="I245">
        <v>1978</v>
      </c>
      <c r="J245">
        <v>5024</v>
      </c>
      <c r="K245">
        <v>28448</v>
      </c>
      <c r="L245" s="1">
        <v>-12496</v>
      </c>
      <c r="M245">
        <v>-12496</v>
      </c>
      <c r="N245">
        <v>41.4</v>
      </c>
      <c r="O245">
        <v>9</v>
      </c>
      <c r="P245">
        <v>65535</v>
      </c>
      <c r="Q245">
        <v>7125</v>
      </c>
      <c r="R245">
        <v>-32767</v>
      </c>
      <c r="S245">
        <v>38.5</v>
      </c>
      <c r="T245">
        <v>14</v>
      </c>
      <c r="U245">
        <v>100</v>
      </c>
      <c r="V245">
        <v>34800</v>
      </c>
      <c r="W245">
        <v>5000</v>
      </c>
      <c r="X245" t="s">
        <v>823</v>
      </c>
      <c r="Y245" t="s">
        <v>830</v>
      </c>
      <c r="Z245" t="s">
        <v>828</v>
      </c>
      <c r="AA245">
        <v>6</v>
      </c>
      <c r="AB245">
        <v>6</v>
      </c>
      <c r="AC245">
        <v>76</v>
      </c>
      <c r="AD245">
        <v>4</v>
      </c>
      <c r="AE245">
        <v>1975</v>
      </c>
      <c r="AF245">
        <v>5024</v>
      </c>
      <c r="AG245">
        <v>338</v>
      </c>
      <c r="AH245">
        <v>3045</v>
      </c>
      <c r="AI245">
        <v>5</v>
      </c>
      <c r="AJ245">
        <v>87</v>
      </c>
      <c r="AK245">
        <v>1648</v>
      </c>
      <c r="AL245">
        <v>2526</v>
      </c>
      <c r="AM245">
        <v>12</v>
      </c>
      <c r="AN245">
        <v>901</v>
      </c>
      <c r="AO245" t="s">
        <v>826</v>
      </c>
    </row>
    <row r="246" spans="1:41">
      <c r="A246">
        <v>238</v>
      </c>
      <c r="B246" s="2">
        <v>45296.6192013889</v>
      </c>
      <c r="C246">
        <v>348.152</v>
      </c>
      <c r="D246" t="s">
        <v>821</v>
      </c>
      <c r="E246" t="s">
        <v>822</v>
      </c>
      <c r="F246">
        <v>40</v>
      </c>
      <c r="G246">
        <f t="shared" si="3"/>
        <v>0</v>
      </c>
      <c r="H246">
        <v>1</v>
      </c>
      <c r="I246">
        <v>1968</v>
      </c>
      <c r="J246">
        <v>5024</v>
      </c>
      <c r="K246">
        <v>28440</v>
      </c>
      <c r="L246" s="1">
        <v>-12496</v>
      </c>
      <c r="M246">
        <v>-12496</v>
      </c>
      <c r="N246">
        <v>41.5</v>
      </c>
      <c r="O246">
        <v>9</v>
      </c>
      <c r="P246">
        <v>65535</v>
      </c>
      <c r="Q246">
        <v>7090</v>
      </c>
      <c r="R246">
        <v>-32767</v>
      </c>
      <c r="S246">
        <v>38.5</v>
      </c>
      <c r="T246">
        <v>14</v>
      </c>
      <c r="U246">
        <v>100</v>
      </c>
      <c r="V246">
        <v>34800</v>
      </c>
      <c r="W246">
        <v>5000</v>
      </c>
      <c r="X246" t="s">
        <v>823</v>
      </c>
      <c r="Y246" t="s">
        <v>830</v>
      </c>
      <c r="Z246" t="s">
        <v>828</v>
      </c>
      <c r="AA246">
        <v>6</v>
      </c>
      <c r="AB246">
        <v>6</v>
      </c>
      <c r="AC246">
        <v>76</v>
      </c>
      <c r="AD246">
        <v>4</v>
      </c>
      <c r="AE246">
        <v>1968</v>
      </c>
      <c r="AF246">
        <v>5024</v>
      </c>
      <c r="AG246">
        <v>340</v>
      </c>
      <c r="AH246">
        <v>3052</v>
      </c>
      <c r="AI246">
        <v>5</v>
      </c>
      <c r="AJ246">
        <v>87</v>
      </c>
      <c r="AK246">
        <v>1648</v>
      </c>
      <c r="AL246">
        <v>2533</v>
      </c>
      <c r="AM246">
        <v>12</v>
      </c>
      <c r="AN246">
        <v>914</v>
      </c>
      <c r="AO246" t="s">
        <v>826</v>
      </c>
    </row>
    <row r="247" spans="1:41">
      <c r="A247">
        <v>239</v>
      </c>
      <c r="B247" s="2">
        <v>45296.619212963</v>
      </c>
      <c r="C247">
        <v>349.103</v>
      </c>
      <c r="D247" t="s">
        <v>821</v>
      </c>
      <c r="E247" t="s">
        <v>822</v>
      </c>
      <c r="F247">
        <v>40</v>
      </c>
      <c r="G247">
        <f t="shared" si="3"/>
        <v>0</v>
      </c>
      <c r="H247">
        <v>1</v>
      </c>
      <c r="I247">
        <v>1964</v>
      </c>
      <c r="J247">
        <v>5024</v>
      </c>
      <c r="K247">
        <v>28432</v>
      </c>
      <c r="L247" s="1">
        <v>-12496</v>
      </c>
      <c r="M247">
        <v>-12496</v>
      </c>
      <c r="N247">
        <v>41.5</v>
      </c>
      <c r="O247">
        <v>9</v>
      </c>
      <c r="P247">
        <v>65535</v>
      </c>
      <c r="Q247">
        <v>7076</v>
      </c>
      <c r="R247">
        <v>-32767</v>
      </c>
      <c r="S247">
        <v>38.5</v>
      </c>
      <c r="T247">
        <v>14</v>
      </c>
      <c r="U247">
        <v>100</v>
      </c>
      <c r="V247">
        <v>34800</v>
      </c>
      <c r="W247">
        <v>5000</v>
      </c>
      <c r="X247" t="s">
        <v>823</v>
      </c>
      <c r="Y247" t="s">
        <v>830</v>
      </c>
      <c r="Z247" t="s">
        <v>828</v>
      </c>
      <c r="AA247">
        <v>6</v>
      </c>
      <c r="AB247">
        <v>6</v>
      </c>
      <c r="AC247">
        <v>76</v>
      </c>
      <c r="AD247">
        <v>4</v>
      </c>
      <c r="AE247">
        <v>1964</v>
      </c>
      <c r="AF247">
        <v>5024</v>
      </c>
      <c r="AG247">
        <v>341</v>
      </c>
      <c r="AH247">
        <v>3056</v>
      </c>
      <c r="AI247">
        <v>5</v>
      </c>
      <c r="AJ247">
        <v>87</v>
      </c>
      <c r="AK247">
        <v>1648</v>
      </c>
      <c r="AL247">
        <v>2537</v>
      </c>
      <c r="AM247">
        <v>12</v>
      </c>
      <c r="AN247">
        <v>920</v>
      </c>
      <c r="AO247" t="s">
        <v>826</v>
      </c>
    </row>
    <row r="248" spans="1:41">
      <c r="A248">
        <v>240</v>
      </c>
      <c r="B248" s="2">
        <v>45296.619224537</v>
      </c>
      <c r="C248">
        <v>350.073</v>
      </c>
      <c r="D248" t="s">
        <v>821</v>
      </c>
      <c r="E248" t="s">
        <v>822</v>
      </c>
      <c r="F248">
        <v>40</v>
      </c>
      <c r="G248">
        <f t="shared" si="3"/>
        <v>0</v>
      </c>
      <c r="H248">
        <v>1</v>
      </c>
      <c r="I248">
        <v>1961</v>
      </c>
      <c r="J248">
        <v>5024</v>
      </c>
      <c r="K248">
        <v>28432</v>
      </c>
      <c r="L248" s="1">
        <v>-12495</v>
      </c>
      <c r="M248">
        <v>-12496</v>
      </c>
      <c r="N248">
        <v>41.5</v>
      </c>
      <c r="O248">
        <v>9</v>
      </c>
      <c r="P248">
        <v>65535</v>
      </c>
      <c r="Q248">
        <v>7065</v>
      </c>
      <c r="R248">
        <v>-32767</v>
      </c>
      <c r="S248">
        <v>38.5</v>
      </c>
      <c r="T248">
        <v>14</v>
      </c>
      <c r="U248">
        <v>100</v>
      </c>
      <c r="V248">
        <v>34800</v>
      </c>
      <c r="W248">
        <v>5000</v>
      </c>
      <c r="X248" t="s">
        <v>823</v>
      </c>
      <c r="Y248" t="s">
        <v>830</v>
      </c>
      <c r="Z248" t="s">
        <v>828</v>
      </c>
      <c r="AA248">
        <v>6</v>
      </c>
      <c r="AB248">
        <v>6</v>
      </c>
      <c r="AC248">
        <v>76</v>
      </c>
      <c r="AD248">
        <v>4</v>
      </c>
      <c r="AE248">
        <v>1961</v>
      </c>
      <c r="AF248">
        <v>5024</v>
      </c>
      <c r="AG248">
        <v>342</v>
      </c>
      <c r="AH248">
        <v>3059</v>
      </c>
      <c r="AI248">
        <v>5</v>
      </c>
      <c r="AJ248">
        <v>87</v>
      </c>
      <c r="AK248">
        <v>1648</v>
      </c>
      <c r="AL248">
        <v>2540</v>
      </c>
      <c r="AM248">
        <v>12</v>
      </c>
      <c r="AN248">
        <v>902</v>
      </c>
      <c r="AO248" t="s">
        <v>826</v>
      </c>
    </row>
    <row r="249" spans="1:41">
      <c r="A249">
        <v>241</v>
      </c>
      <c r="B249" s="2">
        <v>45296.6192476852</v>
      </c>
      <c r="C249">
        <v>352.425</v>
      </c>
      <c r="D249" t="s">
        <v>821</v>
      </c>
      <c r="E249" t="s">
        <v>822</v>
      </c>
      <c r="F249">
        <v>39</v>
      </c>
      <c r="G249">
        <f t="shared" si="3"/>
        <v>1</v>
      </c>
      <c r="H249">
        <v>1</v>
      </c>
      <c r="I249">
        <v>1954</v>
      </c>
      <c r="J249">
        <v>5024</v>
      </c>
      <c r="K249">
        <v>28424</v>
      </c>
      <c r="L249" s="1">
        <v>-12495</v>
      </c>
      <c r="M249">
        <v>-12496</v>
      </c>
      <c r="N249">
        <v>41.5</v>
      </c>
      <c r="O249">
        <v>9</v>
      </c>
      <c r="P249">
        <v>65535</v>
      </c>
      <c r="Q249">
        <v>7040</v>
      </c>
      <c r="R249">
        <v>-32767</v>
      </c>
      <c r="S249">
        <v>38.5</v>
      </c>
      <c r="T249">
        <v>14</v>
      </c>
      <c r="U249">
        <v>100</v>
      </c>
      <c r="V249">
        <v>34800</v>
      </c>
      <c r="W249">
        <v>5000</v>
      </c>
      <c r="X249" t="s">
        <v>823</v>
      </c>
      <c r="Y249" t="s">
        <v>830</v>
      </c>
      <c r="Z249" t="s">
        <v>828</v>
      </c>
      <c r="AA249">
        <v>6</v>
      </c>
      <c r="AB249">
        <v>6</v>
      </c>
      <c r="AC249">
        <v>76</v>
      </c>
      <c r="AD249">
        <v>4</v>
      </c>
      <c r="AE249">
        <v>1954</v>
      </c>
      <c r="AF249">
        <v>5024</v>
      </c>
      <c r="AG249">
        <v>344</v>
      </c>
      <c r="AH249">
        <v>3066</v>
      </c>
      <c r="AI249">
        <v>5</v>
      </c>
      <c r="AJ249">
        <v>87</v>
      </c>
      <c r="AK249">
        <v>1648</v>
      </c>
      <c r="AL249">
        <v>2547</v>
      </c>
      <c r="AM249">
        <v>12</v>
      </c>
      <c r="AN249">
        <v>906</v>
      </c>
      <c r="AO249" t="s">
        <v>826</v>
      </c>
    </row>
    <row r="250" spans="1:41">
      <c r="A250">
        <v>242</v>
      </c>
      <c r="B250" s="2">
        <v>45296.6192592593</v>
      </c>
      <c r="C250">
        <v>353.374</v>
      </c>
      <c r="D250" t="s">
        <v>821</v>
      </c>
      <c r="E250" t="s">
        <v>822</v>
      </c>
      <c r="F250">
        <v>39</v>
      </c>
      <c r="G250">
        <f t="shared" si="3"/>
        <v>0</v>
      </c>
      <c r="H250">
        <v>1</v>
      </c>
      <c r="I250">
        <v>1950</v>
      </c>
      <c r="J250">
        <v>5024</v>
      </c>
      <c r="K250">
        <v>28424</v>
      </c>
      <c r="L250" s="1">
        <v>-12496</v>
      </c>
      <c r="M250">
        <v>-12496</v>
      </c>
      <c r="N250">
        <v>41.6</v>
      </c>
      <c r="O250">
        <v>9</v>
      </c>
      <c r="P250">
        <v>65535</v>
      </c>
      <c r="Q250">
        <v>7026</v>
      </c>
      <c r="R250">
        <v>-32767</v>
      </c>
      <c r="S250">
        <v>38.5</v>
      </c>
      <c r="T250">
        <v>14</v>
      </c>
      <c r="U250">
        <v>100</v>
      </c>
      <c r="V250">
        <v>34800</v>
      </c>
      <c r="W250">
        <v>5000</v>
      </c>
      <c r="X250" t="s">
        <v>823</v>
      </c>
      <c r="Y250" t="s">
        <v>830</v>
      </c>
      <c r="Z250" t="s">
        <v>828</v>
      </c>
      <c r="AA250">
        <v>6</v>
      </c>
      <c r="AB250">
        <v>6</v>
      </c>
      <c r="AC250">
        <v>76</v>
      </c>
      <c r="AD250">
        <v>4</v>
      </c>
      <c r="AE250">
        <v>1950</v>
      </c>
      <c r="AF250">
        <v>5024</v>
      </c>
      <c r="AG250">
        <v>345</v>
      </c>
      <c r="AH250">
        <v>3070</v>
      </c>
      <c r="AI250">
        <v>5</v>
      </c>
      <c r="AJ250">
        <v>87</v>
      </c>
      <c r="AK250">
        <v>1648</v>
      </c>
      <c r="AL250">
        <v>2551</v>
      </c>
      <c r="AM250">
        <v>12</v>
      </c>
      <c r="AN250">
        <v>912</v>
      </c>
      <c r="AO250" t="s">
        <v>826</v>
      </c>
    </row>
    <row r="251" spans="1:41">
      <c r="A251">
        <v>243</v>
      </c>
      <c r="B251" s="2">
        <v>45296.6192824074</v>
      </c>
      <c r="C251">
        <v>355.734</v>
      </c>
      <c r="D251" t="s">
        <v>821</v>
      </c>
      <c r="E251" t="s">
        <v>822</v>
      </c>
      <c r="F251">
        <v>39</v>
      </c>
      <c r="G251">
        <f t="shared" si="3"/>
        <v>0</v>
      </c>
      <c r="H251">
        <v>1</v>
      </c>
      <c r="I251">
        <v>1943</v>
      </c>
      <c r="J251">
        <v>5024</v>
      </c>
      <c r="K251">
        <v>28416</v>
      </c>
      <c r="L251" s="1">
        <v>-12495</v>
      </c>
      <c r="M251">
        <v>-12496</v>
      </c>
      <c r="N251">
        <v>41.6</v>
      </c>
      <c r="O251">
        <v>9</v>
      </c>
      <c r="P251">
        <v>65535</v>
      </c>
      <c r="Q251">
        <v>7001</v>
      </c>
      <c r="R251">
        <v>-32767</v>
      </c>
      <c r="S251">
        <v>38.5</v>
      </c>
      <c r="T251">
        <v>14</v>
      </c>
      <c r="U251">
        <v>100</v>
      </c>
      <c r="V251">
        <v>34800</v>
      </c>
      <c r="W251">
        <v>5000</v>
      </c>
      <c r="X251" t="s">
        <v>823</v>
      </c>
      <c r="Y251" t="s">
        <v>830</v>
      </c>
      <c r="Z251" t="s">
        <v>828</v>
      </c>
      <c r="AA251">
        <v>6</v>
      </c>
      <c r="AB251">
        <v>6</v>
      </c>
      <c r="AC251">
        <v>76</v>
      </c>
      <c r="AD251">
        <v>4</v>
      </c>
      <c r="AE251">
        <v>1940</v>
      </c>
      <c r="AF251">
        <v>5024</v>
      </c>
      <c r="AG251">
        <v>348</v>
      </c>
      <c r="AH251">
        <v>3080</v>
      </c>
      <c r="AI251">
        <v>5</v>
      </c>
      <c r="AJ251">
        <v>87</v>
      </c>
      <c r="AK251">
        <v>1648</v>
      </c>
      <c r="AL251">
        <v>2561</v>
      </c>
      <c r="AM251">
        <v>12</v>
      </c>
      <c r="AN251">
        <v>908</v>
      </c>
      <c r="AO251" t="s">
        <v>826</v>
      </c>
    </row>
    <row r="252" spans="1:41">
      <c r="A252">
        <v>244</v>
      </c>
      <c r="B252" s="2">
        <v>45296.6192939815</v>
      </c>
      <c r="C252">
        <v>356.684</v>
      </c>
      <c r="D252" t="s">
        <v>821</v>
      </c>
      <c r="E252" t="s">
        <v>822</v>
      </c>
      <c r="F252">
        <v>39</v>
      </c>
      <c r="G252">
        <f t="shared" si="3"/>
        <v>0</v>
      </c>
      <c r="H252">
        <v>1</v>
      </c>
      <c r="I252">
        <v>1940</v>
      </c>
      <c r="J252">
        <v>5024</v>
      </c>
      <c r="K252">
        <v>28416</v>
      </c>
      <c r="L252" s="1">
        <v>-12496</v>
      </c>
      <c r="M252">
        <v>-12496</v>
      </c>
      <c r="N252">
        <v>41.6</v>
      </c>
      <c r="O252">
        <v>9</v>
      </c>
      <c r="P252">
        <v>65535</v>
      </c>
      <c r="Q252">
        <v>6990</v>
      </c>
      <c r="R252">
        <v>-32767</v>
      </c>
      <c r="S252">
        <v>38.6</v>
      </c>
      <c r="T252">
        <v>14</v>
      </c>
      <c r="U252">
        <v>100</v>
      </c>
      <c r="V252">
        <v>34800</v>
      </c>
      <c r="W252">
        <v>5000</v>
      </c>
      <c r="X252" t="s">
        <v>823</v>
      </c>
      <c r="Y252" t="s">
        <v>830</v>
      </c>
      <c r="Z252" t="s">
        <v>828</v>
      </c>
      <c r="AA252">
        <v>6</v>
      </c>
      <c r="AB252">
        <v>6</v>
      </c>
      <c r="AC252">
        <v>76</v>
      </c>
      <c r="AD252">
        <v>4</v>
      </c>
      <c r="AE252">
        <v>1940</v>
      </c>
      <c r="AF252">
        <v>5024</v>
      </c>
      <c r="AG252">
        <v>349</v>
      </c>
      <c r="AH252">
        <v>3084</v>
      </c>
      <c r="AI252">
        <v>5</v>
      </c>
      <c r="AJ252">
        <v>87</v>
      </c>
      <c r="AK252">
        <v>1648</v>
      </c>
      <c r="AL252">
        <v>2565</v>
      </c>
      <c r="AM252">
        <v>12</v>
      </c>
      <c r="AN252">
        <v>900</v>
      </c>
      <c r="AO252" t="s">
        <v>826</v>
      </c>
    </row>
    <row r="253" spans="1:41">
      <c r="A253">
        <v>245</v>
      </c>
      <c r="B253" s="2">
        <v>45296.6193055556</v>
      </c>
      <c r="C253">
        <v>357.627</v>
      </c>
      <c r="D253" t="s">
        <v>821</v>
      </c>
      <c r="E253" t="s">
        <v>822</v>
      </c>
      <c r="F253">
        <v>39</v>
      </c>
      <c r="G253">
        <f t="shared" si="3"/>
        <v>0</v>
      </c>
      <c r="H253">
        <v>1</v>
      </c>
      <c r="I253">
        <v>1936</v>
      </c>
      <c r="J253">
        <v>5024</v>
      </c>
      <c r="K253">
        <v>28408</v>
      </c>
      <c r="L253" s="1">
        <v>-12495</v>
      </c>
      <c r="M253">
        <v>-12496</v>
      </c>
      <c r="N253">
        <v>41.7</v>
      </c>
      <c r="O253">
        <v>9</v>
      </c>
      <c r="P253">
        <v>65535</v>
      </c>
      <c r="Q253">
        <v>6976</v>
      </c>
      <c r="R253">
        <v>-32767</v>
      </c>
      <c r="S253">
        <v>38.6</v>
      </c>
      <c r="T253">
        <v>14</v>
      </c>
      <c r="U253">
        <v>100</v>
      </c>
      <c r="V253">
        <v>34800</v>
      </c>
      <c r="W253">
        <v>5000</v>
      </c>
      <c r="X253" t="s">
        <v>823</v>
      </c>
      <c r="Y253" t="s">
        <v>830</v>
      </c>
      <c r="Z253" t="s">
        <v>828</v>
      </c>
      <c r="AA253">
        <v>6</v>
      </c>
      <c r="AB253">
        <v>6</v>
      </c>
      <c r="AC253">
        <v>76</v>
      </c>
      <c r="AD253">
        <v>4</v>
      </c>
      <c r="AE253">
        <v>1936</v>
      </c>
      <c r="AF253">
        <v>5024</v>
      </c>
      <c r="AG253">
        <v>349</v>
      </c>
      <c r="AH253">
        <v>3084</v>
      </c>
      <c r="AI253">
        <v>5</v>
      </c>
      <c r="AJ253">
        <v>87</v>
      </c>
      <c r="AK253">
        <v>1648</v>
      </c>
      <c r="AL253">
        <v>2568</v>
      </c>
      <c r="AM253">
        <v>12</v>
      </c>
      <c r="AN253">
        <v>910</v>
      </c>
      <c r="AO253" t="s">
        <v>826</v>
      </c>
    </row>
    <row r="254" spans="1:41">
      <c r="A254">
        <v>246</v>
      </c>
      <c r="B254" s="2">
        <v>45296.6193402778</v>
      </c>
      <c r="C254">
        <v>359.983</v>
      </c>
      <c r="D254" t="s">
        <v>821</v>
      </c>
      <c r="E254" t="s">
        <v>822</v>
      </c>
      <c r="F254">
        <v>39</v>
      </c>
      <c r="G254">
        <f t="shared" si="3"/>
        <v>0</v>
      </c>
      <c r="H254">
        <v>1</v>
      </c>
      <c r="I254">
        <v>1929</v>
      </c>
      <c r="J254">
        <v>5024</v>
      </c>
      <c r="K254">
        <v>28400</v>
      </c>
      <c r="L254" s="1">
        <v>-12495</v>
      </c>
      <c r="M254">
        <v>-12496</v>
      </c>
      <c r="N254">
        <v>41.7</v>
      </c>
      <c r="O254">
        <v>9</v>
      </c>
      <c r="P254">
        <v>65535</v>
      </c>
      <c r="Q254">
        <v>6941</v>
      </c>
      <c r="R254">
        <v>-32767</v>
      </c>
      <c r="S254">
        <v>38.6</v>
      </c>
      <c r="T254">
        <v>14</v>
      </c>
      <c r="U254">
        <v>100</v>
      </c>
      <c r="V254">
        <v>34800</v>
      </c>
      <c r="W254">
        <v>5000</v>
      </c>
      <c r="X254" t="s">
        <v>823</v>
      </c>
      <c r="Y254" t="s">
        <v>830</v>
      </c>
      <c r="Z254" t="s">
        <v>828</v>
      </c>
      <c r="AA254">
        <v>6</v>
      </c>
      <c r="AB254">
        <v>6</v>
      </c>
      <c r="AC254">
        <v>76</v>
      </c>
      <c r="AD254">
        <v>4</v>
      </c>
      <c r="AE254">
        <v>1926</v>
      </c>
      <c r="AF254">
        <v>5024</v>
      </c>
      <c r="AG254">
        <v>352</v>
      </c>
      <c r="AH254">
        <v>3094</v>
      </c>
      <c r="AI254">
        <v>5</v>
      </c>
      <c r="AJ254">
        <v>87</v>
      </c>
      <c r="AK254">
        <v>1648</v>
      </c>
      <c r="AL254">
        <v>2575</v>
      </c>
      <c r="AM254">
        <v>12</v>
      </c>
      <c r="AN254">
        <v>911</v>
      </c>
      <c r="AO254" t="s">
        <v>826</v>
      </c>
    </row>
    <row r="255" spans="1:41">
      <c r="A255">
        <v>247</v>
      </c>
      <c r="B255" s="2">
        <v>45296.6193518518</v>
      </c>
      <c r="C255">
        <v>360.93</v>
      </c>
      <c r="D255" t="s">
        <v>821</v>
      </c>
      <c r="E255" t="s">
        <v>822</v>
      </c>
      <c r="F255">
        <v>39</v>
      </c>
      <c r="G255">
        <f t="shared" si="3"/>
        <v>0</v>
      </c>
      <c r="H255">
        <v>1</v>
      </c>
      <c r="I255">
        <v>1926</v>
      </c>
      <c r="J255">
        <v>5024</v>
      </c>
      <c r="K255">
        <v>28400</v>
      </c>
      <c r="L255" s="1">
        <v>-12496</v>
      </c>
      <c r="M255">
        <v>-12496</v>
      </c>
      <c r="N255">
        <v>41.7</v>
      </c>
      <c r="O255">
        <v>9</v>
      </c>
      <c r="P255">
        <v>65535</v>
      </c>
      <c r="Q255">
        <v>6927</v>
      </c>
      <c r="R255">
        <v>-32767</v>
      </c>
      <c r="S255">
        <v>38.6</v>
      </c>
      <c r="T255">
        <v>14</v>
      </c>
      <c r="U255">
        <v>100</v>
      </c>
      <c r="V255">
        <v>34800</v>
      </c>
      <c r="W255">
        <v>5000</v>
      </c>
      <c r="X255" t="s">
        <v>823</v>
      </c>
      <c r="Y255" t="s">
        <v>830</v>
      </c>
      <c r="Z255" t="s">
        <v>828</v>
      </c>
      <c r="AA255">
        <v>6</v>
      </c>
      <c r="AB255">
        <v>6</v>
      </c>
      <c r="AC255">
        <v>76</v>
      </c>
      <c r="AD255">
        <v>4</v>
      </c>
      <c r="AE255">
        <v>1922</v>
      </c>
      <c r="AF255">
        <v>5024</v>
      </c>
      <c r="AG255">
        <v>353</v>
      </c>
      <c r="AH255">
        <v>3098</v>
      </c>
      <c r="AI255">
        <v>5</v>
      </c>
      <c r="AJ255">
        <v>87</v>
      </c>
      <c r="AK255">
        <v>1648</v>
      </c>
      <c r="AL255">
        <v>2579</v>
      </c>
      <c r="AM255">
        <v>12</v>
      </c>
      <c r="AN255">
        <v>905</v>
      </c>
      <c r="AO255" t="s">
        <v>826</v>
      </c>
    </row>
    <row r="256" spans="1:41">
      <c r="A256">
        <v>248</v>
      </c>
      <c r="B256" s="2">
        <v>45296.6193518518</v>
      </c>
      <c r="C256">
        <v>361.871</v>
      </c>
      <c r="D256" t="s">
        <v>821</v>
      </c>
      <c r="E256" t="s">
        <v>822</v>
      </c>
      <c r="F256">
        <v>39</v>
      </c>
      <c r="G256">
        <f t="shared" si="3"/>
        <v>0</v>
      </c>
      <c r="H256">
        <v>1</v>
      </c>
      <c r="I256">
        <v>1922</v>
      </c>
      <c r="J256">
        <v>5024</v>
      </c>
      <c r="K256">
        <v>28400</v>
      </c>
      <c r="L256" s="1">
        <v>-12496</v>
      </c>
      <c r="M256">
        <v>-12496</v>
      </c>
      <c r="N256">
        <v>41.7</v>
      </c>
      <c r="O256">
        <v>9</v>
      </c>
      <c r="P256">
        <v>65535</v>
      </c>
      <c r="Q256">
        <v>6927</v>
      </c>
      <c r="R256">
        <v>-32767</v>
      </c>
      <c r="S256">
        <v>38.6</v>
      </c>
      <c r="T256">
        <v>14</v>
      </c>
      <c r="U256">
        <v>100</v>
      </c>
      <c r="V256">
        <v>34800</v>
      </c>
      <c r="W256">
        <v>5000</v>
      </c>
      <c r="X256" t="s">
        <v>823</v>
      </c>
      <c r="Y256" t="s">
        <v>830</v>
      </c>
      <c r="Z256" t="s">
        <v>828</v>
      </c>
      <c r="AA256">
        <v>6</v>
      </c>
      <c r="AB256">
        <v>6</v>
      </c>
      <c r="AC256">
        <v>76</v>
      </c>
      <c r="AD256">
        <v>4</v>
      </c>
      <c r="AE256">
        <v>1919</v>
      </c>
      <c r="AF256">
        <v>5024</v>
      </c>
      <c r="AG256">
        <v>354</v>
      </c>
      <c r="AH256">
        <v>3101</v>
      </c>
      <c r="AI256">
        <v>5</v>
      </c>
      <c r="AJ256">
        <v>87</v>
      </c>
      <c r="AK256">
        <v>1648</v>
      </c>
      <c r="AL256">
        <v>2582</v>
      </c>
      <c r="AM256">
        <v>12</v>
      </c>
      <c r="AN256">
        <v>900</v>
      </c>
      <c r="AO256" t="s">
        <v>826</v>
      </c>
    </row>
    <row r="257" spans="1:41">
      <c r="A257">
        <v>249</v>
      </c>
      <c r="B257" s="2">
        <v>45296.6193865741</v>
      </c>
      <c r="C257">
        <v>364.216</v>
      </c>
      <c r="D257" t="s">
        <v>821</v>
      </c>
      <c r="E257" t="s">
        <v>822</v>
      </c>
      <c r="F257">
        <v>39</v>
      </c>
      <c r="G257">
        <f t="shared" si="3"/>
        <v>0</v>
      </c>
      <c r="H257">
        <v>1</v>
      </c>
      <c r="I257">
        <v>1912</v>
      </c>
      <c r="J257">
        <v>5024</v>
      </c>
      <c r="K257">
        <v>28392</v>
      </c>
      <c r="L257" s="1">
        <v>-12496</v>
      </c>
      <c r="M257">
        <v>-12496</v>
      </c>
      <c r="N257">
        <v>41.8</v>
      </c>
      <c r="O257">
        <v>9</v>
      </c>
      <c r="P257">
        <v>65535</v>
      </c>
      <c r="Q257">
        <v>6891</v>
      </c>
      <c r="R257">
        <v>-32767</v>
      </c>
      <c r="S257">
        <v>38.6</v>
      </c>
      <c r="T257">
        <v>14</v>
      </c>
      <c r="U257">
        <v>100</v>
      </c>
      <c r="V257">
        <v>34800</v>
      </c>
      <c r="W257">
        <v>5000</v>
      </c>
      <c r="X257" t="s">
        <v>823</v>
      </c>
      <c r="Y257" t="s">
        <v>830</v>
      </c>
      <c r="Z257" t="s">
        <v>828</v>
      </c>
      <c r="AA257">
        <v>6</v>
      </c>
      <c r="AB257">
        <v>6</v>
      </c>
      <c r="AC257">
        <v>76</v>
      </c>
      <c r="AD257">
        <v>4</v>
      </c>
      <c r="AE257">
        <v>1912</v>
      </c>
      <c r="AF257">
        <v>5024</v>
      </c>
      <c r="AG257">
        <v>356</v>
      </c>
      <c r="AH257">
        <v>3108</v>
      </c>
      <c r="AI257">
        <v>5</v>
      </c>
      <c r="AJ257">
        <v>87</v>
      </c>
      <c r="AK257">
        <v>1648</v>
      </c>
      <c r="AL257">
        <v>2589</v>
      </c>
      <c r="AM257">
        <v>12</v>
      </c>
      <c r="AN257">
        <v>913</v>
      </c>
      <c r="AO257" t="s">
        <v>826</v>
      </c>
    </row>
    <row r="258" spans="1:41">
      <c r="A258">
        <v>250</v>
      </c>
      <c r="B258" s="2">
        <v>45296.6193981481</v>
      </c>
      <c r="C258">
        <v>365.166</v>
      </c>
      <c r="D258" t="s">
        <v>821</v>
      </c>
      <c r="E258" t="s">
        <v>822</v>
      </c>
      <c r="F258">
        <v>38</v>
      </c>
      <c r="G258">
        <f t="shared" si="3"/>
        <v>1</v>
      </c>
      <c r="H258">
        <v>1</v>
      </c>
      <c r="I258">
        <v>1909</v>
      </c>
      <c r="J258">
        <v>5024</v>
      </c>
      <c r="K258">
        <v>28384</v>
      </c>
      <c r="L258" s="1">
        <v>-12495</v>
      </c>
      <c r="M258">
        <v>-12496</v>
      </c>
      <c r="N258">
        <v>41.8</v>
      </c>
      <c r="O258">
        <v>9</v>
      </c>
      <c r="P258">
        <v>65535</v>
      </c>
      <c r="Q258">
        <v>6880</v>
      </c>
      <c r="R258">
        <v>-32767</v>
      </c>
      <c r="S258">
        <v>38.6</v>
      </c>
      <c r="T258">
        <v>14</v>
      </c>
      <c r="U258">
        <v>100</v>
      </c>
      <c r="V258">
        <v>34800</v>
      </c>
      <c r="W258">
        <v>5000</v>
      </c>
      <c r="X258" t="s">
        <v>823</v>
      </c>
      <c r="Y258" t="s">
        <v>830</v>
      </c>
      <c r="Z258" t="s">
        <v>828</v>
      </c>
      <c r="AA258">
        <v>6</v>
      </c>
      <c r="AB258">
        <v>6</v>
      </c>
      <c r="AC258">
        <v>76</v>
      </c>
      <c r="AD258">
        <v>4</v>
      </c>
      <c r="AE258">
        <v>1909</v>
      </c>
      <c r="AF258">
        <v>5024</v>
      </c>
      <c r="AG258">
        <v>357</v>
      </c>
      <c r="AH258">
        <v>3111</v>
      </c>
      <c r="AI258">
        <v>5</v>
      </c>
      <c r="AJ258">
        <v>87</v>
      </c>
      <c r="AK258">
        <v>1648</v>
      </c>
      <c r="AL258">
        <v>2592</v>
      </c>
      <c r="AM258">
        <v>12</v>
      </c>
      <c r="AN258">
        <v>900</v>
      </c>
      <c r="AO258" t="s">
        <v>826</v>
      </c>
    </row>
    <row r="259" spans="1:41">
      <c r="A259">
        <v>251</v>
      </c>
      <c r="B259" s="2">
        <v>45296.6194097222</v>
      </c>
      <c r="C259">
        <v>366.137</v>
      </c>
      <c r="D259" t="s">
        <v>821</v>
      </c>
      <c r="E259" t="s">
        <v>822</v>
      </c>
      <c r="F259">
        <v>38</v>
      </c>
      <c r="G259">
        <f t="shared" si="3"/>
        <v>0</v>
      </c>
      <c r="H259">
        <v>1</v>
      </c>
      <c r="I259">
        <v>1905</v>
      </c>
      <c r="J259">
        <v>5024</v>
      </c>
      <c r="K259">
        <v>28384</v>
      </c>
      <c r="L259" s="1">
        <v>-12496</v>
      </c>
      <c r="M259">
        <v>-12496</v>
      </c>
      <c r="N259">
        <v>41.8</v>
      </c>
      <c r="O259">
        <v>9</v>
      </c>
      <c r="P259">
        <v>65535</v>
      </c>
      <c r="Q259">
        <v>6866</v>
      </c>
      <c r="R259">
        <v>-32767</v>
      </c>
      <c r="S259">
        <v>38.6</v>
      </c>
      <c r="T259">
        <v>14</v>
      </c>
      <c r="U259">
        <v>100</v>
      </c>
      <c r="V259">
        <v>34800</v>
      </c>
      <c r="W259">
        <v>5000</v>
      </c>
      <c r="X259" t="s">
        <v>823</v>
      </c>
      <c r="Y259" t="s">
        <v>830</v>
      </c>
      <c r="Z259" t="s">
        <v>828</v>
      </c>
      <c r="AA259">
        <v>6</v>
      </c>
      <c r="AB259">
        <v>6</v>
      </c>
      <c r="AC259">
        <v>76</v>
      </c>
      <c r="AD259">
        <v>4</v>
      </c>
      <c r="AE259">
        <v>1905</v>
      </c>
      <c r="AF259">
        <v>5024</v>
      </c>
      <c r="AG259">
        <v>358</v>
      </c>
      <c r="AH259">
        <v>3115</v>
      </c>
      <c r="AI259">
        <v>5</v>
      </c>
      <c r="AJ259">
        <v>87</v>
      </c>
      <c r="AK259">
        <v>1648</v>
      </c>
      <c r="AL259">
        <v>2596</v>
      </c>
      <c r="AM259">
        <v>12</v>
      </c>
      <c r="AN259">
        <v>902</v>
      </c>
      <c r="AO259" t="s">
        <v>826</v>
      </c>
    </row>
    <row r="260" spans="1:41">
      <c r="A260">
        <v>252</v>
      </c>
      <c r="B260" s="2">
        <v>45296.6194328704</v>
      </c>
      <c r="C260">
        <v>368.484</v>
      </c>
      <c r="D260" t="s">
        <v>821</v>
      </c>
      <c r="E260" t="s">
        <v>822</v>
      </c>
      <c r="F260">
        <v>38</v>
      </c>
      <c r="G260">
        <f t="shared" si="3"/>
        <v>0</v>
      </c>
      <c r="H260">
        <v>1</v>
      </c>
      <c r="I260">
        <v>1898</v>
      </c>
      <c r="J260">
        <v>5024</v>
      </c>
      <c r="K260">
        <v>28376</v>
      </c>
      <c r="L260" s="1">
        <v>-12495</v>
      </c>
      <c r="M260">
        <v>-12496</v>
      </c>
      <c r="N260">
        <v>41.8</v>
      </c>
      <c r="O260">
        <v>9</v>
      </c>
      <c r="P260">
        <v>65535</v>
      </c>
      <c r="Q260">
        <v>6841</v>
      </c>
      <c r="R260">
        <v>-32767</v>
      </c>
      <c r="S260">
        <v>38.6</v>
      </c>
      <c r="T260">
        <v>14</v>
      </c>
      <c r="U260">
        <v>100</v>
      </c>
      <c r="V260">
        <v>34800</v>
      </c>
      <c r="W260">
        <v>5000</v>
      </c>
      <c r="X260" t="s">
        <v>823</v>
      </c>
      <c r="Y260" t="s">
        <v>830</v>
      </c>
      <c r="Z260" t="s">
        <v>828</v>
      </c>
      <c r="AA260">
        <v>6</v>
      </c>
      <c r="AB260">
        <v>6</v>
      </c>
      <c r="AC260">
        <v>76</v>
      </c>
      <c r="AD260">
        <v>4</v>
      </c>
      <c r="AE260">
        <v>1898</v>
      </c>
      <c r="AF260">
        <v>5024</v>
      </c>
      <c r="AG260">
        <v>360</v>
      </c>
      <c r="AH260">
        <v>3122</v>
      </c>
      <c r="AI260">
        <v>5</v>
      </c>
      <c r="AJ260">
        <v>87</v>
      </c>
      <c r="AK260">
        <v>1648</v>
      </c>
      <c r="AL260">
        <v>2603</v>
      </c>
      <c r="AM260">
        <v>12</v>
      </c>
      <c r="AN260">
        <v>908</v>
      </c>
      <c r="AO260" t="s">
        <v>826</v>
      </c>
    </row>
    <row r="261" spans="1:41">
      <c r="A261">
        <v>253</v>
      </c>
      <c r="B261" s="2">
        <v>45296.6194444444</v>
      </c>
      <c r="C261">
        <v>369.435</v>
      </c>
      <c r="D261" t="s">
        <v>821</v>
      </c>
      <c r="E261" t="s">
        <v>822</v>
      </c>
      <c r="F261">
        <v>38</v>
      </c>
      <c r="G261">
        <f t="shared" si="3"/>
        <v>0</v>
      </c>
      <c r="H261">
        <v>1</v>
      </c>
      <c r="I261">
        <v>1895</v>
      </c>
      <c r="J261">
        <v>5024</v>
      </c>
      <c r="K261">
        <v>28376</v>
      </c>
      <c r="L261" s="1">
        <v>-12496</v>
      </c>
      <c r="M261">
        <v>-12496</v>
      </c>
      <c r="N261">
        <v>41.9</v>
      </c>
      <c r="O261">
        <v>9</v>
      </c>
      <c r="P261">
        <v>65535</v>
      </c>
      <c r="Q261">
        <v>6831</v>
      </c>
      <c r="R261">
        <v>-32767</v>
      </c>
      <c r="S261">
        <v>38.6</v>
      </c>
      <c r="T261">
        <v>14</v>
      </c>
      <c r="U261">
        <v>100</v>
      </c>
      <c r="V261">
        <v>34800</v>
      </c>
      <c r="W261">
        <v>5000</v>
      </c>
      <c r="X261" t="s">
        <v>823</v>
      </c>
      <c r="Y261" t="s">
        <v>830</v>
      </c>
      <c r="Z261" t="s">
        <v>828</v>
      </c>
      <c r="AA261">
        <v>6</v>
      </c>
      <c r="AB261">
        <v>6</v>
      </c>
      <c r="AC261">
        <v>76</v>
      </c>
      <c r="AD261">
        <v>4</v>
      </c>
      <c r="AE261">
        <v>1895</v>
      </c>
      <c r="AF261">
        <v>5024</v>
      </c>
      <c r="AG261">
        <v>361</v>
      </c>
      <c r="AH261">
        <v>3125</v>
      </c>
      <c r="AI261">
        <v>5</v>
      </c>
      <c r="AJ261">
        <v>87</v>
      </c>
      <c r="AK261">
        <v>1648</v>
      </c>
      <c r="AL261">
        <v>2606</v>
      </c>
      <c r="AM261">
        <v>12</v>
      </c>
      <c r="AN261">
        <v>898</v>
      </c>
      <c r="AO261" t="s">
        <v>826</v>
      </c>
    </row>
    <row r="262" spans="1:41">
      <c r="A262">
        <v>254</v>
      </c>
      <c r="B262" s="2">
        <v>45296.6194675926</v>
      </c>
      <c r="C262">
        <v>371.795</v>
      </c>
      <c r="D262" t="s">
        <v>821</v>
      </c>
      <c r="E262" t="s">
        <v>822</v>
      </c>
      <c r="F262">
        <v>38</v>
      </c>
      <c r="G262">
        <f t="shared" si="3"/>
        <v>0</v>
      </c>
      <c r="H262">
        <v>1</v>
      </c>
      <c r="I262">
        <v>1888</v>
      </c>
      <c r="J262">
        <v>5024</v>
      </c>
      <c r="K262">
        <v>28368</v>
      </c>
      <c r="L262" s="1">
        <v>-12496</v>
      </c>
      <c r="M262">
        <v>-12496</v>
      </c>
      <c r="N262">
        <v>41.9</v>
      </c>
      <c r="O262">
        <v>9</v>
      </c>
      <c r="P262">
        <v>65535</v>
      </c>
      <c r="Q262">
        <v>6806</v>
      </c>
      <c r="R262">
        <v>-32767</v>
      </c>
      <c r="S262">
        <v>38.7</v>
      </c>
      <c r="T262">
        <v>14</v>
      </c>
      <c r="U262">
        <v>100</v>
      </c>
      <c r="V262">
        <v>34800</v>
      </c>
      <c r="W262">
        <v>5000</v>
      </c>
      <c r="X262" t="s">
        <v>823</v>
      </c>
      <c r="Y262" t="s">
        <v>830</v>
      </c>
      <c r="Z262" t="s">
        <v>828</v>
      </c>
      <c r="AA262">
        <v>6</v>
      </c>
      <c r="AB262">
        <v>6</v>
      </c>
      <c r="AC262">
        <v>76</v>
      </c>
      <c r="AD262">
        <v>4</v>
      </c>
      <c r="AE262">
        <v>1884</v>
      </c>
      <c r="AF262">
        <v>5024</v>
      </c>
      <c r="AG262">
        <v>364</v>
      </c>
      <c r="AH262">
        <v>3136</v>
      </c>
      <c r="AI262">
        <v>5</v>
      </c>
      <c r="AJ262">
        <v>87</v>
      </c>
      <c r="AK262">
        <v>1648</v>
      </c>
      <c r="AL262">
        <v>2617</v>
      </c>
      <c r="AM262">
        <v>12</v>
      </c>
      <c r="AN262">
        <v>926</v>
      </c>
      <c r="AO262" t="s">
        <v>826</v>
      </c>
    </row>
    <row r="263" spans="1:41">
      <c r="A263">
        <v>255</v>
      </c>
      <c r="B263" s="2">
        <v>45296.6194791667</v>
      </c>
      <c r="C263">
        <v>372.762</v>
      </c>
      <c r="D263" t="s">
        <v>821</v>
      </c>
      <c r="E263" t="s">
        <v>822</v>
      </c>
      <c r="F263">
        <v>38</v>
      </c>
      <c r="G263">
        <f t="shared" si="3"/>
        <v>0</v>
      </c>
      <c r="H263">
        <v>1</v>
      </c>
      <c r="I263">
        <v>1884</v>
      </c>
      <c r="J263">
        <v>5024</v>
      </c>
      <c r="K263">
        <v>28368</v>
      </c>
      <c r="L263" s="1">
        <v>-12496</v>
      </c>
      <c r="M263">
        <v>-12496</v>
      </c>
      <c r="N263">
        <v>41.9</v>
      </c>
      <c r="O263">
        <v>9</v>
      </c>
      <c r="P263">
        <v>65535</v>
      </c>
      <c r="Q263">
        <v>6792</v>
      </c>
      <c r="R263">
        <v>-32767</v>
      </c>
      <c r="S263">
        <v>38.7</v>
      </c>
      <c r="T263">
        <v>14</v>
      </c>
      <c r="U263">
        <v>100</v>
      </c>
      <c r="V263">
        <v>34800</v>
      </c>
      <c r="W263">
        <v>5000</v>
      </c>
      <c r="X263" t="s">
        <v>823</v>
      </c>
      <c r="Y263" t="s">
        <v>830</v>
      </c>
      <c r="Z263" t="s">
        <v>828</v>
      </c>
      <c r="AA263">
        <v>6</v>
      </c>
      <c r="AB263">
        <v>6</v>
      </c>
      <c r="AC263">
        <v>76</v>
      </c>
      <c r="AD263">
        <v>4</v>
      </c>
      <c r="AE263">
        <v>1881</v>
      </c>
      <c r="AF263">
        <v>5024</v>
      </c>
      <c r="AG263">
        <v>365</v>
      </c>
      <c r="AH263">
        <v>3139</v>
      </c>
      <c r="AI263">
        <v>5</v>
      </c>
      <c r="AJ263">
        <v>87</v>
      </c>
      <c r="AK263">
        <v>1648</v>
      </c>
      <c r="AL263">
        <v>2620</v>
      </c>
      <c r="AM263">
        <v>12</v>
      </c>
      <c r="AN263">
        <v>901</v>
      </c>
      <c r="AO263" t="s">
        <v>826</v>
      </c>
    </row>
    <row r="264" spans="1:41">
      <c r="A264">
        <v>256</v>
      </c>
      <c r="B264" s="2">
        <v>45296.6194907407</v>
      </c>
      <c r="C264">
        <v>373.698</v>
      </c>
      <c r="D264" t="s">
        <v>821</v>
      </c>
      <c r="E264" t="s">
        <v>822</v>
      </c>
      <c r="F264">
        <v>38</v>
      </c>
      <c r="G264">
        <f t="shared" si="3"/>
        <v>0</v>
      </c>
      <c r="H264">
        <v>1</v>
      </c>
      <c r="I264">
        <v>1881</v>
      </c>
      <c r="J264">
        <v>5024</v>
      </c>
      <c r="K264">
        <v>28360</v>
      </c>
      <c r="L264" s="1">
        <v>-12496</v>
      </c>
      <c r="M264">
        <v>-12496</v>
      </c>
      <c r="N264">
        <v>41.9</v>
      </c>
      <c r="O264">
        <v>9</v>
      </c>
      <c r="P264">
        <v>65535</v>
      </c>
      <c r="Q264">
        <v>6781</v>
      </c>
      <c r="R264">
        <v>-32767</v>
      </c>
      <c r="S264">
        <v>38.7</v>
      </c>
      <c r="T264">
        <v>14</v>
      </c>
      <c r="U264">
        <v>100</v>
      </c>
      <c r="V264">
        <v>34800</v>
      </c>
      <c r="W264">
        <v>5000</v>
      </c>
      <c r="X264" t="s">
        <v>823</v>
      </c>
      <c r="Y264" t="s">
        <v>830</v>
      </c>
      <c r="Z264" t="s">
        <v>828</v>
      </c>
      <c r="AA264">
        <v>6</v>
      </c>
      <c r="AB264">
        <v>6</v>
      </c>
      <c r="AC264">
        <v>76</v>
      </c>
      <c r="AD264">
        <v>4</v>
      </c>
      <c r="AE264">
        <v>1881</v>
      </c>
      <c r="AF264">
        <v>5024</v>
      </c>
      <c r="AG264">
        <v>366</v>
      </c>
      <c r="AH264">
        <v>3143</v>
      </c>
      <c r="AI264">
        <v>5</v>
      </c>
      <c r="AJ264">
        <v>87</v>
      </c>
      <c r="AK264">
        <v>1648</v>
      </c>
      <c r="AL264">
        <v>2624</v>
      </c>
      <c r="AM264">
        <v>12</v>
      </c>
      <c r="AN264">
        <v>900</v>
      </c>
      <c r="AO264" t="s">
        <v>826</v>
      </c>
    </row>
    <row r="265" spans="1:41">
      <c r="A265">
        <v>257</v>
      </c>
      <c r="B265" s="2">
        <v>45296.619525463</v>
      </c>
      <c r="C265">
        <v>376.063</v>
      </c>
      <c r="D265" t="s">
        <v>821</v>
      </c>
      <c r="E265" t="s">
        <v>822</v>
      </c>
      <c r="F265">
        <v>38</v>
      </c>
      <c r="G265">
        <f t="shared" ref="G265:G328" si="4">F264-F265</f>
        <v>0</v>
      </c>
      <c r="H265">
        <v>1</v>
      </c>
      <c r="I265">
        <v>1870</v>
      </c>
      <c r="J265">
        <v>5024</v>
      </c>
      <c r="K265">
        <v>28352</v>
      </c>
      <c r="L265" s="1">
        <v>-12496</v>
      </c>
      <c r="M265">
        <v>-12496</v>
      </c>
      <c r="N265">
        <v>41.9</v>
      </c>
      <c r="O265">
        <v>9</v>
      </c>
      <c r="P265">
        <v>65535</v>
      </c>
      <c r="Q265">
        <v>6742</v>
      </c>
      <c r="R265">
        <v>-32767</v>
      </c>
      <c r="S265">
        <v>38.7</v>
      </c>
      <c r="T265">
        <v>14</v>
      </c>
      <c r="U265">
        <v>100</v>
      </c>
      <c r="V265">
        <v>34800</v>
      </c>
      <c r="W265">
        <v>5000</v>
      </c>
      <c r="X265" t="s">
        <v>823</v>
      </c>
      <c r="Y265" t="s">
        <v>830</v>
      </c>
      <c r="Z265" t="s">
        <v>828</v>
      </c>
      <c r="AA265">
        <v>6</v>
      </c>
      <c r="AB265">
        <v>6</v>
      </c>
      <c r="AC265">
        <v>76</v>
      </c>
      <c r="AD265">
        <v>4</v>
      </c>
      <c r="AE265">
        <v>1870</v>
      </c>
      <c r="AF265">
        <v>5024</v>
      </c>
      <c r="AG265">
        <v>368</v>
      </c>
      <c r="AH265">
        <v>3150</v>
      </c>
      <c r="AI265">
        <v>5</v>
      </c>
      <c r="AJ265">
        <v>87</v>
      </c>
      <c r="AK265">
        <v>1648</v>
      </c>
      <c r="AL265">
        <v>2631</v>
      </c>
      <c r="AM265">
        <v>12</v>
      </c>
      <c r="AN265">
        <v>908</v>
      </c>
      <c r="AO265" t="s">
        <v>826</v>
      </c>
    </row>
    <row r="266" spans="1:41">
      <c r="A266">
        <v>258</v>
      </c>
      <c r="B266" s="2">
        <v>45296.619537037</v>
      </c>
      <c r="C266">
        <v>377.011</v>
      </c>
      <c r="D266" t="s">
        <v>821</v>
      </c>
      <c r="E266" t="s">
        <v>822</v>
      </c>
      <c r="F266">
        <v>38</v>
      </c>
      <c r="G266">
        <f t="shared" si="4"/>
        <v>0</v>
      </c>
      <c r="H266">
        <v>1</v>
      </c>
      <c r="I266">
        <v>1870</v>
      </c>
      <c r="J266">
        <v>5024</v>
      </c>
      <c r="K266">
        <v>28352</v>
      </c>
      <c r="L266" s="1">
        <v>-12496</v>
      </c>
      <c r="M266">
        <v>-12496</v>
      </c>
      <c r="N266">
        <v>41.9</v>
      </c>
      <c r="O266">
        <v>9</v>
      </c>
      <c r="P266">
        <v>65535</v>
      </c>
      <c r="Q266">
        <v>6731</v>
      </c>
      <c r="R266">
        <v>-32767</v>
      </c>
      <c r="S266">
        <v>38.7</v>
      </c>
      <c r="T266">
        <v>14</v>
      </c>
      <c r="U266">
        <v>100</v>
      </c>
      <c r="V266">
        <v>34800</v>
      </c>
      <c r="W266">
        <v>5000</v>
      </c>
      <c r="X266" t="s">
        <v>823</v>
      </c>
      <c r="Y266" t="s">
        <v>830</v>
      </c>
      <c r="Z266" t="s">
        <v>828</v>
      </c>
      <c r="AA266">
        <v>6</v>
      </c>
      <c r="AB266">
        <v>6</v>
      </c>
      <c r="AC266">
        <v>76</v>
      </c>
      <c r="AD266">
        <v>4</v>
      </c>
      <c r="AE266">
        <v>1867</v>
      </c>
      <c r="AF266">
        <v>5024</v>
      </c>
      <c r="AG266">
        <v>369</v>
      </c>
      <c r="AH266">
        <v>3153</v>
      </c>
      <c r="AI266">
        <v>5</v>
      </c>
      <c r="AJ266">
        <v>87</v>
      </c>
      <c r="AK266">
        <v>1648</v>
      </c>
      <c r="AL266">
        <v>2634</v>
      </c>
      <c r="AM266">
        <v>12</v>
      </c>
      <c r="AN266">
        <v>900</v>
      </c>
      <c r="AO266" t="s">
        <v>826</v>
      </c>
    </row>
    <row r="267" spans="1:41">
      <c r="A267">
        <v>259</v>
      </c>
      <c r="B267" s="2">
        <v>45296.6195486111</v>
      </c>
      <c r="C267">
        <v>377.962</v>
      </c>
      <c r="D267" t="s">
        <v>821</v>
      </c>
      <c r="E267" t="s">
        <v>822</v>
      </c>
      <c r="F267">
        <v>38</v>
      </c>
      <c r="G267">
        <f t="shared" si="4"/>
        <v>0</v>
      </c>
      <c r="H267">
        <v>1</v>
      </c>
      <c r="I267">
        <v>1867</v>
      </c>
      <c r="J267">
        <v>5024</v>
      </c>
      <c r="K267">
        <v>28352</v>
      </c>
      <c r="L267" s="1">
        <v>-12495</v>
      </c>
      <c r="M267">
        <v>-12496</v>
      </c>
      <c r="N267">
        <v>41.9</v>
      </c>
      <c r="O267">
        <v>9</v>
      </c>
      <c r="P267">
        <v>65535</v>
      </c>
      <c r="Q267">
        <v>6717</v>
      </c>
      <c r="R267">
        <v>-32767</v>
      </c>
      <c r="S267">
        <v>38.7</v>
      </c>
      <c r="T267">
        <v>14</v>
      </c>
      <c r="U267">
        <v>100</v>
      </c>
      <c r="V267">
        <v>34800</v>
      </c>
      <c r="W267">
        <v>5000</v>
      </c>
      <c r="X267" t="s">
        <v>823</v>
      </c>
      <c r="Y267" t="s">
        <v>830</v>
      </c>
      <c r="Z267" t="s">
        <v>828</v>
      </c>
      <c r="AA267">
        <v>6</v>
      </c>
      <c r="AB267">
        <v>6</v>
      </c>
      <c r="AC267">
        <v>76</v>
      </c>
      <c r="AD267">
        <v>4</v>
      </c>
      <c r="AE267">
        <v>1863</v>
      </c>
      <c r="AF267">
        <v>5024</v>
      </c>
      <c r="AG267">
        <v>370</v>
      </c>
      <c r="AH267">
        <v>3157</v>
      </c>
      <c r="AI267">
        <v>5</v>
      </c>
      <c r="AJ267">
        <v>87</v>
      </c>
      <c r="AK267">
        <v>1648</v>
      </c>
      <c r="AL267">
        <v>2638</v>
      </c>
      <c r="AM267">
        <v>12</v>
      </c>
      <c r="AN267">
        <v>902</v>
      </c>
      <c r="AO267" t="s">
        <v>826</v>
      </c>
    </row>
    <row r="268" spans="1:41">
      <c r="A268">
        <v>260</v>
      </c>
      <c r="B268" s="2">
        <v>45296.6195717593</v>
      </c>
      <c r="C268">
        <v>380.309</v>
      </c>
      <c r="D268" t="s">
        <v>821</v>
      </c>
      <c r="E268" t="s">
        <v>822</v>
      </c>
      <c r="F268">
        <v>37</v>
      </c>
      <c r="G268">
        <f t="shared" si="4"/>
        <v>1</v>
      </c>
      <c r="H268">
        <v>1</v>
      </c>
      <c r="I268">
        <v>1856</v>
      </c>
      <c r="J268">
        <v>5024</v>
      </c>
      <c r="K268">
        <v>28344</v>
      </c>
      <c r="L268" s="1">
        <v>-12495</v>
      </c>
      <c r="M268">
        <v>-12496</v>
      </c>
      <c r="N268">
        <v>42</v>
      </c>
      <c r="O268">
        <v>9</v>
      </c>
      <c r="P268">
        <v>65535</v>
      </c>
      <c r="Q268">
        <v>6692</v>
      </c>
      <c r="R268">
        <v>-32767</v>
      </c>
      <c r="S268">
        <v>38.7</v>
      </c>
      <c r="T268">
        <v>14</v>
      </c>
      <c r="U268">
        <v>100</v>
      </c>
      <c r="V268">
        <v>34800</v>
      </c>
      <c r="W268">
        <v>5000</v>
      </c>
      <c r="X268" t="s">
        <v>823</v>
      </c>
      <c r="Y268" t="s">
        <v>830</v>
      </c>
      <c r="Z268" t="s">
        <v>828</v>
      </c>
      <c r="AA268">
        <v>6</v>
      </c>
      <c r="AB268">
        <v>6</v>
      </c>
      <c r="AC268">
        <v>76</v>
      </c>
      <c r="AD268">
        <v>4</v>
      </c>
      <c r="AE268">
        <v>1856</v>
      </c>
      <c r="AF268">
        <v>5024</v>
      </c>
      <c r="AG268">
        <v>372</v>
      </c>
      <c r="AH268">
        <v>3164</v>
      </c>
      <c r="AI268">
        <v>5</v>
      </c>
      <c r="AJ268">
        <v>87</v>
      </c>
      <c r="AK268">
        <v>1648</v>
      </c>
      <c r="AL268">
        <v>2645</v>
      </c>
      <c r="AM268">
        <v>12</v>
      </c>
      <c r="AN268">
        <v>930</v>
      </c>
      <c r="AO268" t="s">
        <v>826</v>
      </c>
    </row>
    <row r="269" spans="1:41">
      <c r="A269">
        <v>261</v>
      </c>
      <c r="B269" s="2">
        <v>45296.6195833333</v>
      </c>
      <c r="C269">
        <v>381.275</v>
      </c>
      <c r="D269" t="s">
        <v>821</v>
      </c>
      <c r="E269" t="s">
        <v>822</v>
      </c>
      <c r="F269">
        <v>37</v>
      </c>
      <c r="G269">
        <f t="shared" si="4"/>
        <v>0</v>
      </c>
      <c r="H269">
        <v>1</v>
      </c>
      <c r="I269">
        <v>1853</v>
      </c>
      <c r="J269">
        <v>5024</v>
      </c>
      <c r="K269">
        <v>28344</v>
      </c>
      <c r="L269" s="1">
        <v>-12496</v>
      </c>
      <c r="M269">
        <v>-12496</v>
      </c>
      <c r="N269">
        <v>42</v>
      </c>
      <c r="O269">
        <v>9</v>
      </c>
      <c r="P269">
        <v>65535</v>
      </c>
      <c r="Q269">
        <v>6682</v>
      </c>
      <c r="R269">
        <v>-32767</v>
      </c>
      <c r="S269">
        <v>38.7</v>
      </c>
      <c r="T269">
        <v>14</v>
      </c>
      <c r="U269">
        <v>100</v>
      </c>
      <c r="V269">
        <v>34800</v>
      </c>
      <c r="W269">
        <v>5000</v>
      </c>
      <c r="X269" t="s">
        <v>823</v>
      </c>
      <c r="Y269" t="s">
        <v>830</v>
      </c>
      <c r="Z269" t="s">
        <v>828</v>
      </c>
      <c r="AA269">
        <v>6</v>
      </c>
      <c r="AB269">
        <v>6</v>
      </c>
      <c r="AC269">
        <v>76</v>
      </c>
      <c r="AD269">
        <v>4</v>
      </c>
      <c r="AE269">
        <v>1853</v>
      </c>
      <c r="AF269">
        <v>5024</v>
      </c>
      <c r="AG269">
        <v>373</v>
      </c>
      <c r="AH269">
        <v>3167</v>
      </c>
      <c r="AI269">
        <v>5</v>
      </c>
      <c r="AJ269">
        <v>87</v>
      </c>
      <c r="AK269">
        <v>1648</v>
      </c>
      <c r="AL269">
        <v>2648</v>
      </c>
      <c r="AM269">
        <v>12</v>
      </c>
      <c r="AN269">
        <v>903</v>
      </c>
      <c r="AO269" t="s">
        <v>826</v>
      </c>
    </row>
    <row r="270" spans="1:41">
      <c r="A270">
        <v>262</v>
      </c>
      <c r="B270" s="2">
        <v>45296.6195949074</v>
      </c>
      <c r="C270">
        <v>382.213</v>
      </c>
      <c r="D270" t="s">
        <v>821</v>
      </c>
      <c r="E270" t="s">
        <v>822</v>
      </c>
      <c r="F270">
        <v>37</v>
      </c>
      <c r="G270">
        <f t="shared" si="4"/>
        <v>0</v>
      </c>
      <c r="H270">
        <v>1</v>
      </c>
      <c r="I270">
        <v>1850</v>
      </c>
      <c r="J270">
        <v>5024</v>
      </c>
      <c r="K270">
        <v>28336</v>
      </c>
      <c r="L270" s="1">
        <v>-12496</v>
      </c>
      <c r="M270">
        <v>-12496</v>
      </c>
      <c r="N270">
        <v>42</v>
      </c>
      <c r="O270">
        <v>9</v>
      </c>
      <c r="P270">
        <v>65535</v>
      </c>
      <c r="Q270">
        <v>6671</v>
      </c>
      <c r="R270">
        <v>-32767</v>
      </c>
      <c r="S270">
        <v>38.7</v>
      </c>
      <c r="T270">
        <v>14</v>
      </c>
      <c r="U270">
        <v>100</v>
      </c>
      <c r="V270">
        <v>34800</v>
      </c>
      <c r="W270">
        <v>5000</v>
      </c>
      <c r="X270" t="s">
        <v>823</v>
      </c>
      <c r="Y270" t="s">
        <v>830</v>
      </c>
      <c r="Z270" t="s">
        <v>828</v>
      </c>
      <c r="AA270">
        <v>6</v>
      </c>
      <c r="AB270">
        <v>6</v>
      </c>
      <c r="AC270">
        <v>76</v>
      </c>
      <c r="AD270">
        <v>4</v>
      </c>
      <c r="AE270">
        <v>1850</v>
      </c>
      <c r="AF270">
        <v>5024</v>
      </c>
      <c r="AG270">
        <v>374</v>
      </c>
      <c r="AH270">
        <v>3170</v>
      </c>
      <c r="AI270">
        <v>5</v>
      </c>
      <c r="AJ270">
        <v>87</v>
      </c>
      <c r="AK270">
        <v>1648</v>
      </c>
      <c r="AL270">
        <v>2651</v>
      </c>
      <c r="AM270">
        <v>12</v>
      </c>
      <c r="AN270">
        <v>907</v>
      </c>
      <c r="AO270" t="s">
        <v>826</v>
      </c>
    </row>
    <row r="271" spans="1:41">
      <c r="A271">
        <v>263</v>
      </c>
      <c r="B271" s="2">
        <v>45296.6196180556</v>
      </c>
      <c r="C271">
        <v>384.565</v>
      </c>
      <c r="D271" t="s">
        <v>821</v>
      </c>
      <c r="E271" t="s">
        <v>822</v>
      </c>
      <c r="F271">
        <v>37</v>
      </c>
      <c r="G271">
        <f t="shared" si="4"/>
        <v>0</v>
      </c>
      <c r="H271">
        <v>1</v>
      </c>
      <c r="I271">
        <v>1843</v>
      </c>
      <c r="J271">
        <v>5024</v>
      </c>
      <c r="K271">
        <v>28328</v>
      </c>
      <c r="L271" s="1">
        <v>-12496</v>
      </c>
      <c r="M271">
        <v>-12496</v>
      </c>
      <c r="N271">
        <v>42</v>
      </c>
      <c r="O271">
        <v>9</v>
      </c>
      <c r="P271">
        <v>65535</v>
      </c>
      <c r="Q271">
        <v>6646</v>
      </c>
      <c r="R271">
        <v>-32767</v>
      </c>
      <c r="S271">
        <v>38.7</v>
      </c>
      <c r="T271">
        <v>14</v>
      </c>
      <c r="U271">
        <v>100</v>
      </c>
      <c r="V271">
        <v>34800</v>
      </c>
      <c r="W271">
        <v>5000</v>
      </c>
      <c r="X271" t="s">
        <v>823</v>
      </c>
      <c r="Y271" t="s">
        <v>830</v>
      </c>
      <c r="Z271" t="s">
        <v>828</v>
      </c>
      <c r="AA271">
        <v>6</v>
      </c>
      <c r="AB271">
        <v>6</v>
      </c>
      <c r="AC271">
        <v>76</v>
      </c>
      <c r="AD271">
        <v>4</v>
      </c>
      <c r="AE271">
        <v>1843</v>
      </c>
      <c r="AF271">
        <v>5024</v>
      </c>
      <c r="AG271">
        <v>376</v>
      </c>
      <c r="AH271">
        <v>3177</v>
      </c>
      <c r="AI271">
        <v>5</v>
      </c>
      <c r="AJ271">
        <v>87</v>
      </c>
      <c r="AK271">
        <v>1648</v>
      </c>
      <c r="AL271">
        <v>2658</v>
      </c>
      <c r="AM271">
        <v>12</v>
      </c>
      <c r="AN271">
        <v>907</v>
      </c>
      <c r="AO271" t="s">
        <v>826</v>
      </c>
    </row>
    <row r="272" spans="1:41">
      <c r="A272">
        <v>264</v>
      </c>
      <c r="B272" s="2">
        <v>45296.6196296296</v>
      </c>
      <c r="C272">
        <v>385.513</v>
      </c>
      <c r="D272" t="s">
        <v>821</v>
      </c>
      <c r="E272" t="s">
        <v>822</v>
      </c>
      <c r="F272">
        <v>37</v>
      </c>
      <c r="G272">
        <f t="shared" si="4"/>
        <v>0</v>
      </c>
      <c r="H272">
        <v>1</v>
      </c>
      <c r="I272">
        <v>1839</v>
      </c>
      <c r="J272">
        <v>5024</v>
      </c>
      <c r="K272">
        <v>28328</v>
      </c>
      <c r="L272" s="1">
        <v>-12495</v>
      </c>
      <c r="M272">
        <v>-12496</v>
      </c>
      <c r="N272">
        <v>42</v>
      </c>
      <c r="O272">
        <v>9</v>
      </c>
      <c r="P272">
        <v>65535</v>
      </c>
      <c r="Q272">
        <v>6632</v>
      </c>
      <c r="R272">
        <v>-32767</v>
      </c>
      <c r="S272">
        <v>38.7</v>
      </c>
      <c r="T272">
        <v>14</v>
      </c>
      <c r="U272">
        <v>100</v>
      </c>
      <c r="V272">
        <v>34800</v>
      </c>
      <c r="W272">
        <v>5000</v>
      </c>
      <c r="X272" t="s">
        <v>823</v>
      </c>
      <c r="Y272" t="s">
        <v>830</v>
      </c>
      <c r="Z272" t="s">
        <v>828</v>
      </c>
      <c r="AA272">
        <v>6</v>
      </c>
      <c r="AB272">
        <v>6</v>
      </c>
      <c r="AC272">
        <v>76</v>
      </c>
      <c r="AD272">
        <v>4</v>
      </c>
      <c r="AE272">
        <v>1839</v>
      </c>
      <c r="AF272">
        <v>5024</v>
      </c>
      <c r="AG272">
        <v>377</v>
      </c>
      <c r="AH272">
        <v>3181</v>
      </c>
      <c r="AI272">
        <v>5</v>
      </c>
      <c r="AJ272">
        <v>87</v>
      </c>
      <c r="AK272">
        <v>1648</v>
      </c>
      <c r="AL272">
        <v>2662</v>
      </c>
      <c r="AM272">
        <v>12</v>
      </c>
      <c r="AN272">
        <v>916</v>
      </c>
      <c r="AO272" t="s">
        <v>826</v>
      </c>
    </row>
    <row r="273" spans="1:41">
      <c r="A273">
        <v>265</v>
      </c>
      <c r="B273" s="2">
        <v>45296.6196527778</v>
      </c>
      <c r="C273">
        <v>387.872</v>
      </c>
      <c r="D273" t="s">
        <v>821</v>
      </c>
      <c r="E273" t="s">
        <v>822</v>
      </c>
      <c r="F273">
        <v>37</v>
      </c>
      <c r="G273">
        <f t="shared" si="4"/>
        <v>0</v>
      </c>
      <c r="H273">
        <v>1</v>
      </c>
      <c r="I273">
        <v>1832</v>
      </c>
      <c r="J273">
        <v>5024</v>
      </c>
      <c r="K273">
        <v>28320</v>
      </c>
      <c r="L273" s="1">
        <v>-12496</v>
      </c>
      <c r="M273">
        <v>-12496</v>
      </c>
      <c r="N273">
        <v>42.1</v>
      </c>
      <c r="O273">
        <v>9</v>
      </c>
      <c r="P273">
        <v>65535</v>
      </c>
      <c r="Q273">
        <v>6607</v>
      </c>
      <c r="R273">
        <v>-32767</v>
      </c>
      <c r="S273">
        <v>38.7</v>
      </c>
      <c r="T273">
        <v>14</v>
      </c>
      <c r="U273">
        <v>100</v>
      </c>
      <c r="V273">
        <v>34800</v>
      </c>
      <c r="W273">
        <v>5000</v>
      </c>
      <c r="X273" t="s">
        <v>823</v>
      </c>
      <c r="Y273" t="s">
        <v>830</v>
      </c>
      <c r="Z273" t="s">
        <v>828</v>
      </c>
      <c r="AA273">
        <v>6</v>
      </c>
      <c r="AB273">
        <v>6</v>
      </c>
      <c r="AC273">
        <v>76</v>
      </c>
      <c r="AD273">
        <v>4</v>
      </c>
      <c r="AE273">
        <v>1829</v>
      </c>
      <c r="AF273">
        <v>5024</v>
      </c>
      <c r="AG273">
        <v>380</v>
      </c>
      <c r="AH273">
        <v>3191</v>
      </c>
      <c r="AI273">
        <v>5</v>
      </c>
      <c r="AJ273">
        <v>87</v>
      </c>
      <c r="AK273">
        <v>1648</v>
      </c>
      <c r="AL273">
        <v>2672</v>
      </c>
      <c r="AM273">
        <v>12</v>
      </c>
      <c r="AN273">
        <v>912</v>
      </c>
      <c r="AO273" t="s">
        <v>826</v>
      </c>
    </row>
    <row r="274" spans="1:41">
      <c r="A274">
        <v>266</v>
      </c>
      <c r="B274" s="2">
        <v>45296.6196643518</v>
      </c>
      <c r="C274">
        <v>388.822</v>
      </c>
      <c r="D274" t="s">
        <v>821</v>
      </c>
      <c r="E274" t="s">
        <v>822</v>
      </c>
      <c r="F274">
        <v>37</v>
      </c>
      <c r="G274">
        <f t="shared" si="4"/>
        <v>0</v>
      </c>
      <c r="H274">
        <v>1</v>
      </c>
      <c r="I274">
        <v>1829</v>
      </c>
      <c r="J274">
        <v>5024</v>
      </c>
      <c r="K274">
        <v>28320</v>
      </c>
      <c r="L274" s="1">
        <v>-12495</v>
      </c>
      <c r="M274">
        <v>-12496</v>
      </c>
      <c r="N274">
        <v>42.1</v>
      </c>
      <c r="O274">
        <v>9</v>
      </c>
      <c r="P274">
        <v>65535</v>
      </c>
      <c r="Q274">
        <v>6597</v>
      </c>
      <c r="R274">
        <v>-32767</v>
      </c>
      <c r="S274">
        <v>38.7</v>
      </c>
      <c r="T274">
        <v>14</v>
      </c>
      <c r="U274">
        <v>100</v>
      </c>
      <c r="V274">
        <v>34800</v>
      </c>
      <c r="W274">
        <v>5000</v>
      </c>
      <c r="X274" t="s">
        <v>823</v>
      </c>
      <c r="Y274" t="s">
        <v>830</v>
      </c>
      <c r="Z274" t="s">
        <v>828</v>
      </c>
      <c r="AA274">
        <v>6</v>
      </c>
      <c r="AB274">
        <v>6</v>
      </c>
      <c r="AC274">
        <v>76</v>
      </c>
      <c r="AD274">
        <v>4</v>
      </c>
      <c r="AE274">
        <v>1825</v>
      </c>
      <c r="AF274">
        <v>5024</v>
      </c>
      <c r="AG274">
        <v>381</v>
      </c>
      <c r="AH274">
        <v>3195</v>
      </c>
      <c r="AI274">
        <v>5</v>
      </c>
      <c r="AJ274">
        <v>87</v>
      </c>
      <c r="AK274">
        <v>1648</v>
      </c>
      <c r="AL274">
        <v>2676</v>
      </c>
      <c r="AM274">
        <v>12</v>
      </c>
      <c r="AN274">
        <v>903</v>
      </c>
      <c r="AO274" t="s">
        <v>826</v>
      </c>
    </row>
    <row r="275" spans="1:41">
      <c r="A275">
        <v>267</v>
      </c>
      <c r="B275" s="2">
        <v>45296.6196759259</v>
      </c>
      <c r="C275">
        <v>389.761</v>
      </c>
      <c r="D275" t="s">
        <v>821</v>
      </c>
      <c r="E275" t="s">
        <v>822</v>
      </c>
      <c r="F275">
        <v>37</v>
      </c>
      <c r="G275">
        <f t="shared" si="4"/>
        <v>0</v>
      </c>
      <c r="H275">
        <v>1</v>
      </c>
      <c r="I275">
        <v>1825</v>
      </c>
      <c r="J275">
        <v>5024</v>
      </c>
      <c r="K275">
        <v>28312</v>
      </c>
      <c r="L275" s="1">
        <v>-12496</v>
      </c>
      <c r="M275">
        <v>-12496</v>
      </c>
      <c r="N275">
        <v>42.1</v>
      </c>
      <c r="O275">
        <v>9</v>
      </c>
      <c r="P275">
        <v>65535</v>
      </c>
      <c r="Q275">
        <v>6583</v>
      </c>
      <c r="R275">
        <v>-32767</v>
      </c>
      <c r="S275">
        <v>38.8</v>
      </c>
      <c r="T275">
        <v>14</v>
      </c>
      <c r="U275">
        <v>100</v>
      </c>
      <c r="V275">
        <v>34800</v>
      </c>
      <c r="W275">
        <v>5000</v>
      </c>
      <c r="X275" t="s">
        <v>823</v>
      </c>
      <c r="Y275" t="s">
        <v>830</v>
      </c>
      <c r="Z275" t="s">
        <v>828</v>
      </c>
      <c r="AA275">
        <v>6</v>
      </c>
      <c r="AB275">
        <v>6</v>
      </c>
      <c r="AC275">
        <v>76</v>
      </c>
      <c r="AD275">
        <v>4</v>
      </c>
      <c r="AE275">
        <v>1822</v>
      </c>
      <c r="AF275">
        <v>5024</v>
      </c>
      <c r="AG275">
        <v>382</v>
      </c>
      <c r="AH275">
        <v>3198</v>
      </c>
      <c r="AI275">
        <v>5</v>
      </c>
      <c r="AJ275">
        <v>87</v>
      </c>
      <c r="AK275">
        <v>1648</v>
      </c>
      <c r="AL275">
        <v>2679</v>
      </c>
      <c r="AM275">
        <v>12</v>
      </c>
      <c r="AN275">
        <v>900</v>
      </c>
      <c r="AO275" t="s">
        <v>826</v>
      </c>
    </row>
    <row r="276" spans="1:41">
      <c r="A276">
        <v>268</v>
      </c>
      <c r="B276" s="2">
        <v>45296.6197106481</v>
      </c>
      <c r="C276">
        <v>392.128</v>
      </c>
      <c r="D276" t="s">
        <v>821</v>
      </c>
      <c r="E276" t="s">
        <v>822</v>
      </c>
      <c r="F276">
        <v>37</v>
      </c>
      <c r="G276">
        <f t="shared" si="4"/>
        <v>0</v>
      </c>
      <c r="H276">
        <v>1</v>
      </c>
      <c r="I276">
        <v>1815</v>
      </c>
      <c r="J276">
        <v>5024</v>
      </c>
      <c r="K276">
        <v>28304</v>
      </c>
      <c r="L276" s="1">
        <v>-12495</v>
      </c>
      <c r="M276">
        <v>-12496</v>
      </c>
      <c r="N276">
        <v>42.1</v>
      </c>
      <c r="O276">
        <v>9</v>
      </c>
      <c r="P276">
        <v>65535</v>
      </c>
      <c r="Q276">
        <v>6547</v>
      </c>
      <c r="R276">
        <v>-32767</v>
      </c>
      <c r="S276">
        <v>38.8</v>
      </c>
      <c r="T276">
        <v>14</v>
      </c>
      <c r="U276">
        <v>100</v>
      </c>
      <c r="V276">
        <v>34800</v>
      </c>
      <c r="W276">
        <v>5000</v>
      </c>
      <c r="X276" t="s">
        <v>823</v>
      </c>
      <c r="Y276" t="s">
        <v>830</v>
      </c>
      <c r="Z276" t="s">
        <v>828</v>
      </c>
      <c r="AA276">
        <v>6</v>
      </c>
      <c r="AB276">
        <v>6</v>
      </c>
      <c r="AC276">
        <v>76</v>
      </c>
      <c r="AD276">
        <v>4</v>
      </c>
      <c r="AE276">
        <v>1815</v>
      </c>
      <c r="AF276">
        <v>5024</v>
      </c>
      <c r="AG276">
        <v>384</v>
      </c>
      <c r="AH276">
        <v>3205</v>
      </c>
      <c r="AI276">
        <v>5</v>
      </c>
      <c r="AJ276">
        <v>87</v>
      </c>
      <c r="AK276">
        <v>1648</v>
      </c>
      <c r="AL276">
        <v>2686</v>
      </c>
      <c r="AM276">
        <v>12</v>
      </c>
      <c r="AN276">
        <v>904</v>
      </c>
      <c r="AO276" t="s">
        <v>826</v>
      </c>
    </row>
    <row r="277" spans="1:41">
      <c r="A277">
        <v>269</v>
      </c>
      <c r="B277" s="2">
        <v>45296.6197222222</v>
      </c>
      <c r="C277">
        <v>393.073</v>
      </c>
      <c r="D277" t="s">
        <v>821</v>
      </c>
      <c r="E277" t="s">
        <v>822</v>
      </c>
      <c r="F277">
        <v>37</v>
      </c>
      <c r="G277">
        <f t="shared" si="4"/>
        <v>0</v>
      </c>
      <c r="H277">
        <v>1</v>
      </c>
      <c r="I277">
        <v>1811</v>
      </c>
      <c r="J277">
        <v>5024</v>
      </c>
      <c r="K277">
        <v>28304</v>
      </c>
      <c r="L277" s="1">
        <v>-12496</v>
      </c>
      <c r="M277">
        <v>-12496</v>
      </c>
      <c r="N277">
        <v>42.1</v>
      </c>
      <c r="O277">
        <v>9</v>
      </c>
      <c r="P277">
        <v>65535</v>
      </c>
      <c r="Q277">
        <v>6533</v>
      </c>
      <c r="R277">
        <v>-32767</v>
      </c>
      <c r="S277">
        <v>38.8</v>
      </c>
      <c r="T277">
        <v>14</v>
      </c>
      <c r="U277">
        <v>100</v>
      </c>
      <c r="V277">
        <v>34800</v>
      </c>
      <c r="W277">
        <v>5000</v>
      </c>
      <c r="X277" t="s">
        <v>823</v>
      </c>
      <c r="Y277" t="s">
        <v>830</v>
      </c>
      <c r="Z277" t="s">
        <v>828</v>
      </c>
      <c r="AA277">
        <v>6</v>
      </c>
      <c r="AB277">
        <v>6</v>
      </c>
      <c r="AC277">
        <v>76</v>
      </c>
      <c r="AD277">
        <v>4</v>
      </c>
      <c r="AE277">
        <v>1811</v>
      </c>
      <c r="AF277">
        <v>5024</v>
      </c>
      <c r="AG277">
        <v>385</v>
      </c>
      <c r="AH277">
        <v>3209</v>
      </c>
      <c r="AI277">
        <v>5</v>
      </c>
      <c r="AJ277">
        <v>87</v>
      </c>
      <c r="AK277">
        <v>1648</v>
      </c>
      <c r="AL277">
        <v>2690</v>
      </c>
      <c r="AM277">
        <v>12</v>
      </c>
      <c r="AN277">
        <v>917</v>
      </c>
      <c r="AO277" t="s">
        <v>826</v>
      </c>
    </row>
    <row r="278" spans="1:41">
      <c r="A278">
        <v>270</v>
      </c>
      <c r="B278" s="2">
        <v>45296.6197337963</v>
      </c>
      <c r="C278">
        <v>394.023</v>
      </c>
      <c r="D278" t="s">
        <v>821</v>
      </c>
      <c r="E278" t="s">
        <v>822</v>
      </c>
      <c r="F278">
        <v>37</v>
      </c>
      <c r="G278">
        <f t="shared" si="4"/>
        <v>0</v>
      </c>
      <c r="H278">
        <v>1</v>
      </c>
      <c r="I278">
        <v>1811</v>
      </c>
      <c r="J278">
        <v>5024</v>
      </c>
      <c r="K278">
        <v>28304</v>
      </c>
      <c r="L278" s="1">
        <v>-12496</v>
      </c>
      <c r="M278">
        <v>-12496</v>
      </c>
      <c r="N278">
        <v>42.1</v>
      </c>
      <c r="O278">
        <v>9</v>
      </c>
      <c r="P278">
        <v>65535</v>
      </c>
      <c r="Q278">
        <v>6523</v>
      </c>
      <c r="R278">
        <v>-32767</v>
      </c>
      <c r="S278">
        <v>38.8</v>
      </c>
      <c r="T278">
        <v>14</v>
      </c>
      <c r="U278">
        <v>100</v>
      </c>
      <c r="V278">
        <v>34800</v>
      </c>
      <c r="W278">
        <v>5000</v>
      </c>
      <c r="X278" t="s">
        <v>823</v>
      </c>
      <c r="Y278" t="s">
        <v>830</v>
      </c>
      <c r="Z278" t="s">
        <v>828</v>
      </c>
      <c r="AA278">
        <v>6</v>
      </c>
      <c r="AB278">
        <v>6</v>
      </c>
      <c r="AC278">
        <v>76</v>
      </c>
      <c r="AD278">
        <v>4</v>
      </c>
      <c r="AE278">
        <v>1808</v>
      </c>
      <c r="AF278">
        <v>5024</v>
      </c>
      <c r="AG278">
        <v>386</v>
      </c>
      <c r="AH278">
        <v>3212</v>
      </c>
      <c r="AI278">
        <v>5</v>
      </c>
      <c r="AJ278">
        <v>87</v>
      </c>
      <c r="AK278">
        <v>1648</v>
      </c>
      <c r="AL278">
        <v>2693</v>
      </c>
      <c r="AM278">
        <v>12</v>
      </c>
      <c r="AN278">
        <v>905</v>
      </c>
      <c r="AO278" t="s">
        <v>826</v>
      </c>
    </row>
    <row r="279" spans="1:41">
      <c r="A279">
        <v>271</v>
      </c>
      <c r="B279" s="2">
        <v>45296.6197569444</v>
      </c>
      <c r="C279">
        <v>396.368</v>
      </c>
      <c r="D279" t="s">
        <v>821</v>
      </c>
      <c r="E279" t="s">
        <v>822</v>
      </c>
      <c r="F279">
        <v>36</v>
      </c>
      <c r="G279">
        <f t="shared" si="4"/>
        <v>1</v>
      </c>
      <c r="H279">
        <v>1</v>
      </c>
      <c r="I279">
        <v>1801</v>
      </c>
      <c r="J279">
        <v>5024</v>
      </c>
      <c r="K279">
        <v>28296</v>
      </c>
      <c r="L279" s="1">
        <v>-12496</v>
      </c>
      <c r="M279">
        <v>-12496</v>
      </c>
      <c r="N279">
        <v>42.2</v>
      </c>
      <c r="O279">
        <v>9</v>
      </c>
      <c r="P279">
        <v>65535</v>
      </c>
      <c r="Q279">
        <v>6498</v>
      </c>
      <c r="R279">
        <v>-32767</v>
      </c>
      <c r="S279">
        <v>38.8</v>
      </c>
      <c r="T279">
        <v>14</v>
      </c>
      <c r="U279">
        <v>100</v>
      </c>
      <c r="V279">
        <v>34800</v>
      </c>
      <c r="W279">
        <v>5000</v>
      </c>
      <c r="X279" t="s">
        <v>823</v>
      </c>
      <c r="Y279" t="s">
        <v>830</v>
      </c>
      <c r="Z279" t="s">
        <v>828</v>
      </c>
      <c r="AA279">
        <v>6</v>
      </c>
      <c r="AB279">
        <v>6</v>
      </c>
      <c r="AC279">
        <v>76</v>
      </c>
      <c r="AD279">
        <v>4</v>
      </c>
      <c r="AE279">
        <v>1801</v>
      </c>
      <c r="AF279">
        <v>5024</v>
      </c>
      <c r="AG279">
        <v>388</v>
      </c>
      <c r="AH279">
        <v>3219</v>
      </c>
      <c r="AI279">
        <v>5</v>
      </c>
      <c r="AJ279">
        <v>87</v>
      </c>
      <c r="AK279">
        <v>1648</v>
      </c>
      <c r="AL279">
        <v>2700</v>
      </c>
      <c r="AM279">
        <v>12</v>
      </c>
      <c r="AN279">
        <v>919</v>
      </c>
      <c r="AO279" t="s">
        <v>826</v>
      </c>
    </row>
    <row r="280" spans="1:41">
      <c r="A280">
        <v>272</v>
      </c>
      <c r="B280" s="2">
        <v>45296.6197685185</v>
      </c>
      <c r="C280">
        <v>397.323</v>
      </c>
      <c r="D280" t="s">
        <v>821</v>
      </c>
      <c r="E280" t="s">
        <v>822</v>
      </c>
      <c r="F280">
        <v>36</v>
      </c>
      <c r="G280">
        <f t="shared" si="4"/>
        <v>0</v>
      </c>
      <c r="H280">
        <v>1</v>
      </c>
      <c r="I280">
        <v>1797</v>
      </c>
      <c r="J280">
        <v>5024</v>
      </c>
      <c r="K280">
        <v>28296</v>
      </c>
      <c r="L280" s="1">
        <v>-12496</v>
      </c>
      <c r="M280">
        <v>-12496</v>
      </c>
      <c r="N280">
        <v>42.2</v>
      </c>
      <c r="O280">
        <v>9</v>
      </c>
      <c r="P280">
        <v>65535</v>
      </c>
      <c r="Q280">
        <v>6484</v>
      </c>
      <c r="R280">
        <v>-32767</v>
      </c>
      <c r="S280">
        <v>38.8</v>
      </c>
      <c r="T280">
        <v>14</v>
      </c>
      <c r="U280">
        <v>100</v>
      </c>
      <c r="V280">
        <v>34800</v>
      </c>
      <c r="W280">
        <v>5000</v>
      </c>
      <c r="X280" t="s">
        <v>823</v>
      </c>
      <c r="Y280" t="s">
        <v>830</v>
      </c>
      <c r="Z280" t="s">
        <v>828</v>
      </c>
      <c r="AA280">
        <v>6</v>
      </c>
      <c r="AB280">
        <v>6</v>
      </c>
      <c r="AC280">
        <v>76</v>
      </c>
      <c r="AD280">
        <v>4</v>
      </c>
      <c r="AE280">
        <v>1797</v>
      </c>
      <c r="AF280">
        <v>5024</v>
      </c>
      <c r="AG280">
        <v>389</v>
      </c>
      <c r="AH280">
        <v>3223</v>
      </c>
      <c r="AI280">
        <v>5</v>
      </c>
      <c r="AJ280">
        <v>87</v>
      </c>
      <c r="AK280">
        <v>1648</v>
      </c>
      <c r="AL280">
        <v>2704</v>
      </c>
      <c r="AM280">
        <v>12</v>
      </c>
      <c r="AN280">
        <v>901</v>
      </c>
      <c r="AO280" t="s">
        <v>826</v>
      </c>
    </row>
    <row r="281" spans="1:41">
      <c r="A281">
        <v>273</v>
      </c>
      <c r="B281" s="2">
        <v>45296.6197800926</v>
      </c>
      <c r="C281">
        <v>398.261</v>
      </c>
      <c r="D281" t="s">
        <v>821</v>
      </c>
      <c r="E281" t="s">
        <v>822</v>
      </c>
      <c r="F281">
        <v>36</v>
      </c>
      <c r="G281">
        <f t="shared" si="4"/>
        <v>0</v>
      </c>
      <c r="H281">
        <v>1</v>
      </c>
      <c r="I281">
        <v>1794</v>
      </c>
      <c r="J281">
        <v>5024</v>
      </c>
      <c r="K281">
        <v>28288</v>
      </c>
      <c r="L281" s="1">
        <v>-12495</v>
      </c>
      <c r="M281">
        <v>-12496</v>
      </c>
      <c r="N281">
        <v>42.2</v>
      </c>
      <c r="O281">
        <v>9</v>
      </c>
      <c r="P281">
        <v>65535</v>
      </c>
      <c r="Q281">
        <v>6473</v>
      </c>
      <c r="R281">
        <v>-32767</v>
      </c>
      <c r="S281">
        <v>38.8</v>
      </c>
      <c r="T281">
        <v>14</v>
      </c>
      <c r="U281">
        <v>100</v>
      </c>
      <c r="V281">
        <v>34800</v>
      </c>
      <c r="W281">
        <v>5000</v>
      </c>
      <c r="X281" t="s">
        <v>823</v>
      </c>
      <c r="Y281" t="s">
        <v>830</v>
      </c>
      <c r="Z281" t="s">
        <v>828</v>
      </c>
      <c r="AA281">
        <v>6</v>
      </c>
      <c r="AB281">
        <v>6</v>
      </c>
      <c r="AC281">
        <v>76</v>
      </c>
      <c r="AD281">
        <v>4</v>
      </c>
      <c r="AE281">
        <v>1794</v>
      </c>
      <c r="AF281">
        <v>5024</v>
      </c>
      <c r="AG281">
        <v>390</v>
      </c>
      <c r="AH281">
        <v>3226</v>
      </c>
      <c r="AI281">
        <v>5</v>
      </c>
      <c r="AJ281">
        <v>87</v>
      </c>
      <c r="AK281">
        <v>1648</v>
      </c>
      <c r="AL281">
        <v>2707</v>
      </c>
      <c r="AM281">
        <v>12</v>
      </c>
      <c r="AN281">
        <v>901</v>
      </c>
      <c r="AO281" t="s">
        <v>826</v>
      </c>
    </row>
    <row r="282" spans="1:41">
      <c r="A282">
        <v>274</v>
      </c>
      <c r="B282" s="2">
        <v>45296.6198032407</v>
      </c>
      <c r="C282">
        <v>400.607</v>
      </c>
      <c r="D282" t="s">
        <v>821</v>
      </c>
      <c r="E282" t="s">
        <v>822</v>
      </c>
      <c r="F282">
        <v>36</v>
      </c>
      <c r="G282">
        <f t="shared" si="4"/>
        <v>0</v>
      </c>
      <c r="H282">
        <v>1</v>
      </c>
      <c r="I282">
        <v>1787</v>
      </c>
      <c r="J282">
        <v>5024</v>
      </c>
      <c r="K282">
        <v>28288</v>
      </c>
      <c r="L282" s="1">
        <v>-12496</v>
      </c>
      <c r="M282">
        <v>-12496</v>
      </c>
      <c r="N282">
        <v>42.2</v>
      </c>
      <c r="O282">
        <v>9</v>
      </c>
      <c r="P282">
        <v>65535</v>
      </c>
      <c r="Q282">
        <v>6448</v>
      </c>
      <c r="R282">
        <v>-32767</v>
      </c>
      <c r="S282">
        <v>38.9</v>
      </c>
      <c r="T282">
        <v>14</v>
      </c>
      <c r="U282">
        <v>100</v>
      </c>
      <c r="V282">
        <v>34800</v>
      </c>
      <c r="W282">
        <v>5000</v>
      </c>
      <c r="X282" t="s">
        <v>823</v>
      </c>
      <c r="Y282" t="s">
        <v>830</v>
      </c>
      <c r="Z282" t="s">
        <v>828</v>
      </c>
      <c r="AA282">
        <v>6</v>
      </c>
      <c r="AB282">
        <v>6</v>
      </c>
      <c r="AC282">
        <v>76</v>
      </c>
      <c r="AD282">
        <v>4</v>
      </c>
      <c r="AE282">
        <v>1787</v>
      </c>
      <c r="AF282">
        <v>5024</v>
      </c>
      <c r="AG282">
        <v>392</v>
      </c>
      <c r="AH282">
        <v>3233</v>
      </c>
      <c r="AI282">
        <v>5</v>
      </c>
      <c r="AJ282">
        <v>87</v>
      </c>
      <c r="AK282">
        <v>1648</v>
      </c>
      <c r="AL282">
        <v>2714</v>
      </c>
      <c r="AM282">
        <v>12</v>
      </c>
      <c r="AN282">
        <v>908</v>
      </c>
      <c r="AO282" t="s">
        <v>826</v>
      </c>
    </row>
    <row r="283" spans="1:41">
      <c r="A283">
        <v>275</v>
      </c>
      <c r="B283" s="2">
        <v>45296.6198148148</v>
      </c>
      <c r="C283">
        <v>401.556</v>
      </c>
      <c r="D283" t="s">
        <v>821</v>
      </c>
      <c r="E283" t="s">
        <v>822</v>
      </c>
      <c r="F283">
        <v>36</v>
      </c>
      <c r="G283">
        <f t="shared" si="4"/>
        <v>0</v>
      </c>
      <c r="H283">
        <v>1</v>
      </c>
      <c r="I283">
        <v>1784</v>
      </c>
      <c r="J283">
        <v>5024</v>
      </c>
      <c r="K283">
        <v>28280</v>
      </c>
      <c r="L283" s="1">
        <v>-12496</v>
      </c>
      <c r="M283">
        <v>-12496</v>
      </c>
      <c r="N283">
        <v>42.2</v>
      </c>
      <c r="O283">
        <v>9</v>
      </c>
      <c r="P283">
        <v>65535</v>
      </c>
      <c r="Q283">
        <v>6438</v>
      </c>
      <c r="R283">
        <v>-32767</v>
      </c>
      <c r="S283">
        <v>38.9</v>
      </c>
      <c r="T283">
        <v>14</v>
      </c>
      <c r="U283">
        <v>100</v>
      </c>
      <c r="V283">
        <v>34800</v>
      </c>
      <c r="W283">
        <v>5000</v>
      </c>
      <c r="X283" t="s">
        <v>823</v>
      </c>
      <c r="Y283" t="s">
        <v>830</v>
      </c>
      <c r="Z283" t="s">
        <v>828</v>
      </c>
      <c r="AA283">
        <v>6</v>
      </c>
      <c r="AB283">
        <v>6</v>
      </c>
      <c r="AC283">
        <v>76</v>
      </c>
      <c r="AD283">
        <v>4</v>
      </c>
      <c r="AE283">
        <v>1784</v>
      </c>
      <c r="AF283">
        <v>5024</v>
      </c>
      <c r="AG283">
        <v>393</v>
      </c>
      <c r="AH283">
        <v>3236</v>
      </c>
      <c r="AI283">
        <v>5</v>
      </c>
      <c r="AJ283">
        <v>87</v>
      </c>
      <c r="AK283">
        <v>1648</v>
      </c>
      <c r="AL283">
        <v>2717</v>
      </c>
      <c r="AM283">
        <v>12</v>
      </c>
      <c r="AN283">
        <v>919</v>
      </c>
      <c r="AO283" t="s">
        <v>826</v>
      </c>
    </row>
    <row r="284" spans="1:41">
      <c r="A284">
        <v>276</v>
      </c>
      <c r="B284" s="2">
        <v>45296.619849537</v>
      </c>
      <c r="C284">
        <v>403.919</v>
      </c>
      <c r="D284" t="s">
        <v>821</v>
      </c>
      <c r="E284" t="s">
        <v>822</v>
      </c>
      <c r="F284">
        <v>36</v>
      </c>
      <c r="G284">
        <f t="shared" si="4"/>
        <v>0</v>
      </c>
      <c r="H284">
        <v>1</v>
      </c>
      <c r="I284">
        <v>1777</v>
      </c>
      <c r="J284">
        <v>5024</v>
      </c>
      <c r="K284">
        <v>28272</v>
      </c>
      <c r="L284" s="1">
        <v>-12496</v>
      </c>
      <c r="M284">
        <v>-12496</v>
      </c>
      <c r="N284">
        <v>42.2</v>
      </c>
      <c r="O284">
        <v>9</v>
      </c>
      <c r="P284">
        <v>65535</v>
      </c>
      <c r="Q284">
        <v>6413</v>
      </c>
      <c r="R284">
        <v>-32767</v>
      </c>
      <c r="S284">
        <v>38.9</v>
      </c>
      <c r="T284">
        <v>14</v>
      </c>
      <c r="U284">
        <v>100</v>
      </c>
      <c r="V284">
        <v>34800</v>
      </c>
      <c r="W284">
        <v>5000</v>
      </c>
      <c r="X284" t="s">
        <v>823</v>
      </c>
      <c r="Y284" t="s">
        <v>830</v>
      </c>
      <c r="Z284" t="s">
        <v>828</v>
      </c>
      <c r="AA284">
        <v>6</v>
      </c>
      <c r="AB284">
        <v>6</v>
      </c>
      <c r="AC284">
        <v>76</v>
      </c>
      <c r="AD284">
        <v>4</v>
      </c>
      <c r="AE284">
        <v>1773</v>
      </c>
      <c r="AF284">
        <v>5024</v>
      </c>
      <c r="AG284">
        <v>396</v>
      </c>
      <c r="AH284">
        <v>3247</v>
      </c>
      <c r="AI284">
        <v>5</v>
      </c>
      <c r="AJ284">
        <v>87</v>
      </c>
      <c r="AK284">
        <v>1648</v>
      </c>
      <c r="AL284">
        <v>2728</v>
      </c>
      <c r="AM284">
        <v>12</v>
      </c>
      <c r="AN284">
        <v>912</v>
      </c>
      <c r="AO284" t="s">
        <v>826</v>
      </c>
    </row>
    <row r="285" spans="1:41">
      <c r="A285">
        <v>277</v>
      </c>
      <c r="B285" s="2">
        <v>45296.619849537</v>
      </c>
      <c r="C285">
        <v>404.869</v>
      </c>
      <c r="D285" t="s">
        <v>821</v>
      </c>
      <c r="E285" t="s">
        <v>822</v>
      </c>
      <c r="F285">
        <v>36</v>
      </c>
      <c r="G285">
        <f t="shared" si="4"/>
        <v>0</v>
      </c>
      <c r="H285">
        <v>1</v>
      </c>
      <c r="I285">
        <v>1773</v>
      </c>
      <c r="J285">
        <v>5024</v>
      </c>
      <c r="K285">
        <v>28272</v>
      </c>
      <c r="L285" s="1">
        <v>-12495</v>
      </c>
      <c r="M285">
        <v>-12496</v>
      </c>
      <c r="N285">
        <v>42.2</v>
      </c>
      <c r="O285">
        <v>9</v>
      </c>
      <c r="P285">
        <v>65535</v>
      </c>
      <c r="Q285">
        <v>6399</v>
      </c>
      <c r="R285">
        <v>-32767</v>
      </c>
      <c r="S285">
        <v>38.9</v>
      </c>
      <c r="T285">
        <v>14</v>
      </c>
      <c r="U285">
        <v>100</v>
      </c>
      <c r="V285">
        <v>34800</v>
      </c>
      <c r="W285">
        <v>5000</v>
      </c>
      <c r="X285" t="s">
        <v>823</v>
      </c>
      <c r="Y285" t="s">
        <v>830</v>
      </c>
      <c r="Z285" t="s">
        <v>828</v>
      </c>
      <c r="AA285">
        <v>6</v>
      </c>
      <c r="AB285">
        <v>6</v>
      </c>
      <c r="AC285">
        <v>76</v>
      </c>
      <c r="AD285">
        <v>4</v>
      </c>
      <c r="AE285">
        <v>1770</v>
      </c>
      <c r="AF285">
        <v>5024</v>
      </c>
      <c r="AG285">
        <v>397</v>
      </c>
      <c r="AH285">
        <v>3250</v>
      </c>
      <c r="AI285">
        <v>5</v>
      </c>
      <c r="AJ285">
        <v>87</v>
      </c>
      <c r="AK285">
        <v>1648</v>
      </c>
      <c r="AL285">
        <v>2731</v>
      </c>
      <c r="AM285">
        <v>12</v>
      </c>
      <c r="AN285">
        <v>901</v>
      </c>
      <c r="AO285" t="s">
        <v>826</v>
      </c>
    </row>
    <row r="286" spans="1:41">
      <c r="A286">
        <v>278</v>
      </c>
      <c r="B286" s="2">
        <v>45296.6198611111</v>
      </c>
      <c r="C286">
        <v>405.811</v>
      </c>
      <c r="D286" t="s">
        <v>821</v>
      </c>
      <c r="E286" t="s">
        <v>822</v>
      </c>
      <c r="F286">
        <v>36</v>
      </c>
      <c r="G286">
        <f t="shared" si="4"/>
        <v>0</v>
      </c>
      <c r="H286">
        <v>1</v>
      </c>
      <c r="I286">
        <v>1770</v>
      </c>
      <c r="J286">
        <v>5024</v>
      </c>
      <c r="K286">
        <v>28272</v>
      </c>
      <c r="L286" s="1">
        <v>-12496</v>
      </c>
      <c r="M286">
        <v>-12496</v>
      </c>
      <c r="N286">
        <v>42.2</v>
      </c>
      <c r="O286">
        <v>8</v>
      </c>
      <c r="P286">
        <v>65535</v>
      </c>
      <c r="Q286">
        <v>6388</v>
      </c>
      <c r="R286">
        <v>-32767</v>
      </c>
      <c r="S286">
        <v>38.9</v>
      </c>
      <c r="T286">
        <v>14</v>
      </c>
      <c r="U286">
        <v>100</v>
      </c>
      <c r="V286">
        <v>34800</v>
      </c>
      <c r="W286">
        <v>5000</v>
      </c>
      <c r="X286" t="s">
        <v>823</v>
      </c>
      <c r="Y286" t="s">
        <v>830</v>
      </c>
      <c r="Z286" t="s">
        <v>828</v>
      </c>
      <c r="AA286">
        <v>6</v>
      </c>
      <c r="AB286">
        <v>6</v>
      </c>
      <c r="AC286">
        <v>76</v>
      </c>
      <c r="AD286">
        <v>4</v>
      </c>
      <c r="AE286">
        <v>1766</v>
      </c>
      <c r="AF286">
        <v>5024</v>
      </c>
      <c r="AG286">
        <v>398</v>
      </c>
      <c r="AH286">
        <v>3254</v>
      </c>
      <c r="AI286">
        <v>5</v>
      </c>
      <c r="AJ286">
        <v>87</v>
      </c>
      <c r="AK286">
        <v>1648</v>
      </c>
      <c r="AL286">
        <v>2735</v>
      </c>
      <c r="AM286">
        <v>12</v>
      </c>
      <c r="AN286">
        <v>913</v>
      </c>
      <c r="AO286" t="s">
        <v>826</v>
      </c>
    </row>
    <row r="287" spans="1:41">
      <c r="A287">
        <v>279</v>
      </c>
      <c r="B287" s="2">
        <v>45296.6198958333</v>
      </c>
      <c r="C287">
        <v>408.166</v>
      </c>
      <c r="D287" t="s">
        <v>821</v>
      </c>
      <c r="E287" t="s">
        <v>822</v>
      </c>
      <c r="F287">
        <v>36</v>
      </c>
      <c r="G287">
        <f t="shared" si="4"/>
        <v>0</v>
      </c>
      <c r="H287">
        <v>1</v>
      </c>
      <c r="I287">
        <v>1759</v>
      </c>
      <c r="J287">
        <v>5024</v>
      </c>
      <c r="K287">
        <v>28264</v>
      </c>
      <c r="L287" s="1">
        <v>-12496</v>
      </c>
      <c r="M287">
        <v>-12496</v>
      </c>
      <c r="N287">
        <v>42.3</v>
      </c>
      <c r="O287">
        <v>8</v>
      </c>
      <c r="P287">
        <v>65535</v>
      </c>
      <c r="Q287">
        <v>6349</v>
      </c>
      <c r="R287">
        <v>-32767</v>
      </c>
      <c r="S287">
        <v>38.9</v>
      </c>
      <c r="T287">
        <v>14</v>
      </c>
      <c r="U287">
        <v>100</v>
      </c>
      <c r="V287">
        <v>34800</v>
      </c>
      <c r="W287">
        <v>5000</v>
      </c>
      <c r="X287" t="s">
        <v>823</v>
      </c>
      <c r="Y287" t="s">
        <v>830</v>
      </c>
      <c r="Z287" t="s">
        <v>828</v>
      </c>
      <c r="AA287">
        <v>6</v>
      </c>
      <c r="AB287">
        <v>6</v>
      </c>
      <c r="AC287">
        <v>76</v>
      </c>
      <c r="AD287">
        <v>4</v>
      </c>
      <c r="AE287">
        <v>1759</v>
      </c>
      <c r="AF287">
        <v>5024</v>
      </c>
      <c r="AG287">
        <v>400</v>
      </c>
      <c r="AH287">
        <v>3261</v>
      </c>
      <c r="AI287">
        <v>5</v>
      </c>
      <c r="AJ287">
        <v>87</v>
      </c>
      <c r="AK287">
        <v>1648</v>
      </c>
      <c r="AL287">
        <v>2742</v>
      </c>
      <c r="AM287">
        <v>12</v>
      </c>
      <c r="AN287">
        <v>902</v>
      </c>
      <c r="AO287" t="s">
        <v>826</v>
      </c>
    </row>
    <row r="288" spans="1:41">
      <c r="A288">
        <v>280</v>
      </c>
      <c r="B288" s="2">
        <v>45296.6199074074</v>
      </c>
      <c r="C288">
        <v>409.106</v>
      </c>
      <c r="D288" t="s">
        <v>821</v>
      </c>
      <c r="E288" t="s">
        <v>822</v>
      </c>
      <c r="F288">
        <v>36</v>
      </c>
      <c r="G288">
        <f t="shared" si="4"/>
        <v>0</v>
      </c>
      <c r="H288">
        <v>1</v>
      </c>
      <c r="I288">
        <v>1756</v>
      </c>
      <c r="J288">
        <v>5024</v>
      </c>
      <c r="K288">
        <v>28256</v>
      </c>
      <c r="L288" s="1">
        <v>-12495</v>
      </c>
      <c r="M288">
        <v>-12496</v>
      </c>
      <c r="N288">
        <v>42.3</v>
      </c>
      <c r="O288">
        <v>8</v>
      </c>
      <c r="P288">
        <v>65535</v>
      </c>
      <c r="Q288">
        <v>6339</v>
      </c>
      <c r="R288">
        <v>-32767</v>
      </c>
      <c r="S288">
        <v>39</v>
      </c>
      <c r="T288">
        <v>14</v>
      </c>
      <c r="U288">
        <v>100</v>
      </c>
      <c r="V288">
        <v>34800</v>
      </c>
      <c r="W288">
        <v>5000</v>
      </c>
      <c r="X288" t="s">
        <v>823</v>
      </c>
      <c r="Y288" t="s">
        <v>830</v>
      </c>
      <c r="Z288" t="s">
        <v>828</v>
      </c>
      <c r="AA288">
        <v>6</v>
      </c>
      <c r="AB288">
        <v>6</v>
      </c>
      <c r="AC288">
        <v>76</v>
      </c>
      <c r="AD288">
        <v>4</v>
      </c>
      <c r="AE288">
        <v>1756</v>
      </c>
      <c r="AF288">
        <v>5024</v>
      </c>
      <c r="AG288">
        <v>401</v>
      </c>
      <c r="AH288">
        <v>3264</v>
      </c>
      <c r="AI288">
        <v>5</v>
      </c>
      <c r="AJ288">
        <v>87</v>
      </c>
      <c r="AK288">
        <v>1648</v>
      </c>
      <c r="AL288">
        <v>2745</v>
      </c>
      <c r="AM288">
        <v>12</v>
      </c>
      <c r="AN288">
        <v>899</v>
      </c>
      <c r="AO288" t="s">
        <v>826</v>
      </c>
    </row>
    <row r="289" spans="1:41">
      <c r="A289">
        <v>281</v>
      </c>
      <c r="B289" s="2">
        <v>45296.6199189815</v>
      </c>
      <c r="C289">
        <v>410.053</v>
      </c>
      <c r="D289" t="s">
        <v>821</v>
      </c>
      <c r="E289" t="s">
        <v>822</v>
      </c>
      <c r="F289">
        <v>35</v>
      </c>
      <c r="G289">
        <f t="shared" si="4"/>
        <v>1</v>
      </c>
      <c r="H289">
        <v>1</v>
      </c>
      <c r="I289">
        <v>1756</v>
      </c>
      <c r="J289">
        <v>5024</v>
      </c>
      <c r="K289">
        <v>28256</v>
      </c>
      <c r="L289" s="1">
        <v>-12496</v>
      </c>
      <c r="M289">
        <v>-12496</v>
      </c>
      <c r="N289">
        <v>42.3</v>
      </c>
      <c r="O289">
        <v>8</v>
      </c>
      <c r="P289">
        <v>65535</v>
      </c>
      <c r="Q289">
        <v>6325</v>
      </c>
      <c r="R289">
        <v>-32767</v>
      </c>
      <c r="S289">
        <v>39</v>
      </c>
      <c r="T289">
        <v>14</v>
      </c>
      <c r="U289">
        <v>100</v>
      </c>
      <c r="V289">
        <v>34800</v>
      </c>
      <c r="W289">
        <v>5000</v>
      </c>
      <c r="X289" t="s">
        <v>823</v>
      </c>
      <c r="Y289" t="s">
        <v>830</v>
      </c>
      <c r="Z289" t="s">
        <v>828</v>
      </c>
      <c r="AA289">
        <v>6</v>
      </c>
      <c r="AB289">
        <v>6</v>
      </c>
      <c r="AC289">
        <v>76</v>
      </c>
      <c r="AD289">
        <v>4</v>
      </c>
      <c r="AE289">
        <v>1752</v>
      </c>
      <c r="AF289">
        <v>5024</v>
      </c>
      <c r="AG289">
        <v>402</v>
      </c>
      <c r="AH289">
        <v>3268</v>
      </c>
      <c r="AI289">
        <v>5</v>
      </c>
      <c r="AJ289">
        <v>87</v>
      </c>
      <c r="AK289">
        <v>1648</v>
      </c>
      <c r="AL289">
        <v>2749</v>
      </c>
      <c r="AM289">
        <v>12</v>
      </c>
      <c r="AN289">
        <v>906</v>
      </c>
      <c r="AO289" t="s">
        <v>826</v>
      </c>
    </row>
    <row r="290" spans="1:41">
      <c r="A290">
        <v>282</v>
      </c>
      <c r="B290" s="2">
        <v>45296.6199421296</v>
      </c>
      <c r="C290">
        <v>412.409</v>
      </c>
      <c r="D290" t="s">
        <v>821</v>
      </c>
      <c r="E290" t="s">
        <v>822</v>
      </c>
      <c r="F290">
        <v>35</v>
      </c>
      <c r="G290">
        <f t="shared" si="4"/>
        <v>0</v>
      </c>
      <c r="H290">
        <v>1</v>
      </c>
      <c r="I290">
        <v>1745</v>
      </c>
      <c r="J290">
        <v>5024</v>
      </c>
      <c r="K290">
        <v>28248</v>
      </c>
      <c r="L290" s="1">
        <v>-12496</v>
      </c>
      <c r="M290">
        <v>-12496</v>
      </c>
      <c r="N290">
        <v>42.3</v>
      </c>
      <c r="O290">
        <v>8</v>
      </c>
      <c r="P290">
        <v>65535</v>
      </c>
      <c r="Q290">
        <v>6300</v>
      </c>
      <c r="R290">
        <v>-32767</v>
      </c>
      <c r="S290">
        <v>39</v>
      </c>
      <c r="T290">
        <v>14</v>
      </c>
      <c r="U290">
        <v>100</v>
      </c>
      <c r="V290">
        <v>34800</v>
      </c>
      <c r="W290">
        <v>5000</v>
      </c>
      <c r="X290" t="s">
        <v>823</v>
      </c>
      <c r="Y290" t="s">
        <v>830</v>
      </c>
      <c r="Z290" t="s">
        <v>828</v>
      </c>
      <c r="AA290">
        <v>6</v>
      </c>
      <c r="AB290">
        <v>6</v>
      </c>
      <c r="AC290">
        <v>76</v>
      </c>
      <c r="AD290">
        <v>4</v>
      </c>
      <c r="AE290">
        <v>1745</v>
      </c>
      <c r="AF290">
        <v>5024</v>
      </c>
      <c r="AG290">
        <v>404</v>
      </c>
      <c r="AH290">
        <v>3275</v>
      </c>
      <c r="AI290">
        <v>5</v>
      </c>
      <c r="AJ290">
        <v>87</v>
      </c>
      <c r="AK290">
        <v>1648</v>
      </c>
      <c r="AL290">
        <v>2756</v>
      </c>
      <c r="AM290">
        <v>12</v>
      </c>
      <c r="AN290">
        <v>906</v>
      </c>
      <c r="AO290" t="s">
        <v>826</v>
      </c>
    </row>
    <row r="291" spans="1:41">
      <c r="A291">
        <v>283</v>
      </c>
      <c r="B291" s="2">
        <v>45296.6199537037</v>
      </c>
      <c r="C291">
        <v>413.356</v>
      </c>
      <c r="D291" t="s">
        <v>821</v>
      </c>
      <c r="E291" t="s">
        <v>822</v>
      </c>
      <c r="F291">
        <v>35</v>
      </c>
      <c r="G291">
        <f t="shared" si="4"/>
        <v>0</v>
      </c>
      <c r="H291">
        <v>1</v>
      </c>
      <c r="I291">
        <v>1742</v>
      </c>
      <c r="J291">
        <v>5024</v>
      </c>
      <c r="K291">
        <v>28248</v>
      </c>
      <c r="L291" s="1">
        <v>-12495</v>
      </c>
      <c r="M291">
        <v>-12496</v>
      </c>
      <c r="N291">
        <v>42.3</v>
      </c>
      <c r="O291">
        <v>8</v>
      </c>
      <c r="P291">
        <v>65535</v>
      </c>
      <c r="Q291">
        <v>6289</v>
      </c>
      <c r="R291">
        <v>-32767</v>
      </c>
      <c r="S291">
        <v>39</v>
      </c>
      <c r="T291">
        <v>14</v>
      </c>
      <c r="U291">
        <v>100</v>
      </c>
      <c r="V291">
        <v>34800</v>
      </c>
      <c r="W291">
        <v>5000</v>
      </c>
      <c r="X291" t="s">
        <v>823</v>
      </c>
      <c r="Y291" t="s">
        <v>830</v>
      </c>
      <c r="Z291" t="s">
        <v>828</v>
      </c>
      <c r="AA291">
        <v>6</v>
      </c>
      <c r="AB291">
        <v>6</v>
      </c>
      <c r="AC291">
        <v>76</v>
      </c>
      <c r="AD291">
        <v>4</v>
      </c>
      <c r="AE291">
        <v>1742</v>
      </c>
      <c r="AF291">
        <v>5024</v>
      </c>
      <c r="AG291">
        <v>405</v>
      </c>
      <c r="AH291">
        <v>3278</v>
      </c>
      <c r="AI291">
        <v>5</v>
      </c>
      <c r="AJ291">
        <v>87</v>
      </c>
      <c r="AK291">
        <v>1648</v>
      </c>
      <c r="AL291">
        <v>2759</v>
      </c>
      <c r="AM291">
        <v>12</v>
      </c>
      <c r="AN291">
        <v>900</v>
      </c>
      <c r="AO291" t="s">
        <v>826</v>
      </c>
    </row>
    <row r="292" spans="1:41">
      <c r="A292">
        <v>284</v>
      </c>
      <c r="B292" s="2">
        <v>45296.6199652778</v>
      </c>
      <c r="C292">
        <v>414.317</v>
      </c>
      <c r="D292" t="s">
        <v>821</v>
      </c>
      <c r="E292" t="s">
        <v>822</v>
      </c>
      <c r="F292">
        <v>35</v>
      </c>
      <c r="G292">
        <f t="shared" si="4"/>
        <v>0</v>
      </c>
      <c r="H292">
        <v>1</v>
      </c>
      <c r="I292">
        <v>1738</v>
      </c>
      <c r="J292">
        <v>5024</v>
      </c>
      <c r="K292">
        <v>28248</v>
      </c>
      <c r="L292" s="1">
        <v>-12496</v>
      </c>
      <c r="M292">
        <v>-12496</v>
      </c>
      <c r="N292">
        <v>42.4</v>
      </c>
      <c r="O292">
        <v>8</v>
      </c>
      <c r="P292">
        <v>65535</v>
      </c>
      <c r="Q292">
        <v>6275</v>
      </c>
      <c r="R292">
        <v>-32767</v>
      </c>
      <c r="S292">
        <v>39</v>
      </c>
      <c r="T292">
        <v>14</v>
      </c>
      <c r="U292">
        <v>100</v>
      </c>
      <c r="V292">
        <v>34800</v>
      </c>
      <c r="W292">
        <v>5000</v>
      </c>
      <c r="X292" t="s">
        <v>823</v>
      </c>
      <c r="Y292" t="s">
        <v>830</v>
      </c>
      <c r="Z292" t="s">
        <v>828</v>
      </c>
      <c r="AA292">
        <v>6</v>
      </c>
      <c r="AB292">
        <v>6</v>
      </c>
      <c r="AC292">
        <v>76</v>
      </c>
      <c r="AD292">
        <v>4</v>
      </c>
      <c r="AE292">
        <v>1738</v>
      </c>
      <c r="AF292">
        <v>5024</v>
      </c>
      <c r="AG292">
        <v>406</v>
      </c>
      <c r="AH292">
        <v>3282</v>
      </c>
      <c r="AI292">
        <v>5</v>
      </c>
      <c r="AJ292">
        <v>87</v>
      </c>
      <c r="AK292">
        <v>1648</v>
      </c>
      <c r="AL292">
        <v>2763</v>
      </c>
      <c r="AM292">
        <v>12</v>
      </c>
      <c r="AN292">
        <v>909</v>
      </c>
      <c r="AO292" t="s">
        <v>826</v>
      </c>
    </row>
    <row r="293" spans="1:41">
      <c r="A293">
        <v>285</v>
      </c>
      <c r="B293" s="2">
        <v>45296.6199884259</v>
      </c>
      <c r="C293">
        <v>416.686</v>
      </c>
      <c r="D293" t="s">
        <v>821</v>
      </c>
      <c r="E293" t="s">
        <v>822</v>
      </c>
      <c r="F293">
        <v>35</v>
      </c>
      <c r="G293">
        <f t="shared" si="4"/>
        <v>0</v>
      </c>
      <c r="H293">
        <v>1</v>
      </c>
      <c r="I293">
        <v>1732</v>
      </c>
      <c r="J293">
        <v>5024</v>
      </c>
      <c r="K293">
        <v>28240</v>
      </c>
      <c r="L293" s="1">
        <v>-12496</v>
      </c>
      <c r="M293">
        <v>-12496</v>
      </c>
      <c r="N293">
        <v>42.4</v>
      </c>
      <c r="O293">
        <v>8</v>
      </c>
      <c r="P293">
        <v>65535</v>
      </c>
      <c r="Q293">
        <v>6254</v>
      </c>
      <c r="R293">
        <v>-32767</v>
      </c>
      <c r="S293">
        <v>39</v>
      </c>
      <c r="T293">
        <v>14</v>
      </c>
      <c r="U293">
        <v>100</v>
      </c>
      <c r="V293">
        <v>34800</v>
      </c>
      <c r="W293">
        <v>5000</v>
      </c>
      <c r="X293" t="s">
        <v>823</v>
      </c>
      <c r="Y293" t="s">
        <v>830</v>
      </c>
      <c r="Z293" t="s">
        <v>828</v>
      </c>
      <c r="AA293">
        <v>6</v>
      </c>
      <c r="AB293">
        <v>6</v>
      </c>
      <c r="AC293">
        <v>76</v>
      </c>
      <c r="AD293">
        <v>4</v>
      </c>
      <c r="AE293">
        <v>1732</v>
      </c>
      <c r="AF293">
        <v>5024</v>
      </c>
      <c r="AG293">
        <v>408</v>
      </c>
      <c r="AH293">
        <v>3288</v>
      </c>
      <c r="AI293">
        <v>5</v>
      </c>
      <c r="AJ293">
        <v>87</v>
      </c>
      <c r="AK293">
        <v>1648</v>
      </c>
      <c r="AL293">
        <v>2773</v>
      </c>
      <c r="AM293">
        <v>12</v>
      </c>
      <c r="AN293">
        <v>913</v>
      </c>
      <c r="AO293" t="s">
        <v>826</v>
      </c>
    </row>
    <row r="294" spans="1:41">
      <c r="A294">
        <v>286</v>
      </c>
      <c r="B294" s="2">
        <v>45296.62</v>
      </c>
      <c r="C294">
        <v>417.635</v>
      </c>
      <c r="D294" t="s">
        <v>821</v>
      </c>
      <c r="E294" t="s">
        <v>822</v>
      </c>
      <c r="F294">
        <v>35</v>
      </c>
      <c r="G294">
        <f t="shared" si="4"/>
        <v>0</v>
      </c>
      <c r="H294">
        <v>1</v>
      </c>
      <c r="I294">
        <v>1728</v>
      </c>
      <c r="J294">
        <v>5024</v>
      </c>
      <c r="K294">
        <v>28240</v>
      </c>
      <c r="L294" s="1">
        <v>-12495</v>
      </c>
      <c r="M294">
        <v>-12496</v>
      </c>
      <c r="N294">
        <v>42.4</v>
      </c>
      <c r="O294">
        <v>8</v>
      </c>
      <c r="P294">
        <v>65535</v>
      </c>
      <c r="Q294">
        <v>6240</v>
      </c>
      <c r="R294">
        <v>-32767</v>
      </c>
      <c r="S294">
        <v>39</v>
      </c>
      <c r="T294">
        <v>14</v>
      </c>
      <c r="U294">
        <v>100</v>
      </c>
      <c r="V294">
        <v>34800</v>
      </c>
      <c r="W294">
        <v>5000</v>
      </c>
      <c r="X294" t="s">
        <v>823</v>
      </c>
      <c r="Y294" t="s">
        <v>830</v>
      </c>
      <c r="Z294" t="s">
        <v>828</v>
      </c>
      <c r="AA294">
        <v>6</v>
      </c>
      <c r="AB294">
        <v>6</v>
      </c>
      <c r="AC294">
        <v>76</v>
      </c>
      <c r="AD294">
        <v>4</v>
      </c>
      <c r="AE294">
        <v>1728</v>
      </c>
      <c r="AF294">
        <v>5024</v>
      </c>
      <c r="AG294">
        <v>409</v>
      </c>
      <c r="AH294">
        <v>3292</v>
      </c>
      <c r="AI294">
        <v>5</v>
      </c>
      <c r="AJ294">
        <v>87</v>
      </c>
      <c r="AK294">
        <v>1648</v>
      </c>
      <c r="AL294">
        <v>2773</v>
      </c>
      <c r="AM294">
        <v>12</v>
      </c>
      <c r="AN294">
        <v>904</v>
      </c>
      <c r="AO294" t="s">
        <v>826</v>
      </c>
    </row>
    <row r="295" spans="1:41">
      <c r="A295">
        <v>287</v>
      </c>
      <c r="B295" s="2">
        <v>45296.6200347222</v>
      </c>
      <c r="C295">
        <v>419.982</v>
      </c>
      <c r="D295" t="s">
        <v>821</v>
      </c>
      <c r="E295" t="s">
        <v>822</v>
      </c>
      <c r="F295">
        <v>35</v>
      </c>
      <c r="G295">
        <f t="shared" si="4"/>
        <v>0</v>
      </c>
      <c r="H295">
        <v>1</v>
      </c>
      <c r="I295">
        <v>1721</v>
      </c>
      <c r="J295">
        <v>5024</v>
      </c>
      <c r="K295">
        <v>28232</v>
      </c>
      <c r="L295" s="1">
        <v>-12495</v>
      </c>
      <c r="M295">
        <v>-12496</v>
      </c>
      <c r="N295">
        <v>42.4</v>
      </c>
      <c r="O295">
        <v>8</v>
      </c>
      <c r="P295">
        <v>65535</v>
      </c>
      <c r="Q295">
        <v>6205</v>
      </c>
      <c r="R295">
        <v>-32767</v>
      </c>
      <c r="S295">
        <v>39.1</v>
      </c>
      <c r="T295">
        <v>14</v>
      </c>
      <c r="U295">
        <v>100</v>
      </c>
      <c r="V295">
        <v>34800</v>
      </c>
      <c r="W295">
        <v>5000</v>
      </c>
      <c r="X295" t="s">
        <v>823</v>
      </c>
      <c r="Y295" t="s">
        <v>830</v>
      </c>
      <c r="Z295" t="s">
        <v>828</v>
      </c>
      <c r="AA295">
        <v>6</v>
      </c>
      <c r="AB295">
        <v>6</v>
      </c>
      <c r="AC295">
        <v>76</v>
      </c>
      <c r="AD295">
        <v>4</v>
      </c>
      <c r="AE295">
        <v>1718</v>
      </c>
      <c r="AF295">
        <v>5024</v>
      </c>
      <c r="AG295">
        <v>412</v>
      </c>
      <c r="AH295">
        <v>3302</v>
      </c>
      <c r="AI295">
        <v>5</v>
      </c>
      <c r="AJ295">
        <v>87</v>
      </c>
      <c r="AK295">
        <v>1648</v>
      </c>
      <c r="AL295">
        <v>2783</v>
      </c>
      <c r="AM295">
        <v>12</v>
      </c>
      <c r="AN295">
        <v>911</v>
      </c>
      <c r="AO295" t="s">
        <v>826</v>
      </c>
    </row>
    <row r="296" spans="1:41">
      <c r="A296">
        <v>288</v>
      </c>
      <c r="B296" s="2">
        <v>45296.6200462963</v>
      </c>
      <c r="C296">
        <v>420.93</v>
      </c>
      <c r="D296" t="s">
        <v>821</v>
      </c>
      <c r="E296" t="s">
        <v>822</v>
      </c>
      <c r="F296">
        <v>35</v>
      </c>
      <c r="G296">
        <f t="shared" si="4"/>
        <v>0</v>
      </c>
      <c r="H296">
        <v>1</v>
      </c>
      <c r="I296">
        <v>1718</v>
      </c>
      <c r="J296">
        <v>5024</v>
      </c>
      <c r="K296">
        <v>28232</v>
      </c>
      <c r="L296" s="1">
        <v>-12496</v>
      </c>
      <c r="M296">
        <v>-12496</v>
      </c>
      <c r="N296">
        <v>42.4</v>
      </c>
      <c r="O296">
        <v>8</v>
      </c>
      <c r="P296">
        <v>65535</v>
      </c>
      <c r="Q296">
        <v>6205</v>
      </c>
      <c r="R296">
        <v>-32767</v>
      </c>
      <c r="S296">
        <v>39.1</v>
      </c>
      <c r="T296">
        <v>14</v>
      </c>
      <c r="U296">
        <v>100</v>
      </c>
      <c r="V296">
        <v>34800</v>
      </c>
      <c r="W296">
        <v>5000</v>
      </c>
      <c r="X296" t="s">
        <v>823</v>
      </c>
      <c r="Y296" t="s">
        <v>830</v>
      </c>
      <c r="Z296" t="s">
        <v>828</v>
      </c>
      <c r="AA296">
        <v>6</v>
      </c>
      <c r="AB296">
        <v>6</v>
      </c>
      <c r="AC296">
        <v>76</v>
      </c>
      <c r="AD296">
        <v>4</v>
      </c>
      <c r="AE296">
        <v>1714</v>
      </c>
      <c r="AF296">
        <v>5024</v>
      </c>
      <c r="AG296">
        <v>413</v>
      </c>
      <c r="AH296">
        <v>3306</v>
      </c>
      <c r="AI296">
        <v>5</v>
      </c>
      <c r="AJ296">
        <v>87</v>
      </c>
      <c r="AK296">
        <v>1648</v>
      </c>
      <c r="AL296">
        <v>2787</v>
      </c>
      <c r="AM296">
        <v>12</v>
      </c>
      <c r="AN296">
        <v>904</v>
      </c>
      <c r="AO296" t="s">
        <v>826</v>
      </c>
    </row>
    <row r="297" spans="1:41">
      <c r="A297">
        <v>289</v>
      </c>
      <c r="B297" s="2">
        <v>45296.6200462963</v>
      </c>
      <c r="C297">
        <v>421.869</v>
      </c>
      <c r="D297" t="s">
        <v>821</v>
      </c>
      <c r="E297" t="s">
        <v>822</v>
      </c>
      <c r="F297">
        <v>35</v>
      </c>
      <c r="G297">
        <f t="shared" si="4"/>
        <v>0</v>
      </c>
      <c r="H297">
        <v>1</v>
      </c>
      <c r="I297">
        <v>1714</v>
      </c>
      <c r="J297">
        <v>5024</v>
      </c>
      <c r="K297">
        <v>28224</v>
      </c>
      <c r="L297" s="1">
        <v>-12495</v>
      </c>
      <c r="M297">
        <v>-12496</v>
      </c>
      <c r="N297">
        <v>42.5</v>
      </c>
      <c r="O297">
        <v>8</v>
      </c>
      <c r="P297">
        <v>65535</v>
      </c>
      <c r="Q297">
        <v>6190</v>
      </c>
      <c r="R297">
        <v>-32767</v>
      </c>
      <c r="S297">
        <v>39.1</v>
      </c>
      <c r="T297">
        <v>14</v>
      </c>
      <c r="U297">
        <v>100</v>
      </c>
      <c r="V297">
        <v>34800</v>
      </c>
      <c r="W297">
        <v>5000</v>
      </c>
      <c r="X297" t="s">
        <v>823</v>
      </c>
      <c r="Y297" t="s">
        <v>830</v>
      </c>
      <c r="Z297" t="s">
        <v>828</v>
      </c>
      <c r="AA297">
        <v>6</v>
      </c>
      <c r="AB297">
        <v>6</v>
      </c>
      <c r="AC297">
        <v>76</v>
      </c>
      <c r="AD297">
        <v>4</v>
      </c>
      <c r="AE297">
        <v>1711</v>
      </c>
      <c r="AF297">
        <v>5024</v>
      </c>
      <c r="AG297">
        <v>414</v>
      </c>
      <c r="AH297">
        <v>3309</v>
      </c>
      <c r="AI297">
        <v>5</v>
      </c>
      <c r="AJ297">
        <v>87</v>
      </c>
      <c r="AK297">
        <v>1648</v>
      </c>
      <c r="AL297">
        <v>2790</v>
      </c>
      <c r="AM297">
        <v>12</v>
      </c>
      <c r="AN297">
        <v>902</v>
      </c>
      <c r="AO297" t="s">
        <v>826</v>
      </c>
    </row>
    <row r="298" spans="1:41">
      <c r="A298">
        <v>290</v>
      </c>
      <c r="B298" s="2">
        <v>45296.6200810185</v>
      </c>
      <c r="C298">
        <v>424.216</v>
      </c>
      <c r="D298" t="s">
        <v>821</v>
      </c>
      <c r="E298" t="s">
        <v>822</v>
      </c>
      <c r="F298">
        <v>34</v>
      </c>
      <c r="G298">
        <f t="shared" si="4"/>
        <v>1</v>
      </c>
      <c r="H298">
        <v>1</v>
      </c>
      <c r="I298">
        <v>1704</v>
      </c>
      <c r="J298">
        <v>5024</v>
      </c>
      <c r="K298">
        <v>28224</v>
      </c>
      <c r="L298" s="1">
        <v>-12495</v>
      </c>
      <c r="M298">
        <v>-12496</v>
      </c>
      <c r="N298">
        <v>42.5</v>
      </c>
      <c r="O298">
        <v>8</v>
      </c>
      <c r="P298">
        <v>65535</v>
      </c>
      <c r="Q298">
        <v>6155</v>
      </c>
      <c r="R298">
        <v>-32767</v>
      </c>
      <c r="S298">
        <v>39.1</v>
      </c>
      <c r="T298">
        <v>14</v>
      </c>
      <c r="U298">
        <v>100</v>
      </c>
      <c r="V298">
        <v>34800</v>
      </c>
      <c r="W298">
        <v>5000</v>
      </c>
      <c r="X298" t="s">
        <v>823</v>
      </c>
      <c r="Y298" t="s">
        <v>830</v>
      </c>
      <c r="Z298" t="s">
        <v>828</v>
      </c>
      <c r="AA298">
        <v>6</v>
      </c>
      <c r="AB298">
        <v>6</v>
      </c>
      <c r="AC298">
        <v>76</v>
      </c>
      <c r="AD298">
        <v>4</v>
      </c>
      <c r="AE298">
        <v>1704</v>
      </c>
      <c r="AF298">
        <v>5024</v>
      </c>
      <c r="AG298">
        <v>416</v>
      </c>
      <c r="AH298">
        <v>3316</v>
      </c>
      <c r="AI298">
        <v>5</v>
      </c>
      <c r="AJ298">
        <v>87</v>
      </c>
      <c r="AK298">
        <v>1648</v>
      </c>
      <c r="AL298">
        <v>2797</v>
      </c>
      <c r="AM298">
        <v>12</v>
      </c>
      <c r="AN298">
        <v>913</v>
      </c>
      <c r="AO298" t="s">
        <v>826</v>
      </c>
    </row>
    <row r="299" spans="1:41">
      <c r="A299">
        <v>291</v>
      </c>
      <c r="B299" s="2">
        <v>45296.6200925926</v>
      </c>
      <c r="C299">
        <v>425.163</v>
      </c>
      <c r="D299" t="s">
        <v>821</v>
      </c>
      <c r="E299" t="s">
        <v>822</v>
      </c>
      <c r="F299">
        <v>34</v>
      </c>
      <c r="G299">
        <f t="shared" si="4"/>
        <v>0</v>
      </c>
      <c r="H299">
        <v>1</v>
      </c>
      <c r="I299">
        <v>1700</v>
      </c>
      <c r="J299">
        <v>5024</v>
      </c>
      <c r="K299">
        <v>28216</v>
      </c>
      <c r="L299" s="1">
        <v>-12496</v>
      </c>
      <c r="M299">
        <v>-12496</v>
      </c>
      <c r="N299">
        <v>42.5</v>
      </c>
      <c r="O299">
        <v>8</v>
      </c>
      <c r="P299">
        <v>65535</v>
      </c>
      <c r="Q299">
        <v>6141</v>
      </c>
      <c r="R299">
        <v>-32767</v>
      </c>
      <c r="S299">
        <v>39.1</v>
      </c>
      <c r="T299">
        <v>14</v>
      </c>
      <c r="U299">
        <v>100</v>
      </c>
      <c r="V299">
        <v>34800</v>
      </c>
      <c r="W299">
        <v>5000</v>
      </c>
      <c r="X299" t="s">
        <v>823</v>
      </c>
      <c r="Y299" t="s">
        <v>830</v>
      </c>
      <c r="Z299" t="s">
        <v>828</v>
      </c>
      <c r="AA299">
        <v>6</v>
      </c>
      <c r="AB299">
        <v>6</v>
      </c>
      <c r="AC299">
        <v>76</v>
      </c>
      <c r="AD299">
        <v>4</v>
      </c>
      <c r="AE299">
        <v>1700</v>
      </c>
      <c r="AF299">
        <v>5024</v>
      </c>
      <c r="AG299">
        <v>417</v>
      </c>
      <c r="AH299">
        <v>3320</v>
      </c>
      <c r="AI299">
        <v>5</v>
      </c>
      <c r="AJ299">
        <v>87</v>
      </c>
      <c r="AK299">
        <v>1648</v>
      </c>
      <c r="AL299">
        <v>2801</v>
      </c>
      <c r="AM299">
        <v>12</v>
      </c>
      <c r="AN299">
        <v>906</v>
      </c>
      <c r="AO299" t="s">
        <v>826</v>
      </c>
    </row>
    <row r="300" spans="1:41">
      <c r="A300">
        <v>292</v>
      </c>
      <c r="B300" s="2">
        <v>45296.6201041667</v>
      </c>
      <c r="C300">
        <v>426.108</v>
      </c>
      <c r="D300" t="s">
        <v>821</v>
      </c>
      <c r="E300" t="s">
        <v>822</v>
      </c>
      <c r="F300">
        <v>34</v>
      </c>
      <c r="G300">
        <f t="shared" si="4"/>
        <v>0</v>
      </c>
      <c r="H300">
        <v>1</v>
      </c>
      <c r="I300">
        <v>1697</v>
      </c>
      <c r="J300">
        <v>5024</v>
      </c>
      <c r="K300">
        <v>28208</v>
      </c>
      <c r="L300" s="1">
        <v>-12496</v>
      </c>
      <c r="M300">
        <v>-12496</v>
      </c>
      <c r="N300">
        <v>42.5</v>
      </c>
      <c r="O300">
        <v>8</v>
      </c>
      <c r="P300">
        <v>65535</v>
      </c>
      <c r="Q300">
        <v>6131</v>
      </c>
      <c r="R300">
        <v>-32767</v>
      </c>
      <c r="S300">
        <v>39.1</v>
      </c>
      <c r="T300">
        <v>14</v>
      </c>
      <c r="U300">
        <v>100</v>
      </c>
      <c r="V300">
        <v>34800</v>
      </c>
      <c r="W300">
        <v>5000</v>
      </c>
      <c r="X300" t="s">
        <v>823</v>
      </c>
      <c r="Y300" t="s">
        <v>830</v>
      </c>
      <c r="Z300" t="s">
        <v>828</v>
      </c>
      <c r="AA300">
        <v>6</v>
      </c>
      <c r="AB300">
        <v>6</v>
      </c>
      <c r="AC300">
        <v>76</v>
      </c>
      <c r="AD300">
        <v>4</v>
      </c>
      <c r="AE300">
        <v>1697</v>
      </c>
      <c r="AF300">
        <v>5024</v>
      </c>
      <c r="AG300">
        <v>418</v>
      </c>
      <c r="AH300">
        <v>3323</v>
      </c>
      <c r="AI300">
        <v>5</v>
      </c>
      <c r="AJ300">
        <v>87</v>
      </c>
      <c r="AK300">
        <v>1648</v>
      </c>
      <c r="AL300">
        <v>2804</v>
      </c>
      <c r="AM300">
        <v>12</v>
      </c>
      <c r="AN300">
        <v>913</v>
      </c>
      <c r="AO300" t="s">
        <v>826</v>
      </c>
    </row>
    <row r="301" spans="1:41">
      <c r="A301">
        <v>293</v>
      </c>
      <c r="B301" s="2">
        <v>45296.6201273148</v>
      </c>
      <c r="C301">
        <v>428.469</v>
      </c>
      <c r="D301" t="s">
        <v>821</v>
      </c>
      <c r="E301" t="s">
        <v>822</v>
      </c>
      <c r="F301">
        <v>34</v>
      </c>
      <c r="G301">
        <f t="shared" si="4"/>
        <v>0</v>
      </c>
      <c r="H301">
        <v>1</v>
      </c>
      <c r="I301">
        <v>1690</v>
      </c>
      <c r="J301">
        <v>5024</v>
      </c>
      <c r="K301">
        <v>28208</v>
      </c>
      <c r="L301" s="1">
        <v>-12495</v>
      </c>
      <c r="M301">
        <v>-12496</v>
      </c>
      <c r="N301">
        <v>42.6</v>
      </c>
      <c r="O301">
        <v>8</v>
      </c>
      <c r="P301">
        <v>65535</v>
      </c>
      <c r="Q301">
        <v>6106</v>
      </c>
      <c r="R301">
        <v>-32767</v>
      </c>
      <c r="S301">
        <v>39.1</v>
      </c>
      <c r="T301">
        <v>14</v>
      </c>
      <c r="U301">
        <v>100</v>
      </c>
      <c r="V301">
        <v>34800</v>
      </c>
      <c r="W301">
        <v>5000</v>
      </c>
      <c r="X301" t="s">
        <v>823</v>
      </c>
      <c r="Y301" t="s">
        <v>830</v>
      </c>
      <c r="Z301" t="s">
        <v>828</v>
      </c>
      <c r="AA301">
        <v>6</v>
      </c>
      <c r="AB301">
        <v>6</v>
      </c>
      <c r="AC301">
        <v>76</v>
      </c>
      <c r="AD301">
        <v>4</v>
      </c>
      <c r="AE301">
        <v>1690</v>
      </c>
      <c r="AF301">
        <v>5024</v>
      </c>
      <c r="AG301">
        <v>420</v>
      </c>
      <c r="AH301">
        <v>3330</v>
      </c>
      <c r="AI301">
        <v>5</v>
      </c>
      <c r="AJ301">
        <v>87</v>
      </c>
      <c r="AK301">
        <v>1648</v>
      </c>
      <c r="AL301">
        <v>2811</v>
      </c>
      <c r="AM301">
        <v>12</v>
      </c>
      <c r="AN301">
        <v>908</v>
      </c>
      <c r="AO301" t="s">
        <v>826</v>
      </c>
    </row>
    <row r="302" spans="1:41">
      <c r="A302">
        <v>294</v>
      </c>
      <c r="B302" s="2">
        <v>45296.6201388889</v>
      </c>
      <c r="C302">
        <v>429.42</v>
      </c>
      <c r="D302" t="s">
        <v>821</v>
      </c>
      <c r="E302" t="s">
        <v>822</v>
      </c>
      <c r="F302">
        <v>34</v>
      </c>
      <c r="G302">
        <f t="shared" si="4"/>
        <v>0</v>
      </c>
      <c r="H302">
        <v>1</v>
      </c>
      <c r="I302">
        <v>1686</v>
      </c>
      <c r="J302">
        <v>5024</v>
      </c>
      <c r="K302">
        <v>28208</v>
      </c>
      <c r="L302" s="1">
        <v>-12496</v>
      </c>
      <c r="M302">
        <v>-12496</v>
      </c>
      <c r="N302">
        <v>42.6</v>
      </c>
      <c r="O302">
        <v>8</v>
      </c>
      <c r="P302">
        <v>65535</v>
      </c>
      <c r="Q302">
        <v>6092</v>
      </c>
      <c r="R302">
        <v>-32767</v>
      </c>
      <c r="S302">
        <v>39.2</v>
      </c>
      <c r="T302">
        <v>14</v>
      </c>
      <c r="U302">
        <v>100</v>
      </c>
      <c r="V302">
        <v>34800</v>
      </c>
      <c r="W302">
        <v>5000</v>
      </c>
      <c r="X302" t="s">
        <v>823</v>
      </c>
      <c r="Y302" t="s">
        <v>830</v>
      </c>
      <c r="Z302" t="s">
        <v>828</v>
      </c>
      <c r="AA302">
        <v>6</v>
      </c>
      <c r="AB302">
        <v>6</v>
      </c>
      <c r="AC302">
        <v>76</v>
      </c>
      <c r="AD302">
        <v>4</v>
      </c>
      <c r="AE302">
        <v>1686</v>
      </c>
      <c r="AF302">
        <v>5024</v>
      </c>
      <c r="AG302">
        <v>421</v>
      </c>
      <c r="AH302">
        <v>3334</v>
      </c>
      <c r="AI302">
        <v>5</v>
      </c>
      <c r="AJ302">
        <v>87</v>
      </c>
      <c r="AK302">
        <v>1648</v>
      </c>
      <c r="AL302">
        <v>2815</v>
      </c>
      <c r="AM302">
        <v>12</v>
      </c>
      <c r="AN302">
        <v>913</v>
      </c>
      <c r="AO302" t="s">
        <v>826</v>
      </c>
    </row>
    <row r="303" spans="1:41">
      <c r="A303">
        <v>295</v>
      </c>
      <c r="B303" s="2">
        <v>45296.620150463</v>
      </c>
      <c r="C303">
        <v>430.375</v>
      </c>
      <c r="D303" t="s">
        <v>821</v>
      </c>
      <c r="E303" t="s">
        <v>822</v>
      </c>
      <c r="F303">
        <v>34</v>
      </c>
      <c r="G303">
        <f t="shared" si="4"/>
        <v>0</v>
      </c>
      <c r="H303">
        <v>1</v>
      </c>
      <c r="I303">
        <v>1683</v>
      </c>
      <c r="J303">
        <v>5024</v>
      </c>
      <c r="K303">
        <v>28208</v>
      </c>
      <c r="L303" s="1">
        <v>-12496</v>
      </c>
      <c r="M303">
        <v>-12496</v>
      </c>
      <c r="N303">
        <v>42.6</v>
      </c>
      <c r="O303">
        <v>8</v>
      </c>
      <c r="P303">
        <v>65535</v>
      </c>
      <c r="Q303">
        <v>6081</v>
      </c>
      <c r="R303">
        <v>-32767</v>
      </c>
      <c r="S303">
        <v>39.1</v>
      </c>
      <c r="T303">
        <v>14</v>
      </c>
      <c r="U303">
        <v>100</v>
      </c>
      <c r="V303">
        <v>34800</v>
      </c>
      <c r="W303">
        <v>5000</v>
      </c>
      <c r="X303" t="s">
        <v>823</v>
      </c>
      <c r="Y303" t="s">
        <v>830</v>
      </c>
      <c r="Z303" t="s">
        <v>828</v>
      </c>
      <c r="AA303">
        <v>6</v>
      </c>
      <c r="AB303">
        <v>6</v>
      </c>
      <c r="AC303">
        <v>76</v>
      </c>
      <c r="AD303">
        <v>4</v>
      </c>
      <c r="AE303">
        <v>1683</v>
      </c>
      <c r="AF303">
        <v>5024</v>
      </c>
      <c r="AG303">
        <v>422</v>
      </c>
      <c r="AH303">
        <v>3337</v>
      </c>
      <c r="AI303">
        <v>5</v>
      </c>
      <c r="AJ303">
        <v>87</v>
      </c>
      <c r="AK303">
        <v>1648</v>
      </c>
      <c r="AL303">
        <v>2818</v>
      </c>
      <c r="AM303">
        <v>12</v>
      </c>
      <c r="AN303">
        <v>912</v>
      </c>
      <c r="AO303" t="s">
        <v>826</v>
      </c>
    </row>
    <row r="304" spans="1:41">
      <c r="A304">
        <v>296</v>
      </c>
      <c r="B304" s="2">
        <v>45296.6201736111</v>
      </c>
      <c r="C304">
        <v>432.734</v>
      </c>
      <c r="D304" t="s">
        <v>821</v>
      </c>
      <c r="E304" t="s">
        <v>822</v>
      </c>
      <c r="F304">
        <v>34</v>
      </c>
      <c r="G304">
        <f t="shared" si="4"/>
        <v>0</v>
      </c>
      <c r="H304">
        <v>1</v>
      </c>
      <c r="I304">
        <v>1676</v>
      </c>
      <c r="J304">
        <v>5024</v>
      </c>
      <c r="K304">
        <v>28200</v>
      </c>
      <c r="L304" s="1">
        <v>-12495</v>
      </c>
      <c r="M304">
        <v>-12496</v>
      </c>
      <c r="N304">
        <v>42.6</v>
      </c>
      <c r="O304">
        <v>8</v>
      </c>
      <c r="P304">
        <v>65535</v>
      </c>
      <c r="Q304">
        <v>6056</v>
      </c>
      <c r="R304">
        <v>-32767</v>
      </c>
      <c r="S304">
        <v>39.2</v>
      </c>
      <c r="T304">
        <v>14</v>
      </c>
      <c r="U304">
        <v>100</v>
      </c>
      <c r="V304">
        <v>34800</v>
      </c>
      <c r="W304">
        <v>5000</v>
      </c>
      <c r="X304" t="s">
        <v>823</v>
      </c>
      <c r="Y304" t="s">
        <v>830</v>
      </c>
      <c r="Z304" t="s">
        <v>828</v>
      </c>
      <c r="AA304">
        <v>6</v>
      </c>
      <c r="AB304">
        <v>6</v>
      </c>
      <c r="AC304">
        <v>76</v>
      </c>
      <c r="AD304">
        <v>4</v>
      </c>
      <c r="AE304">
        <v>1676</v>
      </c>
      <c r="AF304">
        <v>5024</v>
      </c>
      <c r="AG304">
        <v>425</v>
      </c>
      <c r="AH304">
        <v>3347</v>
      </c>
      <c r="AI304">
        <v>5</v>
      </c>
      <c r="AJ304">
        <v>87</v>
      </c>
      <c r="AK304">
        <v>1648</v>
      </c>
      <c r="AL304">
        <v>2828</v>
      </c>
      <c r="AM304">
        <v>12</v>
      </c>
      <c r="AN304">
        <v>911</v>
      </c>
      <c r="AO304" t="s">
        <v>826</v>
      </c>
    </row>
    <row r="305" spans="1:41">
      <c r="A305">
        <v>297</v>
      </c>
      <c r="B305" s="2">
        <v>45296.6201851852</v>
      </c>
      <c r="C305">
        <v>433.683</v>
      </c>
      <c r="D305" t="s">
        <v>821</v>
      </c>
      <c r="E305" t="s">
        <v>822</v>
      </c>
      <c r="F305">
        <v>34</v>
      </c>
      <c r="G305">
        <f t="shared" si="4"/>
        <v>0</v>
      </c>
      <c r="H305">
        <v>1</v>
      </c>
      <c r="I305">
        <v>1673</v>
      </c>
      <c r="J305">
        <v>5024</v>
      </c>
      <c r="K305">
        <v>28192</v>
      </c>
      <c r="L305" s="1">
        <v>-12496</v>
      </c>
      <c r="M305">
        <v>-12496</v>
      </c>
      <c r="N305">
        <v>42.6</v>
      </c>
      <c r="O305">
        <v>8</v>
      </c>
      <c r="P305">
        <v>65535</v>
      </c>
      <c r="Q305">
        <v>6046</v>
      </c>
      <c r="R305">
        <v>-32767</v>
      </c>
      <c r="S305">
        <v>39.2</v>
      </c>
      <c r="T305">
        <v>14</v>
      </c>
      <c r="U305">
        <v>100</v>
      </c>
      <c r="V305">
        <v>34800</v>
      </c>
      <c r="W305">
        <v>5000</v>
      </c>
      <c r="X305" t="s">
        <v>823</v>
      </c>
      <c r="Y305" t="s">
        <v>830</v>
      </c>
      <c r="Z305" t="s">
        <v>828</v>
      </c>
      <c r="AA305">
        <v>6</v>
      </c>
      <c r="AB305">
        <v>6</v>
      </c>
      <c r="AC305">
        <v>76</v>
      </c>
      <c r="AD305">
        <v>4</v>
      </c>
      <c r="AE305">
        <v>1673</v>
      </c>
      <c r="AF305">
        <v>5024</v>
      </c>
      <c r="AG305">
        <v>425</v>
      </c>
      <c r="AH305">
        <v>3347</v>
      </c>
      <c r="AI305">
        <v>5</v>
      </c>
      <c r="AJ305">
        <v>87</v>
      </c>
      <c r="AK305">
        <v>1648</v>
      </c>
      <c r="AL305">
        <v>2832</v>
      </c>
      <c r="AM305">
        <v>12</v>
      </c>
      <c r="AN305">
        <v>899</v>
      </c>
      <c r="AO305" t="s">
        <v>826</v>
      </c>
    </row>
    <row r="306" spans="1:41">
      <c r="A306">
        <v>298</v>
      </c>
      <c r="B306" s="2">
        <v>45296.6202199074</v>
      </c>
      <c r="C306">
        <v>436.05</v>
      </c>
      <c r="D306" t="s">
        <v>821</v>
      </c>
      <c r="E306" t="s">
        <v>822</v>
      </c>
      <c r="F306">
        <v>34</v>
      </c>
      <c r="G306">
        <f t="shared" si="4"/>
        <v>0</v>
      </c>
      <c r="H306">
        <v>1</v>
      </c>
      <c r="I306">
        <v>1666</v>
      </c>
      <c r="J306">
        <v>5024</v>
      </c>
      <c r="K306">
        <v>28192</v>
      </c>
      <c r="L306" s="1">
        <v>-12495</v>
      </c>
      <c r="M306">
        <v>-12496</v>
      </c>
      <c r="N306">
        <v>42.6</v>
      </c>
      <c r="O306">
        <v>8</v>
      </c>
      <c r="P306">
        <v>65535</v>
      </c>
      <c r="Q306">
        <v>6007</v>
      </c>
      <c r="R306">
        <v>-32767</v>
      </c>
      <c r="S306">
        <v>39.2</v>
      </c>
      <c r="T306">
        <v>14</v>
      </c>
      <c r="U306">
        <v>100</v>
      </c>
      <c r="V306">
        <v>34800</v>
      </c>
      <c r="W306">
        <v>5000</v>
      </c>
      <c r="X306" t="s">
        <v>823</v>
      </c>
      <c r="Y306" t="s">
        <v>830</v>
      </c>
      <c r="Z306" t="s">
        <v>828</v>
      </c>
      <c r="AA306">
        <v>6</v>
      </c>
      <c r="AB306">
        <v>6</v>
      </c>
      <c r="AC306">
        <v>76</v>
      </c>
      <c r="AD306">
        <v>4</v>
      </c>
      <c r="AE306">
        <v>1662</v>
      </c>
      <c r="AF306">
        <v>5024</v>
      </c>
      <c r="AG306">
        <v>428</v>
      </c>
      <c r="AH306">
        <v>3358</v>
      </c>
      <c r="AI306">
        <v>5</v>
      </c>
      <c r="AJ306">
        <v>87</v>
      </c>
      <c r="AK306">
        <v>1648</v>
      </c>
      <c r="AL306">
        <v>2839</v>
      </c>
      <c r="AM306">
        <v>12</v>
      </c>
      <c r="AN306">
        <v>907</v>
      </c>
      <c r="AO306" t="s">
        <v>826</v>
      </c>
    </row>
    <row r="307" spans="1:41">
      <c r="A307">
        <v>299</v>
      </c>
      <c r="B307" s="2">
        <v>45296.6202314815</v>
      </c>
      <c r="C307">
        <v>436.994</v>
      </c>
      <c r="D307" t="s">
        <v>821</v>
      </c>
      <c r="E307" t="s">
        <v>822</v>
      </c>
      <c r="F307">
        <v>34</v>
      </c>
      <c r="G307">
        <f t="shared" si="4"/>
        <v>0</v>
      </c>
      <c r="H307">
        <v>1</v>
      </c>
      <c r="I307">
        <v>1662</v>
      </c>
      <c r="J307">
        <v>5024</v>
      </c>
      <c r="K307">
        <v>28184</v>
      </c>
      <c r="L307" s="1">
        <v>-12495</v>
      </c>
      <c r="M307">
        <v>-12496</v>
      </c>
      <c r="N307">
        <v>42.6</v>
      </c>
      <c r="O307">
        <v>8</v>
      </c>
      <c r="P307">
        <v>65535</v>
      </c>
      <c r="Q307">
        <v>5997</v>
      </c>
      <c r="R307">
        <v>-32767</v>
      </c>
      <c r="S307">
        <v>39.2</v>
      </c>
      <c r="T307">
        <v>14</v>
      </c>
      <c r="U307">
        <v>100</v>
      </c>
      <c r="V307">
        <v>34800</v>
      </c>
      <c r="W307">
        <v>5000</v>
      </c>
      <c r="X307" t="s">
        <v>823</v>
      </c>
      <c r="Y307" t="s">
        <v>830</v>
      </c>
      <c r="Z307" t="s">
        <v>828</v>
      </c>
      <c r="AA307">
        <v>6</v>
      </c>
      <c r="AB307">
        <v>6</v>
      </c>
      <c r="AC307">
        <v>76</v>
      </c>
      <c r="AD307">
        <v>4</v>
      </c>
      <c r="AE307">
        <v>1659</v>
      </c>
      <c r="AF307">
        <v>5024</v>
      </c>
      <c r="AG307">
        <v>429</v>
      </c>
      <c r="AH307">
        <v>3361</v>
      </c>
      <c r="AI307">
        <v>5</v>
      </c>
      <c r="AJ307">
        <v>87</v>
      </c>
      <c r="AK307">
        <v>1648</v>
      </c>
      <c r="AL307">
        <v>2842</v>
      </c>
      <c r="AM307">
        <v>12</v>
      </c>
      <c r="AN307">
        <v>901</v>
      </c>
      <c r="AO307" t="s">
        <v>826</v>
      </c>
    </row>
    <row r="308" spans="1:41">
      <c r="A308">
        <v>300</v>
      </c>
      <c r="B308" s="2">
        <v>45296.6202430556</v>
      </c>
      <c r="C308">
        <v>437.929</v>
      </c>
      <c r="D308" t="s">
        <v>821</v>
      </c>
      <c r="E308" t="s">
        <v>822</v>
      </c>
      <c r="F308">
        <v>34</v>
      </c>
      <c r="G308">
        <f t="shared" si="4"/>
        <v>0</v>
      </c>
      <c r="H308">
        <v>1</v>
      </c>
      <c r="I308">
        <v>1659</v>
      </c>
      <c r="J308">
        <v>5024</v>
      </c>
      <c r="K308">
        <v>28184</v>
      </c>
      <c r="L308" s="1">
        <v>-12496</v>
      </c>
      <c r="M308">
        <v>-12496</v>
      </c>
      <c r="N308">
        <v>42.7</v>
      </c>
      <c r="O308">
        <v>8</v>
      </c>
      <c r="P308">
        <v>65535</v>
      </c>
      <c r="Q308">
        <v>5997</v>
      </c>
      <c r="R308">
        <v>-32767</v>
      </c>
      <c r="S308">
        <v>39.2</v>
      </c>
      <c r="T308">
        <v>14</v>
      </c>
      <c r="U308">
        <v>100</v>
      </c>
      <c r="V308">
        <v>34800</v>
      </c>
      <c r="W308">
        <v>5000</v>
      </c>
      <c r="X308" t="s">
        <v>823</v>
      </c>
      <c r="Y308" t="s">
        <v>830</v>
      </c>
      <c r="Z308" t="s">
        <v>828</v>
      </c>
      <c r="AA308">
        <v>6</v>
      </c>
      <c r="AB308">
        <v>6</v>
      </c>
      <c r="AC308">
        <v>76</v>
      </c>
      <c r="AD308">
        <v>4</v>
      </c>
      <c r="AE308">
        <v>1655</v>
      </c>
      <c r="AF308">
        <v>5024</v>
      </c>
      <c r="AG308">
        <v>430</v>
      </c>
      <c r="AH308">
        <v>3365</v>
      </c>
      <c r="AI308">
        <v>5</v>
      </c>
      <c r="AJ308">
        <v>87</v>
      </c>
      <c r="AK308">
        <v>1648</v>
      </c>
      <c r="AL308">
        <v>2846</v>
      </c>
      <c r="AM308">
        <v>12</v>
      </c>
      <c r="AN308">
        <v>904</v>
      </c>
      <c r="AO308" t="s">
        <v>826</v>
      </c>
    </row>
    <row r="309" spans="1:41">
      <c r="A309">
        <v>301</v>
      </c>
      <c r="B309" s="2">
        <v>45296.6202662037</v>
      </c>
      <c r="C309">
        <v>440.286</v>
      </c>
      <c r="D309" t="s">
        <v>821</v>
      </c>
      <c r="E309" t="s">
        <v>822</v>
      </c>
      <c r="F309">
        <v>33</v>
      </c>
      <c r="G309">
        <f t="shared" si="4"/>
        <v>1</v>
      </c>
      <c r="H309">
        <v>1</v>
      </c>
      <c r="I309">
        <v>1648</v>
      </c>
      <c r="J309">
        <v>5024</v>
      </c>
      <c r="K309">
        <v>28176</v>
      </c>
      <c r="L309" s="1">
        <v>-12495</v>
      </c>
      <c r="M309">
        <v>-12496</v>
      </c>
      <c r="N309">
        <v>42.7</v>
      </c>
      <c r="O309">
        <v>8</v>
      </c>
      <c r="P309">
        <v>65535</v>
      </c>
      <c r="Q309">
        <v>5958</v>
      </c>
      <c r="R309">
        <v>-32767</v>
      </c>
      <c r="S309">
        <v>39.2</v>
      </c>
      <c r="T309">
        <v>14</v>
      </c>
      <c r="U309">
        <v>100</v>
      </c>
      <c r="V309">
        <v>34800</v>
      </c>
      <c r="W309">
        <v>5000</v>
      </c>
      <c r="X309" t="s">
        <v>823</v>
      </c>
      <c r="Y309" t="s">
        <v>830</v>
      </c>
      <c r="Z309" t="s">
        <v>828</v>
      </c>
      <c r="AA309">
        <v>6</v>
      </c>
      <c r="AB309">
        <v>6</v>
      </c>
      <c r="AC309">
        <v>76</v>
      </c>
      <c r="AD309">
        <v>4</v>
      </c>
      <c r="AE309">
        <v>1648</v>
      </c>
      <c r="AF309">
        <v>5024</v>
      </c>
      <c r="AG309">
        <v>432</v>
      </c>
      <c r="AH309">
        <v>3372</v>
      </c>
      <c r="AI309">
        <v>5</v>
      </c>
      <c r="AJ309">
        <v>87</v>
      </c>
      <c r="AK309">
        <v>1648</v>
      </c>
      <c r="AL309">
        <v>2853</v>
      </c>
      <c r="AM309">
        <v>12</v>
      </c>
      <c r="AN309">
        <v>907</v>
      </c>
      <c r="AO309" t="s">
        <v>826</v>
      </c>
    </row>
    <row r="310" spans="1:41">
      <c r="A310">
        <v>302</v>
      </c>
      <c r="B310" s="2">
        <v>45296.6202777778</v>
      </c>
      <c r="C310">
        <v>441.24</v>
      </c>
      <c r="D310" t="s">
        <v>821</v>
      </c>
      <c r="E310" t="s">
        <v>822</v>
      </c>
      <c r="F310">
        <v>33</v>
      </c>
      <c r="G310">
        <f t="shared" si="4"/>
        <v>0</v>
      </c>
      <c r="H310">
        <v>1</v>
      </c>
      <c r="I310">
        <v>1645</v>
      </c>
      <c r="J310">
        <v>5024</v>
      </c>
      <c r="K310">
        <v>28168</v>
      </c>
      <c r="L310" s="1">
        <v>-12496</v>
      </c>
      <c r="M310">
        <v>-12496</v>
      </c>
      <c r="N310">
        <v>42.7</v>
      </c>
      <c r="O310">
        <v>8</v>
      </c>
      <c r="P310">
        <v>65535</v>
      </c>
      <c r="Q310">
        <v>5947</v>
      </c>
      <c r="R310">
        <v>-32767</v>
      </c>
      <c r="S310">
        <v>39.2</v>
      </c>
      <c r="T310">
        <v>14</v>
      </c>
      <c r="U310">
        <v>100</v>
      </c>
      <c r="V310">
        <v>34800</v>
      </c>
      <c r="W310">
        <v>5000</v>
      </c>
      <c r="X310" t="s">
        <v>823</v>
      </c>
      <c r="Y310" t="s">
        <v>830</v>
      </c>
      <c r="Z310" t="s">
        <v>828</v>
      </c>
      <c r="AA310">
        <v>6</v>
      </c>
      <c r="AB310">
        <v>6</v>
      </c>
      <c r="AC310">
        <v>76</v>
      </c>
      <c r="AD310">
        <v>4</v>
      </c>
      <c r="AE310">
        <v>1645</v>
      </c>
      <c r="AF310">
        <v>5024</v>
      </c>
      <c r="AG310">
        <v>433</v>
      </c>
      <c r="AH310">
        <v>3375</v>
      </c>
      <c r="AI310">
        <v>5</v>
      </c>
      <c r="AJ310">
        <v>87</v>
      </c>
      <c r="AK310">
        <v>1648</v>
      </c>
      <c r="AL310">
        <v>2856</v>
      </c>
      <c r="AM310">
        <v>12</v>
      </c>
      <c r="AN310">
        <v>905</v>
      </c>
      <c r="AO310" t="s">
        <v>826</v>
      </c>
    </row>
    <row r="311" spans="1:41">
      <c r="A311">
        <v>303</v>
      </c>
      <c r="B311" s="2">
        <v>45296.6202893518</v>
      </c>
      <c r="C311">
        <v>442.182</v>
      </c>
      <c r="D311" t="s">
        <v>821</v>
      </c>
      <c r="E311" t="s">
        <v>822</v>
      </c>
      <c r="F311">
        <v>33</v>
      </c>
      <c r="G311">
        <f t="shared" si="4"/>
        <v>0</v>
      </c>
      <c r="H311">
        <v>1</v>
      </c>
      <c r="I311">
        <v>1641</v>
      </c>
      <c r="J311">
        <v>5024</v>
      </c>
      <c r="K311">
        <v>28168</v>
      </c>
      <c r="L311" s="1">
        <v>-12495</v>
      </c>
      <c r="M311">
        <v>-12496</v>
      </c>
      <c r="N311">
        <v>42.7</v>
      </c>
      <c r="O311">
        <v>8</v>
      </c>
      <c r="P311">
        <v>65535</v>
      </c>
      <c r="Q311">
        <v>5933</v>
      </c>
      <c r="R311">
        <v>-32767</v>
      </c>
      <c r="S311">
        <v>39.2</v>
      </c>
      <c r="T311">
        <v>14</v>
      </c>
      <c r="U311">
        <v>100</v>
      </c>
      <c r="V311">
        <v>34800</v>
      </c>
      <c r="W311">
        <v>5000</v>
      </c>
      <c r="X311" t="s">
        <v>823</v>
      </c>
      <c r="Y311" t="s">
        <v>830</v>
      </c>
      <c r="Z311" t="s">
        <v>828</v>
      </c>
      <c r="AA311">
        <v>6</v>
      </c>
      <c r="AB311">
        <v>6</v>
      </c>
      <c r="AC311">
        <v>76</v>
      </c>
      <c r="AD311">
        <v>4</v>
      </c>
      <c r="AE311">
        <v>1641</v>
      </c>
      <c r="AF311">
        <v>5024</v>
      </c>
      <c r="AG311">
        <v>434</v>
      </c>
      <c r="AH311">
        <v>3379</v>
      </c>
      <c r="AI311">
        <v>5</v>
      </c>
      <c r="AJ311">
        <v>87</v>
      </c>
      <c r="AK311">
        <v>1648</v>
      </c>
      <c r="AL311">
        <v>2860</v>
      </c>
      <c r="AM311">
        <v>12</v>
      </c>
      <c r="AN311">
        <v>902</v>
      </c>
      <c r="AO311" t="s">
        <v>826</v>
      </c>
    </row>
    <row r="312" spans="1:41">
      <c r="A312">
        <v>304</v>
      </c>
      <c r="B312" s="2">
        <v>45296.6203125</v>
      </c>
      <c r="C312">
        <v>444.542</v>
      </c>
      <c r="D312" t="s">
        <v>821</v>
      </c>
      <c r="E312" t="s">
        <v>822</v>
      </c>
      <c r="F312">
        <v>33</v>
      </c>
      <c r="G312">
        <f t="shared" si="4"/>
        <v>0</v>
      </c>
      <c r="H312">
        <v>1</v>
      </c>
      <c r="I312">
        <v>1634</v>
      </c>
      <c r="J312">
        <v>5024</v>
      </c>
      <c r="K312">
        <v>28168</v>
      </c>
      <c r="L312" s="1">
        <v>-12496</v>
      </c>
      <c r="M312">
        <v>-12496</v>
      </c>
      <c r="N312">
        <v>42.7</v>
      </c>
      <c r="O312">
        <v>8</v>
      </c>
      <c r="P312">
        <v>65535</v>
      </c>
      <c r="Q312">
        <v>5909</v>
      </c>
      <c r="R312">
        <v>-32767</v>
      </c>
      <c r="S312">
        <v>39.3</v>
      </c>
      <c r="T312">
        <v>14</v>
      </c>
      <c r="U312">
        <v>100</v>
      </c>
      <c r="V312">
        <v>34800</v>
      </c>
      <c r="W312">
        <v>5000</v>
      </c>
      <c r="X312" t="s">
        <v>823</v>
      </c>
      <c r="Y312" t="s">
        <v>830</v>
      </c>
      <c r="Z312" t="s">
        <v>828</v>
      </c>
      <c r="AA312">
        <v>6</v>
      </c>
      <c r="AB312">
        <v>6</v>
      </c>
      <c r="AC312">
        <v>76</v>
      </c>
      <c r="AD312">
        <v>4</v>
      </c>
      <c r="AE312">
        <v>1634</v>
      </c>
      <c r="AF312">
        <v>5024</v>
      </c>
      <c r="AG312">
        <v>436</v>
      </c>
      <c r="AH312">
        <v>3386</v>
      </c>
      <c r="AI312">
        <v>5</v>
      </c>
      <c r="AJ312">
        <v>87</v>
      </c>
      <c r="AK312">
        <v>1648</v>
      </c>
      <c r="AL312">
        <v>2867</v>
      </c>
      <c r="AM312">
        <v>12</v>
      </c>
      <c r="AN312">
        <v>909</v>
      </c>
      <c r="AO312" t="s">
        <v>826</v>
      </c>
    </row>
    <row r="313" spans="1:41">
      <c r="A313">
        <v>305</v>
      </c>
      <c r="B313" s="2">
        <v>45296.6203240741</v>
      </c>
      <c r="C313">
        <v>445.494</v>
      </c>
      <c r="D313" t="s">
        <v>821</v>
      </c>
      <c r="E313" t="s">
        <v>822</v>
      </c>
      <c r="F313">
        <v>33</v>
      </c>
      <c r="G313">
        <f t="shared" si="4"/>
        <v>0</v>
      </c>
      <c r="H313">
        <v>1</v>
      </c>
      <c r="I313">
        <v>1631</v>
      </c>
      <c r="J313">
        <v>5024</v>
      </c>
      <c r="K313">
        <v>28160</v>
      </c>
      <c r="L313" s="1">
        <v>-12496</v>
      </c>
      <c r="M313">
        <v>-12496</v>
      </c>
      <c r="N313">
        <v>42.7</v>
      </c>
      <c r="O313">
        <v>8</v>
      </c>
      <c r="P313">
        <v>65535</v>
      </c>
      <c r="Q313">
        <v>5898</v>
      </c>
      <c r="R313">
        <v>-32767</v>
      </c>
      <c r="S313">
        <v>39.3</v>
      </c>
      <c r="T313">
        <v>14</v>
      </c>
      <c r="U313">
        <v>100</v>
      </c>
      <c r="V313">
        <v>34800</v>
      </c>
      <c r="W313">
        <v>5000</v>
      </c>
      <c r="X313" t="s">
        <v>823</v>
      </c>
      <c r="Y313" t="s">
        <v>830</v>
      </c>
      <c r="Z313" t="s">
        <v>828</v>
      </c>
      <c r="AA313">
        <v>6</v>
      </c>
      <c r="AB313">
        <v>6</v>
      </c>
      <c r="AC313">
        <v>76</v>
      </c>
      <c r="AD313">
        <v>4</v>
      </c>
      <c r="AE313">
        <v>1631</v>
      </c>
      <c r="AF313">
        <v>5024</v>
      </c>
      <c r="AG313">
        <v>437</v>
      </c>
      <c r="AH313">
        <v>3389</v>
      </c>
      <c r="AI313">
        <v>5</v>
      </c>
      <c r="AJ313">
        <v>87</v>
      </c>
      <c r="AK313">
        <v>1648</v>
      </c>
      <c r="AL313">
        <v>2870</v>
      </c>
      <c r="AM313">
        <v>12</v>
      </c>
      <c r="AN313">
        <v>902</v>
      </c>
      <c r="AO313" t="s">
        <v>826</v>
      </c>
    </row>
    <row r="314" spans="1:41">
      <c r="A314">
        <v>306</v>
      </c>
      <c r="B314" s="2">
        <v>45296.6203356481</v>
      </c>
      <c r="C314">
        <v>446.432</v>
      </c>
      <c r="D314" t="s">
        <v>821</v>
      </c>
      <c r="E314" t="s">
        <v>822</v>
      </c>
      <c r="F314">
        <v>33</v>
      </c>
      <c r="G314">
        <f t="shared" si="4"/>
        <v>0</v>
      </c>
      <c r="H314">
        <v>1</v>
      </c>
      <c r="I314">
        <v>1627</v>
      </c>
      <c r="J314">
        <v>5024</v>
      </c>
      <c r="K314">
        <v>28160</v>
      </c>
      <c r="L314" s="1">
        <v>-12496</v>
      </c>
      <c r="M314">
        <v>-12496</v>
      </c>
      <c r="N314">
        <v>42.7</v>
      </c>
      <c r="O314">
        <v>8</v>
      </c>
      <c r="P314">
        <v>65535</v>
      </c>
      <c r="Q314">
        <v>5884</v>
      </c>
      <c r="R314">
        <v>-32767</v>
      </c>
      <c r="S314">
        <v>39.3</v>
      </c>
      <c r="T314">
        <v>14</v>
      </c>
      <c r="U314">
        <v>100</v>
      </c>
      <c r="V314">
        <v>34800</v>
      </c>
      <c r="W314">
        <v>5000</v>
      </c>
      <c r="X314" t="s">
        <v>823</v>
      </c>
      <c r="Y314" t="s">
        <v>830</v>
      </c>
      <c r="Z314" t="s">
        <v>828</v>
      </c>
      <c r="AA314">
        <v>6</v>
      </c>
      <c r="AB314">
        <v>6</v>
      </c>
      <c r="AC314">
        <v>76</v>
      </c>
      <c r="AD314">
        <v>4</v>
      </c>
      <c r="AE314">
        <v>1627</v>
      </c>
      <c r="AF314">
        <v>5024</v>
      </c>
      <c r="AG314">
        <v>438</v>
      </c>
      <c r="AH314">
        <v>3393</v>
      </c>
      <c r="AI314">
        <v>5</v>
      </c>
      <c r="AJ314">
        <v>87</v>
      </c>
      <c r="AK314">
        <v>1648</v>
      </c>
      <c r="AL314">
        <v>2874</v>
      </c>
      <c r="AM314">
        <v>12</v>
      </c>
      <c r="AN314">
        <v>902</v>
      </c>
      <c r="AO314" t="s">
        <v>826</v>
      </c>
    </row>
    <row r="315" spans="1:41">
      <c r="A315">
        <v>307</v>
      </c>
      <c r="B315" s="2">
        <v>45296.6203587963</v>
      </c>
      <c r="C315">
        <v>448.78</v>
      </c>
      <c r="D315" t="s">
        <v>821</v>
      </c>
      <c r="E315" t="s">
        <v>822</v>
      </c>
      <c r="F315">
        <v>33</v>
      </c>
      <c r="G315">
        <f t="shared" si="4"/>
        <v>0</v>
      </c>
      <c r="H315">
        <v>1</v>
      </c>
      <c r="I315">
        <v>1620</v>
      </c>
      <c r="J315">
        <v>5024</v>
      </c>
      <c r="K315">
        <v>28152</v>
      </c>
      <c r="L315" s="1">
        <v>-12496</v>
      </c>
      <c r="M315">
        <v>-12496</v>
      </c>
      <c r="N315">
        <v>42.8</v>
      </c>
      <c r="O315">
        <v>8</v>
      </c>
      <c r="P315">
        <v>65535</v>
      </c>
      <c r="Q315">
        <v>5859</v>
      </c>
      <c r="R315">
        <v>-32767</v>
      </c>
      <c r="S315">
        <v>39.3</v>
      </c>
      <c r="T315">
        <v>14</v>
      </c>
      <c r="U315">
        <v>100</v>
      </c>
      <c r="V315">
        <v>34800</v>
      </c>
      <c r="W315">
        <v>5000</v>
      </c>
      <c r="X315" t="s">
        <v>823</v>
      </c>
      <c r="Y315" t="s">
        <v>830</v>
      </c>
      <c r="Z315" t="s">
        <v>828</v>
      </c>
      <c r="AA315">
        <v>6</v>
      </c>
      <c r="AB315">
        <v>6</v>
      </c>
      <c r="AC315">
        <v>76</v>
      </c>
      <c r="AD315">
        <v>4</v>
      </c>
      <c r="AE315">
        <v>1617</v>
      </c>
      <c r="AF315">
        <v>5024</v>
      </c>
      <c r="AG315">
        <v>441</v>
      </c>
      <c r="AH315">
        <v>3403</v>
      </c>
      <c r="AI315">
        <v>5</v>
      </c>
      <c r="AJ315">
        <v>87</v>
      </c>
      <c r="AK315">
        <v>1648</v>
      </c>
      <c r="AL315">
        <v>2884</v>
      </c>
      <c r="AM315">
        <v>12</v>
      </c>
      <c r="AN315">
        <v>911</v>
      </c>
      <c r="AO315" t="s">
        <v>826</v>
      </c>
    </row>
    <row r="316" spans="1:41">
      <c r="A316">
        <v>308</v>
      </c>
      <c r="B316" s="2">
        <v>45296.6203703704</v>
      </c>
      <c r="C316">
        <v>449.728</v>
      </c>
      <c r="D316" t="s">
        <v>821</v>
      </c>
      <c r="E316" t="s">
        <v>822</v>
      </c>
      <c r="F316">
        <v>33</v>
      </c>
      <c r="G316">
        <f t="shared" si="4"/>
        <v>0</v>
      </c>
      <c r="H316">
        <v>1</v>
      </c>
      <c r="I316">
        <v>1617</v>
      </c>
      <c r="J316">
        <v>5024</v>
      </c>
      <c r="K316">
        <v>28152</v>
      </c>
      <c r="L316" s="1">
        <v>-12496</v>
      </c>
      <c r="M316">
        <v>-12496</v>
      </c>
      <c r="N316">
        <v>42.8</v>
      </c>
      <c r="O316">
        <v>8</v>
      </c>
      <c r="P316">
        <v>65535</v>
      </c>
      <c r="Q316">
        <v>5849</v>
      </c>
      <c r="R316">
        <v>-32767</v>
      </c>
      <c r="S316">
        <v>39.3</v>
      </c>
      <c r="T316">
        <v>14</v>
      </c>
      <c r="U316">
        <v>100</v>
      </c>
      <c r="V316">
        <v>34800</v>
      </c>
      <c r="W316">
        <v>5000</v>
      </c>
      <c r="X316" t="s">
        <v>823</v>
      </c>
      <c r="Y316" t="s">
        <v>830</v>
      </c>
      <c r="Z316" t="s">
        <v>828</v>
      </c>
      <c r="AA316">
        <v>6</v>
      </c>
      <c r="AB316">
        <v>6</v>
      </c>
      <c r="AC316">
        <v>76</v>
      </c>
      <c r="AD316">
        <v>4</v>
      </c>
      <c r="AE316">
        <v>1617</v>
      </c>
      <c r="AF316">
        <v>5024</v>
      </c>
      <c r="AG316">
        <v>442</v>
      </c>
      <c r="AH316">
        <v>3406</v>
      </c>
      <c r="AI316">
        <v>5</v>
      </c>
      <c r="AJ316">
        <v>87</v>
      </c>
      <c r="AK316">
        <v>1648</v>
      </c>
      <c r="AL316">
        <v>2887</v>
      </c>
      <c r="AM316">
        <v>12</v>
      </c>
      <c r="AN316">
        <v>902</v>
      </c>
      <c r="AO316" t="s">
        <v>826</v>
      </c>
    </row>
    <row r="317" spans="1:41">
      <c r="A317">
        <v>309</v>
      </c>
      <c r="B317" s="2">
        <v>45296.6204050926</v>
      </c>
      <c r="C317">
        <v>452.09</v>
      </c>
      <c r="D317" t="s">
        <v>821</v>
      </c>
      <c r="E317" t="s">
        <v>822</v>
      </c>
      <c r="F317">
        <v>33</v>
      </c>
      <c r="G317">
        <f t="shared" si="4"/>
        <v>0</v>
      </c>
      <c r="H317">
        <v>1</v>
      </c>
      <c r="I317">
        <v>1607</v>
      </c>
      <c r="J317">
        <v>5024</v>
      </c>
      <c r="K317">
        <v>28144</v>
      </c>
      <c r="L317" s="1">
        <v>-12496</v>
      </c>
      <c r="M317">
        <v>-12496</v>
      </c>
      <c r="N317">
        <v>42.8</v>
      </c>
      <c r="O317">
        <v>8</v>
      </c>
      <c r="P317">
        <v>65535</v>
      </c>
      <c r="Q317">
        <v>5814</v>
      </c>
      <c r="R317">
        <v>-32767</v>
      </c>
      <c r="S317">
        <v>39.3</v>
      </c>
      <c r="T317">
        <v>14</v>
      </c>
      <c r="U317">
        <v>100</v>
      </c>
      <c r="V317">
        <v>34800</v>
      </c>
      <c r="W317">
        <v>5000</v>
      </c>
      <c r="X317" t="s">
        <v>823</v>
      </c>
      <c r="Y317" t="s">
        <v>830</v>
      </c>
      <c r="Z317" t="s">
        <v>828</v>
      </c>
      <c r="AA317">
        <v>6</v>
      </c>
      <c r="AB317">
        <v>6</v>
      </c>
      <c r="AC317">
        <v>76</v>
      </c>
      <c r="AD317">
        <v>4</v>
      </c>
      <c r="AE317">
        <v>1607</v>
      </c>
      <c r="AF317">
        <v>5024</v>
      </c>
      <c r="AG317">
        <v>444</v>
      </c>
      <c r="AH317">
        <v>3413</v>
      </c>
      <c r="AI317">
        <v>5</v>
      </c>
      <c r="AJ317">
        <v>87</v>
      </c>
      <c r="AK317">
        <v>1648</v>
      </c>
      <c r="AL317">
        <v>2894</v>
      </c>
      <c r="AM317">
        <v>12</v>
      </c>
      <c r="AN317">
        <v>914</v>
      </c>
      <c r="AO317" t="s">
        <v>826</v>
      </c>
    </row>
    <row r="318" spans="1:41">
      <c r="A318">
        <v>310</v>
      </c>
      <c r="B318" s="2">
        <v>45296.6204166667</v>
      </c>
      <c r="C318">
        <v>453.04</v>
      </c>
      <c r="D318" t="s">
        <v>821</v>
      </c>
      <c r="E318" t="s">
        <v>822</v>
      </c>
      <c r="F318">
        <v>32</v>
      </c>
      <c r="G318">
        <f t="shared" si="4"/>
        <v>1</v>
      </c>
      <c r="H318">
        <v>1</v>
      </c>
      <c r="I318">
        <v>1607</v>
      </c>
      <c r="J318">
        <v>5024</v>
      </c>
      <c r="K318">
        <v>28144</v>
      </c>
      <c r="L318" s="1">
        <v>-12496</v>
      </c>
      <c r="M318">
        <v>-12496</v>
      </c>
      <c r="N318">
        <v>42.9</v>
      </c>
      <c r="O318">
        <v>8</v>
      </c>
      <c r="P318">
        <v>65535</v>
      </c>
      <c r="Q318">
        <v>5799</v>
      </c>
      <c r="R318">
        <v>-32767</v>
      </c>
      <c r="S318">
        <v>39.3</v>
      </c>
      <c r="T318">
        <v>14</v>
      </c>
      <c r="U318">
        <v>100</v>
      </c>
      <c r="V318">
        <v>34800</v>
      </c>
      <c r="W318">
        <v>5000</v>
      </c>
      <c r="X318" t="s">
        <v>823</v>
      </c>
      <c r="Y318" t="s">
        <v>830</v>
      </c>
      <c r="Z318" t="s">
        <v>828</v>
      </c>
      <c r="AA318">
        <v>6</v>
      </c>
      <c r="AB318">
        <v>6</v>
      </c>
      <c r="AC318">
        <v>76</v>
      </c>
      <c r="AD318">
        <v>4</v>
      </c>
      <c r="AE318">
        <v>1603</v>
      </c>
      <c r="AF318">
        <v>5024</v>
      </c>
      <c r="AG318">
        <v>445</v>
      </c>
      <c r="AH318">
        <v>3417</v>
      </c>
      <c r="AI318">
        <v>5</v>
      </c>
      <c r="AJ318">
        <v>87</v>
      </c>
      <c r="AK318">
        <v>1648</v>
      </c>
      <c r="AL318">
        <v>2898</v>
      </c>
      <c r="AM318">
        <v>12</v>
      </c>
      <c r="AN318">
        <v>920</v>
      </c>
      <c r="AO318" t="s">
        <v>826</v>
      </c>
    </row>
    <row r="319" spans="1:41">
      <c r="A319">
        <v>311</v>
      </c>
      <c r="B319" s="2">
        <v>45296.6204282407</v>
      </c>
      <c r="C319">
        <v>453.995</v>
      </c>
      <c r="D319" t="s">
        <v>821</v>
      </c>
      <c r="E319" t="s">
        <v>822</v>
      </c>
      <c r="F319">
        <v>32</v>
      </c>
      <c r="G319">
        <f t="shared" si="4"/>
        <v>0</v>
      </c>
      <c r="H319">
        <v>1</v>
      </c>
      <c r="I319">
        <v>1603</v>
      </c>
      <c r="J319">
        <v>5024</v>
      </c>
      <c r="K319">
        <v>28144</v>
      </c>
      <c r="L319" s="1">
        <v>-12496</v>
      </c>
      <c r="M319">
        <v>-12496</v>
      </c>
      <c r="N319">
        <v>42.9</v>
      </c>
      <c r="O319">
        <v>8</v>
      </c>
      <c r="P319">
        <v>65535</v>
      </c>
      <c r="Q319">
        <v>5789</v>
      </c>
      <c r="R319">
        <v>-32767</v>
      </c>
      <c r="S319">
        <v>39.3</v>
      </c>
      <c r="T319">
        <v>14</v>
      </c>
      <c r="U319">
        <v>100</v>
      </c>
      <c r="V319">
        <v>34800</v>
      </c>
      <c r="W319">
        <v>5000</v>
      </c>
      <c r="X319" t="s">
        <v>823</v>
      </c>
      <c r="Y319" t="s">
        <v>830</v>
      </c>
      <c r="Z319" t="s">
        <v>828</v>
      </c>
      <c r="AA319">
        <v>6</v>
      </c>
      <c r="AB319">
        <v>6</v>
      </c>
      <c r="AC319">
        <v>76</v>
      </c>
      <c r="AD319">
        <v>4</v>
      </c>
      <c r="AE319">
        <v>1600</v>
      </c>
      <c r="AF319">
        <v>5024</v>
      </c>
      <c r="AG319">
        <v>446</v>
      </c>
      <c r="AH319">
        <v>3420</v>
      </c>
      <c r="AI319">
        <v>5</v>
      </c>
      <c r="AJ319">
        <v>87</v>
      </c>
      <c r="AK319">
        <v>1648</v>
      </c>
      <c r="AL319">
        <v>2901</v>
      </c>
      <c r="AM319">
        <v>12</v>
      </c>
      <c r="AN319">
        <v>900</v>
      </c>
      <c r="AO319" t="s">
        <v>826</v>
      </c>
    </row>
    <row r="320" spans="1:41">
      <c r="A320">
        <v>312</v>
      </c>
      <c r="B320" s="2">
        <v>45296.6204513889</v>
      </c>
      <c r="C320">
        <v>456.357</v>
      </c>
      <c r="D320" t="s">
        <v>821</v>
      </c>
      <c r="E320" t="s">
        <v>822</v>
      </c>
      <c r="F320">
        <v>32</v>
      </c>
      <c r="G320">
        <f t="shared" si="4"/>
        <v>0</v>
      </c>
      <c r="H320">
        <v>1</v>
      </c>
      <c r="I320">
        <v>1593</v>
      </c>
      <c r="J320">
        <v>5024</v>
      </c>
      <c r="K320">
        <v>28128</v>
      </c>
      <c r="L320" s="1">
        <v>-12495</v>
      </c>
      <c r="M320">
        <v>-12496</v>
      </c>
      <c r="N320">
        <v>42.9</v>
      </c>
      <c r="O320">
        <v>8</v>
      </c>
      <c r="P320">
        <v>65535</v>
      </c>
      <c r="Q320">
        <v>5764</v>
      </c>
      <c r="R320">
        <v>-32767</v>
      </c>
      <c r="S320">
        <v>39.3</v>
      </c>
      <c r="T320">
        <v>14</v>
      </c>
      <c r="U320">
        <v>100</v>
      </c>
      <c r="V320">
        <v>34800</v>
      </c>
      <c r="W320">
        <v>5000</v>
      </c>
      <c r="X320" t="s">
        <v>823</v>
      </c>
      <c r="Y320" t="s">
        <v>830</v>
      </c>
      <c r="Z320" t="s">
        <v>828</v>
      </c>
      <c r="AA320">
        <v>6</v>
      </c>
      <c r="AB320">
        <v>6</v>
      </c>
      <c r="AC320">
        <v>76</v>
      </c>
      <c r="AD320">
        <v>4</v>
      </c>
      <c r="AE320">
        <v>1593</v>
      </c>
      <c r="AF320">
        <v>5024</v>
      </c>
      <c r="AG320">
        <v>448</v>
      </c>
      <c r="AH320">
        <v>3427</v>
      </c>
      <c r="AI320">
        <v>5</v>
      </c>
      <c r="AJ320">
        <v>87</v>
      </c>
      <c r="AK320">
        <v>1648</v>
      </c>
      <c r="AL320">
        <v>2908</v>
      </c>
      <c r="AM320">
        <v>12</v>
      </c>
      <c r="AN320">
        <v>914</v>
      </c>
      <c r="AO320" t="s">
        <v>826</v>
      </c>
    </row>
    <row r="321" spans="1:41">
      <c r="A321">
        <v>313</v>
      </c>
      <c r="B321" s="2">
        <v>45296.620462963</v>
      </c>
      <c r="C321">
        <v>457.307</v>
      </c>
      <c r="D321" t="s">
        <v>821</v>
      </c>
      <c r="E321" t="s">
        <v>822</v>
      </c>
      <c r="F321">
        <v>32</v>
      </c>
      <c r="G321">
        <f t="shared" si="4"/>
        <v>0</v>
      </c>
      <c r="H321">
        <v>1</v>
      </c>
      <c r="I321">
        <v>1589</v>
      </c>
      <c r="J321">
        <v>5024</v>
      </c>
      <c r="K321">
        <v>28128</v>
      </c>
      <c r="L321" s="1">
        <v>-12496</v>
      </c>
      <c r="M321">
        <v>-12496</v>
      </c>
      <c r="N321">
        <v>42.9</v>
      </c>
      <c r="O321">
        <v>8</v>
      </c>
      <c r="P321">
        <v>65535</v>
      </c>
      <c r="Q321">
        <v>5750</v>
      </c>
      <c r="R321">
        <v>-32767</v>
      </c>
      <c r="S321">
        <v>39.3</v>
      </c>
      <c r="T321">
        <v>14</v>
      </c>
      <c r="U321">
        <v>100</v>
      </c>
      <c r="V321">
        <v>34800</v>
      </c>
      <c r="W321">
        <v>5000</v>
      </c>
      <c r="X321" t="s">
        <v>823</v>
      </c>
      <c r="Y321" t="s">
        <v>830</v>
      </c>
      <c r="Z321" t="s">
        <v>828</v>
      </c>
      <c r="AA321">
        <v>6</v>
      </c>
      <c r="AB321">
        <v>6</v>
      </c>
      <c r="AC321">
        <v>76</v>
      </c>
      <c r="AD321">
        <v>4</v>
      </c>
      <c r="AE321">
        <v>1589</v>
      </c>
      <c r="AF321">
        <v>5024</v>
      </c>
      <c r="AG321">
        <v>449</v>
      </c>
      <c r="AH321">
        <v>3431</v>
      </c>
      <c r="AI321">
        <v>5</v>
      </c>
      <c r="AJ321">
        <v>87</v>
      </c>
      <c r="AK321">
        <v>1648</v>
      </c>
      <c r="AL321">
        <v>2912</v>
      </c>
      <c r="AM321">
        <v>12</v>
      </c>
      <c r="AN321">
        <v>903</v>
      </c>
      <c r="AO321" t="s">
        <v>826</v>
      </c>
    </row>
    <row r="322" spans="1:41">
      <c r="A322">
        <v>314</v>
      </c>
      <c r="B322" s="2">
        <v>45296.620474537</v>
      </c>
      <c r="C322">
        <v>458.246</v>
      </c>
      <c r="D322" t="s">
        <v>821</v>
      </c>
      <c r="E322" t="s">
        <v>822</v>
      </c>
      <c r="F322">
        <v>32</v>
      </c>
      <c r="G322">
        <f t="shared" si="4"/>
        <v>0</v>
      </c>
      <c r="H322">
        <v>1</v>
      </c>
      <c r="I322">
        <v>1586</v>
      </c>
      <c r="J322">
        <v>5024</v>
      </c>
      <c r="K322">
        <v>28128</v>
      </c>
      <c r="L322" s="1">
        <v>-12496</v>
      </c>
      <c r="M322">
        <v>-12496</v>
      </c>
      <c r="N322">
        <v>42.9</v>
      </c>
      <c r="O322">
        <v>8</v>
      </c>
      <c r="P322">
        <v>65535</v>
      </c>
      <c r="Q322">
        <v>5740</v>
      </c>
      <c r="R322">
        <v>-32767</v>
      </c>
      <c r="S322">
        <v>39.4</v>
      </c>
      <c r="T322">
        <v>14</v>
      </c>
      <c r="U322">
        <v>100</v>
      </c>
      <c r="V322">
        <v>34800</v>
      </c>
      <c r="W322">
        <v>5000</v>
      </c>
      <c r="X322" t="s">
        <v>823</v>
      </c>
      <c r="Y322" t="s">
        <v>830</v>
      </c>
      <c r="Z322" t="s">
        <v>828</v>
      </c>
      <c r="AA322">
        <v>6</v>
      </c>
      <c r="AB322">
        <v>6</v>
      </c>
      <c r="AC322">
        <v>76</v>
      </c>
      <c r="AD322">
        <v>4</v>
      </c>
      <c r="AE322">
        <v>1586</v>
      </c>
      <c r="AF322">
        <v>5024</v>
      </c>
      <c r="AG322">
        <v>450</v>
      </c>
      <c r="AH322">
        <v>3434</v>
      </c>
      <c r="AI322">
        <v>5</v>
      </c>
      <c r="AJ322">
        <v>87</v>
      </c>
      <c r="AK322">
        <v>1648</v>
      </c>
      <c r="AL322">
        <v>2915</v>
      </c>
      <c r="AM322">
        <v>12</v>
      </c>
      <c r="AN322">
        <v>900</v>
      </c>
      <c r="AO322" t="s">
        <v>826</v>
      </c>
    </row>
    <row r="323" spans="1:41">
      <c r="A323">
        <v>315</v>
      </c>
      <c r="B323" s="2">
        <v>45296.6204976852</v>
      </c>
      <c r="C323">
        <v>460.64</v>
      </c>
      <c r="D323" t="s">
        <v>821</v>
      </c>
      <c r="E323" t="s">
        <v>822</v>
      </c>
      <c r="F323">
        <v>32</v>
      </c>
      <c r="G323">
        <f t="shared" si="4"/>
        <v>0</v>
      </c>
      <c r="H323">
        <v>1</v>
      </c>
      <c r="I323">
        <v>1579</v>
      </c>
      <c r="J323">
        <v>5024</v>
      </c>
      <c r="K323">
        <v>28120</v>
      </c>
      <c r="L323" s="1">
        <v>-12496</v>
      </c>
      <c r="M323">
        <v>-12496</v>
      </c>
      <c r="N323">
        <v>42.9</v>
      </c>
      <c r="O323">
        <v>8</v>
      </c>
      <c r="P323">
        <v>65535</v>
      </c>
      <c r="Q323">
        <v>5715</v>
      </c>
      <c r="R323">
        <v>-32767</v>
      </c>
      <c r="S323">
        <v>39.4</v>
      </c>
      <c r="T323">
        <v>14</v>
      </c>
      <c r="U323">
        <v>100</v>
      </c>
      <c r="V323">
        <v>34800</v>
      </c>
      <c r="W323">
        <v>5000</v>
      </c>
      <c r="X323" t="s">
        <v>823</v>
      </c>
      <c r="Y323" t="s">
        <v>830</v>
      </c>
      <c r="Z323" t="s">
        <v>828</v>
      </c>
      <c r="AA323">
        <v>6</v>
      </c>
      <c r="AB323">
        <v>6</v>
      </c>
      <c r="AC323">
        <v>76</v>
      </c>
      <c r="AD323">
        <v>4</v>
      </c>
      <c r="AE323">
        <v>1579</v>
      </c>
      <c r="AF323">
        <v>5024</v>
      </c>
      <c r="AG323">
        <v>452</v>
      </c>
      <c r="AH323">
        <v>3441</v>
      </c>
      <c r="AI323">
        <v>5</v>
      </c>
      <c r="AJ323">
        <v>87</v>
      </c>
      <c r="AK323">
        <v>1648</v>
      </c>
      <c r="AL323">
        <v>2926</v>
      </c>
      <c r="AM323">
        <v>12</v>
      </c>
      <c r="AN323">
        <v>908</v>
      </c>
      <c r="AO323" t="s">
        <v>826</v>
      </c>
    </row>
    <row r="324" spans="1:41">
      <c r="A324">
        <v>316</v>
      </c>
      <c r="B324" s="2">
        <v>45296.6205092593</v>
      </c>
      <c r="C324">
        <v>461.595</v>
      </c>
      <c r="D324" t="s">
        <v>821</v>
      </c>
      <c r="E324" t="s">
        <v>822</v>
      </c>
      <c r="F324">
        <v>32</v>
      </c>
      <c r="G324">
        <f t="shared" si="4"/>
        <v>0</v>
      </c>
      <c r="H324">
        <v>1</v>
      </c>
      <c r="I324">
        <v>1575</v>
      </c>
      <c r="J324">
        <v>5024</v>
      </c>
      <c r="K324">
        <v>28120</v>
      </c>
      <c r="L324" s="1">
        <v>-12496</v>
      </c>
      <c r="M324">
        <v>-12496</v>
      </c>
      <c r="N324">
        <v>42.9</v>
      </c>
      <c r="O324">
        <v>8</v>
      </c>
      <c r="P324">
        <v>65535</v>
      </c>
      <c r="Q324">
        <v>5701</v>
      </c>
      <c r="R324">
        <v>-32767</v>
      </c>
      <c r="S324">
        <v>39.4</v>
      </c>
      <c r="T324">
        <v>14</v>
      </c>
      <c r="U324">
        <v>100</v>
      </c>
      <c r="V324">
        <v>34800</v>
      </c>
      <c r="W324">
        <v>5000</v>
      </c>
      <c r="X324" t="s">
        <v>823</v>
      </c>
      <c r="Y324" t="s">
        <v>830</v>
      </c>
      <c r="Z324" t="s">
        <v>828</v>
      </c>
      <c r="AA324">
        <v>6</v>
      </c>
      <c r="AB324">
        <v>6</v>
      </c>
      <c r="AC324">
        <v>76</v>
      </c>
      <c r="AD324">
        <v>4</v>
      </c>
      <c r="AE324">
        <v>1575</v>
      </c>
      <c r="AF324">
        <v>5024</v>
      </c>
      <c r="AG324">
        <v>453</v>
      </c>
      <c r="AH324">
        <v>3445</v>
      </c>
      <c r="AI324">
        <v>5</v>
      </c>
      <c r="AJ324">
        <v>87</v>
      </c>
      <c r="AK324">
        <v>1648</v>
      </c>
      <c r="AL324">
        <v>2926</v>
      </c>
      <c r="AM324">
        <v>12</v>
      </c>
      <c r="AN324">
        <v>911</v>
      </c>
      <c r="AO324" t="s">
        <v>826</v>
      </c>
    </row>
    <row r="325" spans="1:41">
      <c r="A325">
        <v>317</v>
      </c>
      <c r="B325" s="2">
        <v>45296.6205439815</v>
      </c>
      <c r="C325">
        <v>463.947</v>
      </c>
      <c r="D325" t="s">
        <v>821</v>
      </c>
      <c r="E325" t="s">
        <v>822</v>
      </c>
      <c r="F325">
        <v>32</v>
      </c>
      <c r="G325">
        <f t="shared" si="4"/>
        <v>0</v>
      </c>
      <c r="H325">
        <v>1</v>
      </c>
      <c r="I325">
        <v>1568</v>
      </c>
      <c r="J325">
        <v>5024</v>
      </c>
      <c r="K325">
        <v>28112</v>
      </c>
      <c r="L325" s="1">
        <v>-12496</v>
      </c>
      <c r="M325">
        <v>-12496</v>
      </c>
      <c r="N325">
        <v>42.9</v>
      </c>
      <c r="O325">
        <v>8</v>
      </c>
      <c r="P325">
        <v>65535</v>
      </c>
      <c r="Q325">
        <v>5676</v>
      </c>
      <c r="R325">
        <v>-32767</v>
      </c>
      <c r="S325">
        <v>39.4</v>
      </c>
      <c r="T325">
        <v>14</v>
      </c>
      <c r="U325">
        <v>100</v>
      </c>
      <c r="V325">
        <v>34800</v>
      </c>
      <c r="W325">
        <v>5000</v>
      </c>
      <c r="X325" t="s">
        <v>823</v>
      </c>
      <c r="Y325" t="s">
        <v>830</v>
      </c>
      <c r="Z325" t="s">
        <v>828</v>
      </c>
      <c r="AA325">
        <v>6</v>
      </c>
      <c r="AB325">
        <v>6</v>
      </c>
      <c r="AC325">
        <v>76</v>
      </c>
      <c r="AD325">
        <v>4</v>
      </c>
      <c r="AE325">
        <v>1565</v>
      </c>
      <c r="AF325">
        <v>5024</v>
      </c>
      <c r="AG325">
        <v>456</v>
      </c>
      <c r="AH325">
        <v>3455</v>
      </c>
      <c r="AI325">
        <v>5</v>
      </c>
      <c r="AJ325">
        <v>87</v>
      </c>
      <c r="AK325">
        <v>1648</v>
      </c>
      <c r="AL325">
        <v>2936</v>
      </c>
      <c r="AM325">
        <v>12</v>
      </c>
      <c r="AN325">
        <v>918</v>
      </c>
      <c r="AO325" t="s">
        <v>826</v>
      </c>
    </row>
    <row r="326" spans="1:41">
      <c r="A326">
        <v>318</v>
      </c>
      <c r="B326" s="2">
        <v>45296.6205439815</v>
      </c>
      <c r="C326">
        <v>464.899</v>
      </c>
      <c r="D326" t="s">
        <v>821</v>
      </c>
      <c r="E326" t="s">
        <v>822</v>
      </c>
      <c r="F326">
        <v>32</v>
      </c>
      <c r="G326">
        <f t="shared" si="4"/>
        <v>0</v>
      </c>
      <c r="H326">
        <v>1</v>
      </c>
      <c r="I326">
        <v>1565</v>
      </c>
      <c r="J326">
        <v>5024</v>
      </c>
      <c r="K326">
        <v>28112</v>
      </c>
      <c r="L326" s="1">
        <v>-12495</v>
      </c>
      <c r="M326">
        <v>-12496</v>
      </c>
      <c r="N326">
        <v>42.9</v>
      </c>
      <c r="O326">
        <v>8</v>
      </c>
      <c r="P326">
        <v>65535</v>
      </c>
      <c r="Q326">
        <v>5666</v>
      </c>
      <c r="R326">
        <v>-32767</v>
      </c>
      <c r="S326">
        <v>39.4</v>
      </c>
      <c r="T326">
        <v>14</v>
      </c>
      <c r="U326">
        <v>100</v>
      </c>
      <c r="V326">
        <v>34800</v>
      </c>
      <c r="W326">
        <v>5000</v>
      </c>
      <c r="X326" t="s">
        <v>823</v>
      </c>
      <c r="Y326" t="s">
        <v>830</v>
      </c>
      <c r="Z326" t="s">
        <v>828</v>
      </c>
      <c r="AA326">
        <v>6</v>
      </c>
      <c r="AB326">
        <v>6</v>
      </c>
      <c r="AC326">
        <v>76</v>
      </c>
      <c r="AD326">
        <v>4</v>
      </c>
      <c r="AE326">
        <v>1561</v>
      </c>
      <c r="AF326">
        <v>5024</v>
      </c>
      <c r="AG326">
        <v>457</v>
      </c>
      <c r="AH326">
        <v>3459</v>
      </c>
      <c r="AI326">
        <v>5</v>
      </c>
      <c r="AJ326">
        <v>87</v>
      </c>
      <c r="AK326">
        <v>1648</v>
      </c>
      <c r="AL326">
        <v>2940</v>
      </c>
      <c r="AM326">
        <v>12</v>
      </c>
      <c r="AN326">
        <v>904</v>
      </c>
      <c r="AO326" t="s">
        <v>826</v>
      </c>
    </row>
    <row r="327" spans="1:41">
      <c r="A327">
        <v>319</v>
      </c>
      <c r="B327" s="2">
        <v>45296.6205555556</v>
      </c>
      <c r="C327">
        <v>465.839</v>
      </c>
      <c r="D327" t="s">
        <v>821</v>
      </c>
      <c r="E327" t="s">
        <v>822</v>
      </c>
      <c r="F327">
        <v>32</v>
      </c>
      <c r="G327">
        <f t="shared" si="4"/>
        <v>0</v>
      </c>
      <c r="H327">
        <v>1</v>
      </c>
      <c r="I327">
        <v>1561</v>
      </c>
      <c r="J327">
        <v>5024</v>
      </c>
      <c r="K327">
        <v>28104</v>
      </c>
      <c r="L327" s="1">
        <v>-12496</v>
      </c>
      <c r="M327">
        <v>-12496</v>
      </c>
      <c r="N327">
        <v>42.9</v>
      </c>
      <c r="O327">
        <v>7</v>
      </c>
      <c r="P327">
        <v>65535</v>
      </c>
      <c r="Q327">
        <v>5652</v>
      </c>
      <c r="R327">
        <v>-32767</v>
      </c>
      <c r="S327">
        <v>39.4</v>
      </c>
      <c r="T327">
        <v>14</v>
      </c>
      <c r="U327">
        <v>100</v>
      </c>
      <c r="V327">
        <v>34800</v>
      </c>
      <c r="W327">
        <v>5000</v>
      </c>
      <c r="X327" t="s">
        <v>823</v>
      </c>
      <c r="Y327" t="s">
        <v>830</v>
      </c>
      <c r="Z327" t="s">
        <v>828</v>
      </c>
      <c r="AA327">
        <v>6</v>
      </c>
      <c r="AB327">
        <v>6</v>
      </c>
      <c r="AC327">
        <v>76</v>
      </c>
      <c r="AD327">
        <v>4</v>
      </c>
      <c r="AE327">
        <v>1558</v>
      </c>
      <c r="AF327">
        <v>5024</v>
      </c>
      <c r="AG327">
        <v>458</v>
      </c>
      <c r="AH327">
        <v>3462</v>
      </c>
      <c r="AI327">
        <v>5</v>
      </c>
      <c r="AJ327">
        <v>87</v>
      </c>
      <c r="AK327">
        <v>1648</v>
      </c>
      <c r="AL327">
        <v>2943</v>
      </c>
      <c r="AM327">
        <v>12</v>
      </c>
      <c r="AN327">
        <v>900</v>
      </c>
      <c r="AO327" t="s">
        <v>826</v>
      </c>
    </row>
    <row r="328" spans="1:41">
      <c r="A328">
        <v>320</v>
      </c>
      <c r="B328" s="2">
        <v>45296.6205902778</v>
      </c>
      <c r="C328">
        <v>468.201</v>
      </c>
      <c r="D328" t="s">
        <v>821</v>
      </c>
      <c r="E328" t="s">
        <v>822</v>
      </c>
      <c r="F328">
        <v>31</v>
      </c>
      <c r="G328">
        <f t="shared" si="4"/>
        <v>1</v>
      </c>
      <c r="H328">
        <v>1</v>
      </c>
      <c r="I328">
        <v>1551</v>
      </c>
      <c r="J328">
        <v>5024</v>
      </c>
      <c r="K328">
        <v>28096</v>
      </c>
      <c r="L328" s="1">
        <v>-12495</v>
      </c>
      <c r="M328">
        <v>-12496</v>
      </c>
      <c r="N328">
        <v>42.9</v>
      </c>
      <c r="O328">
        <v>7</v>
      </c>
      <c r="P328">
        <v>65535</v>
      </c>
      <c r="Q328">
        <v>5617</v>
      </c>
      <c r="R328">
        <v>-32767</v>
      </c>
      <c r="S328">
        <v>39.5</v>
      </c>
      <c r="T328">
        <v>14</v>
      </c>
      <c r="U328">
        <v>100</v>
      </c>
      <c r="V328">
        <v>34800</v>
      </c>
      <c r="W328">
        <v>5000</v>
      </c>
      <c r="X328" t="s">
        <v>823</v>
      </c>
      <c r="Y328" t="s">
        <v>830</v>
      </c>
      <c r="Z328" t="s">
        <v>828</v>
      </c>
      <c r="AA328">
        <v>6</v>
      </c>
      <c r="AB328">
        <v>6</v>
      </c>
      <c r="AC328">
        <v>76</v>
      </c>
      <c r="AD328">
        <v>4</v>
      </c>
      <c r="AE328">
        <v>1551</v>
      </c>
      <c r="AF328">
        <v>5024</v>
      </c>
      <c r="AG328">
        <v>460</v>
      </c>
      <c r="AH328">
        <v>3469</v>
      </c>
      <c r="AI328">
        <v>5</v>
      </c>
      <c r="AJ328">
        <v>87</v>
      </c>
      <c r="AK328">
        <v>1648</v>
      </c>
      <c r="AL328">
        <v>2950</v>
      </c>
      <c r="AM328">
        <v>12</v>
      </c>
      <c r="AN328">
        <v>911</v>
      </c>
      <c r="AO328" t="s">
        <v>826</v>
      </c>
    </row>
    <row r="329" spans="1:41">
      <c r="A329">
        <v>321</v>
      </c>
      <c r="B329" s="2">
        <v>45296.6206018518</v>
      </c>
      <c r="C329">
        <v>469.15</v>
      </c>
      <c r="D329" t="s">
        <v>821</v>
      </c>
      <c r="E329" t="s">
        <v>822</v>
      </c>
      <c r="F329">
        <v>31</v>
      </c>
      <c r="G329">
        <f t="shared" ref="G329:G392" si="5">F328-F329</f>
        <v>0</v>
      </c>
      <c r="H329">
        <v>1</v>
      </c>
      <c r="I329">
        <v>1548</v>
      </c>
      <c r="J329">
        <v>5024</v>
      </c>
      <c r="K329">
        <v>28096</v>
      </c>
      <c r="L329" s="1">
        <v>-12496</v>
      </c>
      <c r="M329">
        <v>-12496</v>
      </c>
      <c r="N329">
        <v>42.9</v>
      </c>
      <c r="O329">
        <v>7</v>
      </c>
      <c r="P329">
        <v>65535</v>
      </c>
      <c r="Q329">
        <v>5606</v>
      </c>
      <c r="R329">
        <v>-32767</v>
      </c>
      <c r="S329">
        <v>39.5</v>
      </c>
      <c r="T329">
        <v>14</v>
      </c>
      <c r="U329">
        <v>100</v>
      </c>
      <c r="V329">
        <v>34800</v>
      </c>
      <c r="W329">
        <v>5000</v>
      </c>
      <c r="X329" t="s">
        <v>823</v>
      </c>
      <c r="Y329" t="s">
        <v>830</v>
      </c>
      <c r="Z329" t="s">
        <v>828</v>
      </c>
      <c r="AA329">
        <v>6</v>
      </c>
      <c r="AB329">
        <v>6</v>
      </c>
      <c r="AC329">
        <v>76</v>
      </c>
      <c r="AD329">
        <v>4</v>
      </c>
      <c r="AE329">
        <v>1548</v>
      </c>
      <c r="AF329">
        <v>5024</v>
      </c>
      <c r="AG329">
        <v>461</v>
      </c>
      <c r="AH329">
        <v>3472</v>
      </c>
      <c r="AI329">
        <v>5</v>
      </c>
      <c r="AJ329">
        <v>87</v>
      </c>
      <c r="AK329">
        <v>1648</v>
      </c>
      <c r="AL329">
        <v>2953</v>
      </c>
      <c r="AM329">
        <v>12</v>
      </c>
      <c r="AN329">
        <v>903</v>
      </c>
      <c r="AO329" t="s">
        <v>826</v>
      </c>
    </row>
    <row r="330" spans="1:41">
      <c r="A330">
        <v>322</v>
      </c>
      <c r="B330" s="2">
        <v>45296.6206134259</v>
      </c>
      <c r="C330">
        <v>470.09</v>
      </c>
      <c r="D330" t="s">
        <v>821</v>
      </c>
      <c r="E330" t="s">
        <v>822</v>
      </c>
      <c r="F330">
        <v>31</v>
      </c>
      <c r="G330">
        <f t="shared" si="5"/>
        <v>0</v>
      </c>
      <c r="H330">
        <v>1</v>
      </c>
      <c r="I330">
        <v>1544</v>
      </c>
      <c r="J330">
        <v>5024</v>
      </c>
      <c r="K330">
        <v>28096</v>
      </c>
      <c r="L330" s="1">
        <v>-12496</v>
      </c>
      <c r="M330">
        <v>-12496</v>
      </c>
      <c r="N330">
        <v>42.9</v>
      </c>
      <c r="O330">
        <v>7</v>
      </c>
      <c r="P330">
        <v>65535</v>
      </c>
      <c r="Q330">
        <v>5592</v>
      </c>
      <c r="R330">
        <v>-32767</v>
      </c>
      <c r="S330">
        <v>39.4</v>
      </c>
      <c r="T330">
        <v>14</v>
      </c>
      <c r="U330">
        <v>100</v>
      </c>
      <c r="V330">
        <v>34800</v>
      </c>
      <c r="W330">
        <v>5000</v>
      </c>
      <c r="X330" t="s">
        <v>823</v>
      </c>
      <c r="Y330" t="s">
        <v>830</v>
      </c>
      <c r="Z330" t="s">
        <v>828</v>
      </c>
      <c r="AA330">
        <v>6</v>
      </c>
      <c r="AB330">
        <v>6</v>
      </c>
      <c r="AC330">
        <v>76</v>
      </c>
      <c r="AD330">
        <v>4</v>
      </c>
      <c r="AE330">
        <v>1544</v>
      </c>
      <c r="AF330">
        <v>5024</v>
      </c>
      <c r="AG330">
        <v>462</v>
      </c>
      <c r="AH330">
        <v>3476</v>
      </c>
      <c r="AI330">
        <v>5</v>
      </c>
      <c r="AJ330">
        <v>87</v>
      </c>
      <c r="AK330">
        <v>1648</v>
      </c>
      <c r="AL330">
        <v>2957</v>
      </c>
      <c r="AM330">
        <v>12</v>
      </c>
      <c r="AN330">
        <v>946</v>
      </c>
      <c r="AO330" t="s">
        <v>826</v>
      </c>
    </row>
    <row r="331" spans="1:41">
      <c r="A331">
        <v>323</v>
      </c>
      <c r="B331" s="2">
        <v>45296.6206365741</v>
      </c>
      <c r="C331">
        <v>472.489</v>
      </c>
      <c r="D331" t="s">
        <v>821</v>
      </c>
      <c r="E331" t="s">
        <v>822</v>
      </c>
      <c r="F331">
        <v>31</v>
      </c>
      <c r="G331">
        <f t="shared" si="5"/>
        <v>0</v>
      </c>
      <c r="H331">
        <v>1</v>
      </c>
      <c r="I331">
        <v>1537</v>
      </c>
      <c r="J331">
        <v>5024</v>
      </c>
      <c r="K331">
        <v>28088</v>
      </c>
      <c r="L331" s="1">
        <v>-12496</v>
      </c>
      <c r="M331">
        <v>-12496</v>
      </c>
      <c r="N331">
        <v>42.9</v>
      </c>
      <c r="O331">
        <v>7</v>
      </c>
      <c r="P331">
        <v>65535</v>
      </c>
      <c r="Q331">
        <v>5568</v>
      </c>
      <c r="R331">
        <v>-32767</v>
      </c>
      <c r="S331">
        <v>39.5</v>
      </c>
      <c r="T331">
        <v>14</v>
      </c>
      <c r="U331">
        <v>100</v>
      </c>
      <c r="V331">
        <v>34800</v>
      </c>
      <c r="W331">
        <v>5000</v>
      </c>
      <c r="X331" t="s">
        <v>823</v>
      </c>
      <c r="Y331" t="s">
        <v>830</v>
      </c>
      <c r="Z331" t="s">
        <v>828</v>
      </c>
      <c r="AA331">
        <v>6</v>
      </c>
      <c r="AB331">
        <v>6</v>
      </c>
      <c r="AC331">
        <v>76</v>
      </c>
      <c r="AD331">
        <v>4</v>
      </c>
      <c r="AE331">
        <v>1537</v>
      </c>
      <c r="AF331">
        <v>5024</v>
      </c>
      <c r="AG331">
        <v>464</v>
      </c>
      <c r="AH331">
        <v>3483</v>
      </c>
      <c r="AI331">
        <v>5</v>
      </c>
      <c r="AJ331">
        <v>87</v>
      </c>
      <c r="AK331">
        <v>1648</v>
      </c>
      <c r="AL331">
        <v>2964</v>
      </c>
      <c r="AM331">
        <v>12</v>
      </c>
      <c r="AN331">
        <v>903</v>
      </c>
      <c r="AO331" t="s">
        <v>826</v>
      </c>
    </row>
    <row r="332" spans="1:41">
      <c r="A332">
        <v>324</v>
      </c>
      <c r="B332" s="2">
        <v>45296.6206481481</v>
      </c>
      <c r="C332">
        <v>473.432</v>
      </c>
      <c r="D332" t="s">
        <v>821</v>
      </c>
      <c r="E332" t="s">
        <v>822</v>
      </c>
      <c r="F332">
        <v>31</v>
      </c>
      <c r="G332">
        <f t="shared" si="5"/>
        <v>0</v>
      </c>
      <c r="H332">
        <v>1</v>
      </c>
      <c r="I332">
        <v>1534</v>
      </c>
      <c r="J332">
        <v>5024</v>
      </c>
      <c r="K332">
        <v>28088</v>
      </c>
      <c r="L332" s="1">
        <v>-12495</v>
      </c>
      <c r="M332">
        <v>-12496</v>
      </c>
      <c r="N332">
        <v>43</v>
      </c>
      <c r="O332">
        <v>7</v>
      </c>
      <c r="P332">
        <v>65535</v>
      </c>
      <c r="Q332">
        <v>5557</v>
      </c>
      <c r="R332">
        <v>-32767</v>
      </c>
      <c r="S332">
        <v>39.5</v>
      </c>
      <c r="T332">
        <v>14</v>
      </c>
      <c r="U332">
        <v>100</v>
      </c>
      <c r="V332">
        <v>34800</v>
      </c>
      <c r="W332">
        <v>5000</v>
      </c>
      <c r="X332" t="s">
        <v>823</v>
      </c>
      <c r="Y332" t="s">
        <v>830</v>
      </c>
      <c r="Z332" t="s">
        <v>828</v>
      </c>
      <c r="AA332">
        <v>6</v>
      </c>
      <c r="AB332">
        <v>6</v>
      </c>
      <c r="AC332">
        <v>76</v>
      </c>
      <c r="AD332">
        <v>4</v>
      </c>
      <c r="AE332">
        <v>1534</v>
      </c>
      <c r="AF332">
        <v>5024</v>
      </c>
      <c r="AG332">
        <v>465</v>
      </c>
      <c r="AH332">
        <v>3486</v>
      </c>
      <c r="AI332">
        <v>5</v>
      </c>
      <c r="AJ332">
        <v>87</v>
      </c>
      <c r="AK332">
        <v>1648</v>
      </c>
      <c r="AL332">
        <v>2967</v>
      </c>
      <c r="AM332">
        <v>12</v>
      </c>
      <c r="AN332">
        <v>903</v>
      </c>
      <c r="AO332" t="s">
        <v>826</v>
      </c>
    </row>
    <row r="333" spans="1:41">
      <c r="A333">
        <v>325</v>
      </c>
      <c r="B333" s="2">
        <v>45296.6206597222</v>
      </c>
      <c r="C333">
        <v>474.368</v>
      </c>
      <c r="D333" t="s">
        <v>821</v>
      </c>
      <c r="E333" t="s">
        <v>822</v>
      </c>
      <c r="F333">
        <v>31</v>
      </c>
      <c r="G333">
        <f t="shared" si="5"/>
        <v>0</v>
      </c>
      <c r="H333">
        <v>1</v>
      </c>
      <c r="I333">
        <v>1530</v>
      </c>
      <c r="J333">
        <v>5024</v>
      </c>
      <c r="K333">
        <v>28088</v>
      </c>
      <c r="L333" s="1">
        <v>-12496</v>
      </c>
      <c r="M333">
        <v>-12496</v>
      </c>
      <c r="N333">
        <v>43</v>
      </c>
      <c r="O333">
        <v>7</v>
      </c>
      <c r="P333">
        <v>65535</v>
      </c>
      <c r="Q333">
        <v>5543</v>
      </c>
      <c r="R333">
        <v>-32767</v>
      </c>
      <c r="S333">
        <v>39.5</v>
      </c>
      <c r="T333">
        <v>14</v>
      </c>
      <c r="U333">
        <v>100</v>
      </c>
      <c r="V333">
        <v>34800</v>
      </c>
      <c r="W333">
        <v>5000</v>
      </c>
      <c r="X333" t="s">
        <v>823</v>
      </c>
      <c r="Y333" t="s">
        <v>830</v>
      </c>
      <c r="Z333" t="s">
        <v>828</v>
      </c>
      <c r="AA333">
        <v>6</v>
      </c>
      <c r="AB333">
        <v>6</v>
      </c>
      <c r="AC333">
        <v>76</v>
      </c>
      <c r="AD333">
        <v>4</v>
      </c>
      <c r="AE333">
        <v>1530</v>
      </c>
      <c r="AF333">
        <v>5024</v>
      </c>
      <c r="AG333">
        <v>466</v>
      </c>
      <c r="AH333">
        <v>3490</v>
      </c>
      <c r="AI333">
        <v>5</v>
      </c>
      <c r="AJ333">
        <v>87</v>
      </c>
      <c r="AK333">
        <v>1648</v>
      </c>
      <c r="AL333">
        <v>2971</v>
      </c>
      <c r="AM333">
        <v>12</v>
      </c>
      <c r="AN333">
        <v>903</v>
      </c>
      <c r="AO333" t="s">
        <v>826</v>
      </c>
    </row>
    <row r="334" spans="1:41">
      <c r="A334">
        <v>326</v>
      </c>
      <c r="B334" s="2">
        <v>45296.6206828704</v>
      </c>
      <c r="C334">
        <v>476.738</v>
      </c>
      <c r="D334" t="s">
        <v>821</v>
      </c>
      <c r="E334" t="s">
        <v>822</v>
      </c>
      <c r="F334">
        <v>31</v>
      </c>
      <c r="G334">
        <f t="shared" si="5"/>
        <v>0</v>
      </c>
      <c r="H334">
        <v>1</v>
      </c>
      <c r="I334">
        <v>1523</v>
      </c>
      <c r="J334">
        <v>5024</v>
      </c>
      <c r="K334">
        <v>28080</v>
      </c>
      <c r="L334" s="1">
        <v>-12496</v>
      </c>
      <c r="M334">
        <v>-12496</v>
      </c>
      <c r="N334">
        <v>43</v>
      </c>
      <c r="O334">
        <v>7</v>
      </c>
      <c r="P334">
        <v>65535</v>
      </c>
      <c r="Q334">
        <v>5518</v>
      </c>
      <c r="R334">
        <v>-32767</v>
      </c>
      <c r="S334">
        <v>39.5</v>
      </c>
      <c r="T334">
        <v>14</v>
      </c>
      <c r="U334">
        <v>100</v>
      </c>
      <c r="V334">
        <v>34800</v>
      </c>
      <c r="W334">
        <v>5000</v>
      </c>
      <c r="X334" t="s">
        <v>823</v>
      </c>
      <c r="Y334" t="s">
        <v>830</v>
      </c>
      <c r="Z334" t="s">
        <v>828</v>
      </c>
      <c r="AA334">
        <v>6</v>
      </c>
      <c r="AB334">
        <v>6</v>
      </c>
      <c r="AC334">
        <v>76</v>
      </c>
      <c r="AD334">
        <v>4</v>
      </c>
      <c r="AE334">
        <v>1523</v>
      </c>
      <c r="AF334">
        <v>5024</v>
      </c>
      <c r="AG334">
        <v>469</v>
      </c>
      <c r="AH334">
        <v>3500</v>
      </c>
      <c r="AI334">
        <v>5</v>
      </c>
      <c r="AJ334">
        <v>87</v>
      </c>
      <c r="AK334">
        <v>1648</v>
      </c>
      <c r="AL334">
        <v>2981</v>
      </c>
      <c r="AM334">
        <v>12</v>
      </c>
      <c r="AN334">
        <v>904</v>
      </c>
      <c r="AO334" t="s">
        <v>826</v>
      </c>
    </row>
    <row r="335" spans="1:41">
      <c r="A335">
        <v>327</v>
      </c>
      <c r="B335" s="2">
        <v>45296.6206944444</v>
      </c>
      <c r="C335">
        <v>477.686</v>
      </c>
      <c r="D335" t="s">
        <v>821</v>
      </c>
      <c r="E335" t="s">
        <v>822</v>
      </c>
      <c r="F335">
        <v>31</v>
      </c>
      <c r="G335">
        <f t="shared" si="5"/>
        <v>0</v>
      </c>
      <c r="H335">
        <v>1</v>
      </c>
      <c r="I335">
        <v>1520</v>
      </c>
      <c r="J335">
        <v>5024</v>
      </c>
      <c r="K335">
        <v>28072</v>
      </c>
      <c r="L335" s="1">
        <v>-12496</v>
      </c>
      <c r="M335">
        <v>-12496</v>
      </c>
      <c r="N335">
        <v>43.1</v>
      </c>
      <c r="O335">
        <v>7</v>
      </c>
      <c r="P335">
        <v>65535</v>
      </c>
      <c r="Q335">
        <v>5508</v>
      </c>
      <c r="R335">
        <v>-32767</v>
      </c>
      <c r="S335">
        <v>39.5</v>
      </c>
      <c r="T335">
        <v>14</v>
      </c>
      <c r="U335">
        <v>100</v>
      </c>
      <c r="V335">
        <v>34800</v>
      </c>
      <c r="W335">
        <v>5000</v>
      </c>
      <c r="X335" t="s">
        <v>823</v>
      </c>
      <c r="Y335" t="s">
        <v>830</v>
      </c>
      <c r="Z335" t="s">
        <v>828</v>
      </c>
      <c r="AA335">
        <v>6</v>
      </c>
      <c r="AB335">
        <v>6</v>
      </c>
      <c r="AC335">
        <v>76</v>
      </c>
      <c r="AD335">
        <v>4</v>
      </c>
      <c r="AE335">
        <v>1520</v>
      </c>
      <c r="AF335">
        <v>5024</v>
      </c>
      <c r="AG335">
        <v>469</v>
      </c>
      <c r="AH335">
        <v>3500</v>
      </c>
      <c r="AI335">
        <v>5</v>
      </c>
      <c r="AJ335">
        <v>87</v>
      </c>
      <c r="AK335">
        <v>1648</v>
      </c>
      <c r="AL335">
        <v>2985</v>
      </c>
      <c r="AM335">
        <v>12</v>
      </c>
      <c r="AN335">
        <v>913</v>
      </c>
      <c r="AO335" t="s">
        <v>826</v>
      </c>
    </row>
    <row r="336" spans="1:41">
      <c r="A336">
        <v>328</v>
      </c>
      <c r="B336" s="2">
        <v>45296.6207291667</v>
      </c>
      <c r="C336">
        <v>480.049</v>
      </c>
      <c r="D336" t="s">
        <v>821</v>
      </c>
      <c r="E336" t="s">
        <v>822</v>
      </c>
      <c r="F336">
        <v>31</v>
      </c>
      <c r="G336">
        <f t="shared" si="5"/>
        <v>0</v>
      </c>
      <c r="H336">
        <v>1</v>
      </c>
      <c r="I336">
        <v>1513</v>
      </c>
      <c r="J336">
        <v>5024</v>
      </c>
      <c r="K336">
        <v>28072</v>
      </c>
      <c r="L336" s="1">
        <v>-12496</v>
      </c>
      <c r="M336">
        <v>-12496</v>
      </c>
      <c r="N336">
        <v>43.1</v>
      </c>
      <c r="O336">
        <v>7</v>
      </c>
      <c r="P336">
        <v>65535</v>
      </c>
      <c r="Q336">
        <v>5469</v>
      </c>
      <c r="R336">
        <v>-32767</v>
      </c>
      <c r="S336">
        <v>39.5</v>
      </c>
      <c r="T336">
        <v>14</v>
      </c>
      <c r="U336">
        <v>100</v>
      </c>
      <c r="V336">
        <v>34800</v>
      </c>
      <c r="W336">
        <v>5000</v>
      </c>
      <c r="X336" t="s">
        <v>823</v>
      </c>
      <c r="Y336" t="s">
        <v>830</v>
      </c>
      <c r="Z336" t="s">
        <v>828</v>
      </c>
      <c r="AA336">
        <v>6</v>
      </c>
      <c r="AB336">
        <v>6</v>
      </c>
      <c r="AC336">
        <v>76</v>
      </c>
      <c r="AD336">
        <v>4</v>
      </c>
      <c r="AE336">
        <v>1509</v>
      </c>
      <c r="AF336">
        <v>5024</v>
      </c>
      <c r="AG336">
        <v>472</v>
      </c>
      <c r="AH336">
        <v>3511</v>
      </c>
      <c r="AI336">
        <v>5</v>
      </c>
      <c r="AJ336">
        <v>87</v>
      </c>
      <c r="AK336">
        <v>1648</v>
      </c>
      <c r="AL336">
        <v>2992</v>
      </c>
      <c r="AM336">
        <v>12</v>
      </c>
      <c r="AN336">
        <v>906</v>
      </c>
      <c r="AO336" t="s">
        <v>826</v>
      </c>
    </row>
    <row r="337" spans="1:41">
      <c r="A337">
        <v>329</v>
      </c>
      <c r="B337" s="2">
        <v>45296.6207407407</v>
      </c>
      <c r="C337">
        <v>481.001</v>
      </c>
      <c r="D337" t="s">
        <v>821</v>
      </c>
      <c r="E337" t="s">
        <v>822</v>
      </c>
      <c r="F337">
        <v>31</v>
      </c>
      <c r="G337">
        <f t="shared" si="5"/>
        <v>0</v>
      </c>
      <c r="H337">
        <v>1</v>
      </c>
      <c r="I337">
        <v>1509</v>
      </c>
      <c r="J337">
        <v>5024</v>
      </c>
      <c r="K337">
        <v>28064</v>
      </c>
      <c r="L337" s="1">
        <v>-12496</v>
      </c>
      <c r="M337">
        <v>-12496</v>
      </c>
      <c r="N337">
        <v>43.1</v>
      </c>
      <c r="O337">
        <v>7</v>
      </c>
      <c r="P337">
        <v>65535</v>
      </c>
      <c r="Q337">
        <v>5459</v>
      </c>
      <c r="R337">
        <v>-32767</v>
      </c>
      <c r="S337">
        <v>39.6</v>
      </c>
      <c r="T337">
        <v>14</v>
      </c>
      <c r="U337">
        <v>100</v>
      </c>
      <c r="V337">
        <v>34800</v>
      </c>
      <c r="W337">
        <v>5000</v>
      </c>
      <c r="X337" t="s">
        <v>823</v>
      </c>
      <c r="Y337" t="s">
        <v>830</v>
      </c>
      <c r="Z337" t="s">
        <v>828</v>
      </c>
      <c r="AA337">
        <v>6</v>
      </c>
      <c r="AB337">
        <v>6</v>
      </c>
      <c r="AC337">
        <v>76</v>
      </c>
      <c r="AD337">
        <v>4</v>
      </c>
      <c r="AE337">
        <v>1506</v>
      </c>
      <c r="AF337">
        <v>5024</v>
      </c>
      <c r="AG337">
        <v>473</v>
      </c>
      <c r="AH337">
        <v>3514</v>
      </c>
      <c r="AI337">
        <v>5</v>
      </c>
      <c r="AJ337">
        <v>87</v>
      </c>
      <c r="AK337">
        <v>1648</v>
      </c>
      <c r="AL337">
        <v>2995</v>
      </c>
      <c r="AM337">
        <v>12</v>
      </c>
      <c r="AN337">
        <v>913</v>
      </c>
      <c r="AO337" t="s">
        <v>826</v>
      </c>
    </row>
    <row r="338" spans="1:41">
      <c r="A338">
        <v>330</v>
      </c>
      <c r="B338" s="2">
        <v>45296.6207523148</v>
      </c>
      <c r="C338">
        <v>481.948</v>
      </c>
      <c r="D338" t="s">
        <v>821</v>
      </c>
      <c r="E338" t="s">
        <v>822</v>
      </c>
      <c r="F338">
        <v>30</v>
      </c>
      <c r="G338">
        <f t="shared" si="5"/>
        <v>1</v>
      </c>
      <c r="H338">
        <v>1</v>
      </c>
      <c r="I338">
        <v>1506</v>
      </c>
      <c r="J338">
        <v>5024</v>
      </c>
      <c r="K338">
        <v>28064</v>
      </c>
      <c r="L338" s="1">
        <v>-12495</v>
      </c>
      <c r="M338">
        <v>-12496</v>
      </c>
      <c r="N338">
        <v>43.1</v>
      </c>
      <c r="O338">
        <v>7</v>
      </c>
      <c r="P338">
        <v>65535</v>
      </c>
      <c r="Q338">
        <v>5459</v>
      </c>
      <c r="R338">
        <v>-32767</v>
      </c>
      <c r="S338">
        <v>39.6</v>
      </c>
      <c r="T338">
        <v>14</v>
      </c>
      <c r="U338">
        <v>100</v>
      </c>
      <c r="V338">
        <v>34800</v>
      </c>
      <c r="W338">
        <v>5000</v>
      </c>
      <c r="X338" t="s">
        <v>823</v>
      </c>
      <c r="Y338" t="s">
        <v>830</v>
      </c>
      <c r="Z338" t="s">
        <v>828</v>
      </c>
      <c r="AA338">
        <v>6</v>
      </c>
      <c r="AB338">
        <v>6</v>
      </c>
      <c r="AC338">
        <v>76</v>
      </c>
      <c r="AD338">
        <v>4</v>
      </c>
      <c r="AE338">
        <v>1502</v>
      </c>
      <c r="AF338">
        <v>5024</v>
      </c>
      <c r="AG338">
        <v>474</v>
      </c>
      <c r="AH338">
        <v>3518</v>
      </c>
      <c r="AI338">
        <v>5</v>
      </c>
      <c r="AJ338">
        <v>87</v>
      </c>
      <c r="AK338">
        <v>1648</v>
      </c>
      <c r="AL338">
        <v>2999</v>
      </c>
      <c r="AM338">
        <v>12</v>
      </c>
      <c r="AN338">
        <v>901</v>
      </c>
      <c r="AO338" t="s">
        <v>826</v>
      </c>
    </row>
    <row r="339" spans="1:41">
      <c r="A339">
        <v>331</v>
      </c>
      <c r="B339" s="2">
        <v>45296.620775463</v>
      </c>
      <c r="C339">
        <v>484.301</v>
      </c>
      <c r="D339" t="s">
        <v>821</v>
      </c>
      <c r="E339" t="s">
        <v>822</v>
      </c>
      <c r="F339">
        <v>30</v>
      </c>
      <c r="G339">
        <f t="shared" si="5"/>
        <v>0</v>
      </c>
      <c r="H339">
        <v>1</v>
      </c>
      <c r="I339">
        <v>1496</v>
      </c>
      <c r="J339">
        <v>5024</v>
      </c>
      <c r="K339">
        <v>28056</v>
      </c>
      <c r="L339" s="1">
        <v>-12496</v>
      </c>
      <c r="M339">
        <v>-12496</v>
      </c>
      <c r="N339">
        <v>43.1</v>
      </c>
      <c r="O339">
        <v>7</v>
      </c>
      <c r="P339">
        <v>65535</v>
      </c>
      <c r="Q339">
        <v>5424</v>
      </c>
      <c r="R339">
        <v>-32767</v>
      </c>
      <c r="S339">
        <v>39.6</v>
      </c>
      <c r="T339">
        <v>14</v>
      </c>
      <c r="U339">
        <v>100</v>
      </c>
      <c r="V339">
        <v>34800</v>
      </c>
      <c r="W339">
        <v>5000</v>
      </c>
      <c r="X339" t="s">
        <v>823</v>
      </c>
      <c r="Y339" t="s">
        <v>830</v>
      </c>
      <c r="Z339" t="s">
        <v>828</v>
      </c>
      <c r="AA339">
        <v>6</v>
      </c>
      <c r="AB339">
        <v>6</v>
      </c>
      <c r="AC339">
        <v>76</v>
      </c>
      <c r="AD339">
        <v>4</v>
      </c>
      <c r="AE339">
        <v>1496</v>
      </c>
      <c r="AF339">
        <v>5024</v>
      </c>
      <c r="AG339">
        <v>476</v>
      </c>
      <c r="AH339">
        <v>3524</v>
      </c>
      <c r="AI339">
        <v>5</v>
      </c>
      <c r="AJ339">
        <v>87</v>
      </c>
      <c r="AK339">
        <v>1648</v>
      </c>
      <c r="AL339">
        <v>3005</v>
      </c>
      <c r="AM339">
        <v>12</v>
      </c>
      <c r="AN339">
        <v>905</v>
      </c>
      <c r="AO339" t="s">
        <v>826</v>
      </c>
    </row>
    <row r="340" spans="1:41">
      <c r="A340">
        <v>332</v>
      </c>
      <c r="B340" s="2">
        <v>45296.620787037</v>
      </c>
      <c r="C340">
        <v>485.246</v>
      </c>
      <c r="D340" t="s">
        <v>821</v>
      </c>
      <c r="E340" t="s">
        <v>822</v>
      </c>
      <c r="F340">
        <v>30</v>
      </c>
      <c r="G340">
        <f t="shared" si="5"/>
        <v>0</v>
      </c>
      <c r="H340">
        <v>1</v>
      </c>
      <c r="I340">
        <v>1492</v>
      </c>
      <c r="J340">
        <v>5024</v>
      </c>
      <c r="K340">
        <v>28056</v>
      </c>
      <c r="L340" s="1">
        <v>-12496</v>
      </c>
      <c r="M340">
        <v>-12496</v>
      </c>
      <c r="N340">
        <v>43.1</v>
      </c>
      <c r="O340">
        <v>7</v>
      </c>
      <c r="P340">
        <v>65535</v>
      </c>
      <c r="Q340">
        <v>5410</v>
      </c>
      <c r="R340">
        <v>-32767</v>
      </c>
      <c r="S340">
        <v>39.6</v>
      </c>
      <c r="T340">
        <v>14</v>
      </c>
      <c r="U340">
        <v>100</v>
      </c>
      <c r="V340">
        <v>34800</v>
      </c>
      <c r="W340">
        <v>5000</v>
      </c>
      <c r="X340" t="s">
        <v>823</v>
      </c>
      <c r="Y340" t="s">
        <v>830</v>
      </c>
      <c r="Z340" t="s">
        <v>828</v>
      </c>
      <c r="AA340">
        <v>6</v>
      </c>
      <c r="AB340">
        <v>6</v>
      </c>
      <c r="AC340">
        <v>76</v>
      </c>
      <c r="AD340">
        <v>4</v>
      </c>
      <c r="AE340">
        <v>1492</v>
      </c>
      <c r="AF340">
        <v>5024</v>
      </c>
      <c r="AG340">
        <v>477</v>
      </c>
      <c r="AH340">
        <v>3528</v>
      </c>
      <c r="AI340">
        <v>5</v>
      </c>
      <c r="AJ340">
        <v>87</v>
      </c>
      <c r="AK340">
        <v>1648</v>
      </c>
      <c r="AL340">
        <v>3009</v>
      </c>
      <c r="AM340">
        <v>12</v>
      </c>
      <c r="AN340">
        <v>900</v>
      </c>
      <c r="AO340" t="s">
        <v>826</v>
      </c>
    </row>
    <row r="341" spans="1:41">
      <c r="A341">
        <v>333</v>
      </c>
      <c r="B341" s="2">
        <v>45296.6207986111</v>
      </c>
      <c r="C341">
        <v>486.194</v>
      </c>
      <c r="D341" t="s">
        <v>821</v>
      </c>
      <c r="E341" t="s">
        <v>822</v>
      </c>
      <c r="F341">
        <v>30</v>
      </c>
      <c r="G341">
        <f t="shared" si="5"/>
        <v>0</v>
      </c>
      <c r="H341">
        <v>1</v>
      </c>
      <c r="I341">
        <v>1489</v>
      </c>
      <c r="J341">
        <v>5024</v>
      </c>
      <c r="K341">
        <v>28048</v>
      </c>
      <c r="L341" s="1">
        <v>-12496</v>
      </c>
      <c r="M341">
        <v>-12496</v>
      </c>
      <c r="N341">
        <v>43.2</v>
      </c>
      <c r="O341">
        <v>7</v>
      </c>
      <c r="P341">
        <v>65535</v>
      </c>
      <c r="Q341">
        <v>5399</v>
      </c>
      <c r="R341">
        <v>-32767</v>
      </c>
      <c r="S341">
        <v>39.6</v>
      </c>
      <c r="T341">
        <v>14</v>
      </c>
      <c r="U341">
        <v>100</v>
      </c>
      <c r="V341">
        <v>34800</v>
      </c>
      <c r="W341">
        <v>5000</v>
      </c>
      <c r="X341" t="s">
        <v>823</v>
      </c>
      <c r="Y341" t="s">
        <v>830</v>
      </c>
      <c r="Z341" t="s">
        <v>828</v>
      </c>
      <c r="AA341">
        <v>6</v>
      </c>
      <c r="AB341">
        <v>6</v>
      </c>
      <c r="AC341">
        <v>76</v>
      </c>
      <c r="AD341">
        <v>4</v>
      </c>
      <c r="AE341">
        <v>1489</v>
      </c>
      <c r="AF341">
        <v>5024</v>
      </c>
      <c r="AG341">
        <v>478</v>
      </c>
      <c r="AH341">
        <v>3531</v>
      </c>
      <c r="AI341">
        <v>6</v>
      </c>
      <c r="AJ341">
        <v>87</v>
      </c>
      <c r="AK341">
        <v>1648</v>
      </c>
      <c r="AL341">
        <v>3012</v>
      </c>
      <c r="AM341">
        <v>13</v>
      </c>
      <c r="AN341">
        <v>905</v>
      </c>
      <c r="AO341" t="s">
        <v>826</v>
      </c>
    </row>
    <row r="342" spans="1:41">
      <c r="A342">
        <v>334</v>
      </c>
      <c r="B342" s="2">
        <v>45296.6208217593</v>
      </c>
      <c r="C342">
        <v>488.542</v>
      </c>
      <c r="D342" t="s">
        <v>821</v>
      </c>
      <c r="E342" t="s">
        <v>822</v>
      </c>
      <c r="F342">
        <v>30</v>
      </c>
      <c r="G342">
        <f t="shared" si="5"/>
        <v>0</v>
      </c>
      <c r="H342">
        <v>1</v>
      </c>
      <c r="I342">
        <v>1482</v>
      </c>
      <c r="J342">
        <v>5024</v>
      </c>
      <c r="K342">
        <v>28048</v>
      </c>
      <c r="L342" s="1">
        <v>-12496</v>
      </c>
      <c r="M342">
        <v>-12496</v>
      </c>
      <c r="N342">
        <v>43.2</v>
      </c>
      <c r="O342">
        <v>7</v>
      </c>
      <c r="P342">
        <v>65535</v>
      </c>
      <c r="Q342">
        <v>5375</v>
      </c>
      <c r="R342">
        <v>-32767</v>
      </c>
      <c r="S342">
        <v>39.6</v>
      </c>
      <c r="T342">
        <v>14</v>
      </c>
      <c r="U342">
        <v>100</v>
      </c>
      <c r="V342">
        <v>34800</v>
      </c>
      <c r="W342">
        <v>5000</v>
      </c>
      <c r="X342" t="s">
        <v>823</v>
      </c>
      <c r="Y342" t="s">
        <v>830</v>
      </c>
      <c r="Z342" t="s">
        <v>828</v>
      </c>
      <c r="AA342">
        <v>6</v>
      </c>
      <c r="AB342">
        <v>6</v>
      </c>
      <c r="AC342">
        <v>76</v>
      </c>
      <c r="AD342">
        <v>4</v>
      </c>
      <c r="AE342">
        <v>1482</v>
      </c>
      <c r="AF342">
        <v>5024</v>
      </c>
      <c r="AG342">
        <v>480</v>
      </c>
      <c r="AH342">
        <v>3538</v>
      </c>
      <c r="AI342">
        <v>6</v>
      </c>
      <c r="AJ342">
        <v>87</v>
      </c>
      <c r="AK342">
        <v>1648</v>
      </c>
      <c r="AL342">
        <v>3019</v>
      </c>
      <c r="AM342">
        <v>13</v>
      </c>
      <c r="AN342">
        <v>912</v>
      </c>
      <c r="AO342" t="s">
        <v>826</v>
      </c>
    </row>
    <row r="343" spans="1:41">
      <c r="A343">
        <v>335</v>
      </c>
      <c r="B343" s="2">
        <v>45296.6208333333</v>
      </c>
      <c r="C343">
        <v>489.493</v>
      </c>
      <c r="D343" t="s">
        <v>821</v>
      </c>
      <c r="E343" t="s">
        <v>822</v>
      </c>
      <c r="F343">
        <v>30</v>
      </c>
      <c r="G343">
        <f t="shared" si="5"/>
        <v>0</v>
      </c>
      <c r="H343">
        <v>1</v>
      </c>
      <c r="I343">
        <v>1478</v>
      </c>
      <c r="J343">
        <v>5024</v>
      </c>
      <c r="K343">
        <v>28048</v>
      </c>
      <c r="L343" s="1">
        <v>-12495</v>
      </c>
      <c r="M343">
        <v>-12496</v>
      </c>
      <c r="N343">
        <v>43.3</v>
      </c>
      <c r="O343">
        <v>7</v>
      </c>
      <c r="P343">
        <v>65535</v>
      </c>
      <c r="Q343">
        <v>5361</v>
      </c>
      <c r="R343">
        <v>-32767</v>
      </c>
      <c r="S343">
        <v>39.6</v>
      </c>
      <c r="T343">
        <v>14</v>
      </c>
      <c r="U343">
        <v>100</v>
      </c>
      <c r="V343">
        <v>34800</v>
      </c>
      <c r="W343">
        <v>5000</v>
      </c>
      <c r="X343" t="s">
        <v>823</v>
      </c>
      <c r="Y343" t="s">
        <v>830</v>
      </c>
      <c r="Z343" t="s">
        <v>828</v>
      </c>
      <c r="AA343">
        <v>6</v>
      </c>
      <c r="AB343">
        <v>6</v>
      </c>
      <c r="AC343">
        <v>76</v>
      </c>
      <c r="AD343">
        <v>4</v>
      </c>
      <c r="AE343">
        <v>1478</v>
      </c>
      <c r="AF343">
        <v>5024</v>
      </c>
      <c r="AG343">
        <v>481</v>
      </c>
      <c r="AH343">
        <v>3542</v>
      </c>
      <c r="AI343">
        <v>6</v>
      </c>
      <c r="AJ343">
        <v>87</v>
      </c>
      <c r="AK343">
        <v>1648</v>
      </c>
      <c r="AL343">
        <v>3023</v>
      </c>
      <c r="AM343">
        <v>13</v>
      </c>
      <c r="AN343">
        <v>904</v>
      </c>
      <c r="AO343" t="s">
        <v>826</v>
      </c>
    </row>
    <row r="344" spans="1:41">
      <c r="A344">
        <v>336</v>
      </c>
      <c r="B344" s="2">
        <v>45296.6208449074</v>
      </c>
      <c r="C344">
        <v>490.433</v>
      </c>
      <c r="D344" t="s">
        <v>821</v>
      </c>
      <c r="E344" t="s">
        <v>822</v>
      </c>
      <c r="F344">
        <v>30</v>
      </c>
      <c r="G344">
        <f t="shared" si="5"/>
        <v>0</v>
      </c>
      <c r="H344">
        <v>1</v>
      </c>
      <c r="I344">
        <v>1475</v>
      </c>
      <c r="J344">
        <v>5024</v>
      </c>
      <c r="K344">
        <v>28048</v>
      </c>
      <c r="L344" s="1">
        <v>-12496</v>
      </c>
      <c r="M344">
        <v>-12496</v>
      </c>
      <c r="N344">
        <v>43.3</v>
      </c>
      <c r="O344">
        <v>7</v>
      </c>
      <c r="P344">
        <v>65535</v>
      </c>
      <c r="Q344">
        <v>5350</v>
      </c>
      <c r="R344">
        <v>-32767</v>
      </c>
      <c r="S344">
        <v>39.7</v>
      </c>
      <c r="T344">
        <v>14</v>
      </c>
      <c r="U344">
        <v>100</v>
      </c>
      <c r="V344">
        <v>34800</v>
      </c>
      <c r="W344">
        <v>5000</v>
      </c>
      <c r="X344" t="s">
        <v>823</v>
      </c>
      <c r="Y344" t="s">
        <v>830</v>
      </c>
      <c r="Z344" t="s">
        <v>828</v>
      </c>
      <c r="AA344">
        <v>6</v>
      </c>
      <c r="AB344">
        <v>6</v>
      </c>
      <c r="AC344">
        <v>76</v>
      </c>
      <c r="AD344">
        <v>4</v>
      </c>
      <c r="AE344">
        <v>1475</v>
      </c>
      <c r="AF344">
        <v>5024</v>
      </c>
      <c r="AG344">
        <v>482</v>
      </c>
      <c r="AH344">
        <v>3545</v>
      </c>
      <c r="AI344">
        <v>6</v>
      </c>
      <c r="AJ344">
        <v>87</v>
      </c>
      <c r="AK344">
        <v>1648</v>
      </c>
      <c r="AL344">
        <v>3026</v>
      </c>
      <c r="AM344">
        <v>13</v>
      </c>
      <c r="AN344">
        <v>900</v>
      </c>
      <c r="AO344" t="s">
        <v>826</v>
      </c>
    </row>
    <row r="345" spans="1:41">
      <c r="A345">
        <v>337</v>
      </c>
      <c r="B345" s="2">
        <v>45296.6208680556</v>
      </c>
      <c r="C345">
        <v>492.793</v>
      </c>
      <c r="D345" t="s">
        <v>821</v>
      </c>
      <c r="E345" t="s">
        <v>822</v>
      </c>
      <c r="F345">
        <v>30</v>
      </c>
      <c r="G345">
        <f t="shared" si="5"/>
        <v>0</v>
      </c>
      <c r="H345">
        <v>1</v>
      </c>
      <c r="I345">
        <v>1468</v>
      </c>
      <c r="J345">
        <v>5024</v>
      </c>
      <c r="K345">
        <v>28032</v>
      </c>
      <c r="L345" s="1">
        <v>-12495</v>
      </c>
      <c r="M345">
        <v>-12496</v>
      </c>
      <c r="N345">
        <v>43.3</v>
      </c>
      <c r="O345">
        <v>7</v>
      </c>
      <c r="P345">
        <v>65535</v>
      </c>
      <c r="Q345">
        <v>5325</v>
      </c>
      <c r="R345">
        <v>-32767</v>
      </c>
      <c r="S345">
        <v>39.7</v>
      </c>
      <c r="T345">
        <v>14</v>
      </c>
      <c r="U345">
        <v>100</v>
      </c>
      <c r="V345">
        <v>34800</v>
      </c>
      <c r="W345">
        <v>5000</v>
      </c>
      <c r="X345" t="s">
        <v>823</v>
      </c>
      <c r="Y345" t="s">
        <v>830</v>
      </c>
      <c r="Z345" t="s">
        <v>828</v>
      </c>
      <c r="AA345">
        <v>6</v>
      </c>
      <c r="AB345">
        <v>6</v>
      </c>
      <c r="AC345">
        <v>76</v>
      </c>
      <c r="AD345">
        <v>4</v>
      </c>
      <c r="AE345">
        <v>1464</v>
      </c>
      <c r="AF345">
        <v>5024</v>
      </c>
      <c r="AG345">
        <v>485</v>
      </c>
      <c r="AH345">
        <v>3556</v>
      </c>
      <c r="AI345">
        <v>6</v>
      </c>
      <c r="AJ345">
        <v>87</v>
      </c>
      <c r="AK345">
        <v>1648</v>
      </c>
      <c r="AL345">
        <v>3037</v>
      </c>
      <c r="AM345">
        <v>13</v>
      </c>
      <c r="AN345">
        <v>914</v>
      </c>
      <c r="AO345" t="s">
        <v>826</v>
      </c>
    </row>
    <row r="346" spans="1:41">
      <c r="A346">
        <v>338</v>
      </c>
      <c r="B346" s="2">
        <v>45296.6208796296</v>
      </c>
      <c r="C346">
        <v>493.746</v>
      </c>
      <c r="D346" t="s">
        <v>821</v>
      </c>
      <c r="E346" t="s">
        <v>822</v>
      </c>
      <c r="F346">
        <v>30</v>
      </c>
      <c r="G346">
        <f t="shared" si="5"/>
        <v>0</v>
      </c>
      <c r="H346">
        <v>1</v>
      </c>
      <c r="I346">
        <v>1464</v>
      </c>
      <c r="J346">
        <v>5024</v>
      </c>
      <c r="K346">
        <v>28032</v>
      </c>
      <c r="L346" s="1">
        <v>-12496</v>
      </c>
      <c r="M346">
        <v>-12496</v>
      </c>
      <c r="N346">
        <v>43.4</v>
      </c>
      <c r="O346">
        <v>7</v>
      </c>
      <c r="P346">
        <v>65535</v>
      </c>
      <c r="Q346">
        <v>5311</v>
      </c>
      <c r="R346">
        <v>-32767</v>
      </c>
      <c r="S346">
        <v>39.7</v>
      </c>
      <c r="T346">
        <v>14</v>
      </c>
      <c r="U346">
        <v>100</v>
      </c>
      <c r="V346">
        <v>34800</v>
      </c>
      <c r="W346">
        <v>5000</v>
      </c>
      <c r="X346" t="s">
        <v>823</v>
      </c>
      <c r="Y346" t="s">
        <v>830</v>
      </c>
      <c r="Z346" t="s">
        <v>828</v>
      </c>
      <c r="AA346">
        <v>6</v>
      </c>
      <c r="AB346">
        <v>6</v>
      </c>
      <c r="AC346">
        <v>76</v>
      </c>
      <c r="AD346">
        <v>4</v>
      </c>
      <c r="AE346">
        <v>1464</v>
      </c>
      <c r="AF346">
        <v>5024</v>
      </c>
      <c r="AG346">
        <v>486</v>
      </c>
      <c r="AH346">
        <v>3559</v>
      </c>
      <c r="AI346">
        <v>6</v>
      </c>
      <c r="AJ346">
        <v>87</v>
      </c>
      <c r="AK346">
        <v>1648</v>
      </c>
      <c r="AL346">
        <v>3040</v>
      </c>
      <c r="AM346">
        <v>13</v>
      </c>
      <c r="AN346">
        <v>900</v>
      </c>
      <c r="AO346" t="s">
        <v>826</v>
      </c>
    </row>
    <row r="347" spans="1:41">
      <c r="A347">
        <v>339</v>
      </c>
      <c r="B347" s="2">
        <v>45296.6209143518</v>
      </c>
      <c r="C347">
        <v>496.105</v>
      </c>
      <c r="D347" t="s">
        <v>821</v>
      </c>
      <c r="E347" t="s">
        <v>822</v>
      </c>
      <c r="F347">
        <v>30</v>
      </c>
      <c r="G347">
        <f t="shared" si="5"/>
        <v>0</v>
      </c>
      <c r="H347">
        <v>1</v>
      </c>
      <c r="I347">
        <v>1454</v>
      </c>
      <c r="J347">
        <v>5024</v>
      </c>
      <c r="K347">
        <v>28024</v>
      </c>
      <c r="L347" s="1">
        <v>-12496</v>
      </c>
      <c r="M347">
        <v>-12496</v>
      </c>
      <c r="N347">
        <v>43.4</v>
      </c>
      <c r="O347">
        <v>7</v>
      </c>
      <c r="P347">
        <v>65535</v>
      </c>
      <c r="Q347">
        <v>5276</v>
      </c>
      <c r="R347">
        <v>-32767</v>
      </c>
      <c r="S347">
        <v>39.7</v>
      </c>
      <c r="T347">
        <v>14</v>
      </c>
      <c r="U347">
        <v>100</v>
      </c>
      <c r="V347">
        <v>34800</v>
      </c>
      <c r="W347">
        <v>5000</v>
      </c>
      <c r="X347" t="s">
        <v>823</v>
      </c>
      <c r="Y347" t="s">
        <v>830</v>
      </c>
      <c r="Z347" t="s">
        <v>828</v>
      </c>
      <c r="AA347">
        <v>6</v>
      </c>
      <c r="AB347">
        <v>6</v>
      </c>
      <c r="AC347">
        <v>76</v>
      </c>
      <c r="AD347">
        <v>4</v>
      </c>
      <c r="AE347">
        <v>1454</v>
      </c>
      <c r="AF347">
        <v>5024</v>
      </c>
      <c r="AG347">
        <v>488</v>
      </c>
      <c r="AH347">
        <v>3566</v>
      </c>
      <c r="AI347">
        <v>6</v>
      </c>
      <c r="AJ347">
        <v>87</v>
      </c>
      <c r="AK347">
        <v>1648</v>
      </c>
      <c r="AL347">
        <v>3047</v>
      </c>
      <c r="AM347">
        <v>13</v>
      </c>
      <c r="AN347">
        <v>900</v>
      </c>
      <c r="AO347" t="s">
        <v>826</v>
      </c>
    </row>
    <row r="348" spans="1:41">
      <c r="A348">
        <v>340</v>
      </c>
      <c r="B348" s="2">
        <v>45296.6209259259</v>
      </c>
      <c r="C348">
        <v>497.061</v>
      </c>
      <c r="D348" t="s">
        <v>821</v>
      </c>
      <c r="E348" t="s">
        <v>822</v>
      </c>
      <c r="F348">
        <v>29</v>
      </c>
      <c r="G348">
        <f t="shared" si="5"/>
        <v>1</v>
      </c>
      <c r="H348">
        <v>1</v>
      </c>
      <c r="I348">
        <v>1454</v>
      </c>
      <c r="J348">
        <v>5024</v>
      </c>
      <c r="K348">
        <v>28024</v>
      </c>
      <c r="L348" s="1">
        <v>-12496</v>
      </c>
      <c r="M348">
        <v>-12496</v>
      </c>
      <c r="N348">
        <v>43.5</v>
      </c>
      <c r="O348">
        <v>7</v>
      </c>
      <c r="P348">
        <v>65535</v>
      </c>
      <c r="Q348">
        <v>5262</v>
      </c>
      <c r="R348">
        <v>-32767</v>
      </c>
      <c r="S348">
        <v>39.7</v>
      </c>
      <c r="T348">
        <v>14</v>
      </c>
      <c r="U348">
        <v>100</v>
      </c>
      <c r="V348">
        <v>34800</v>
      </c>
      <c r="W348">
        <v>5000</v>
      </c>
      <c r="X348" t="s">
        <v>823</v>
      </c>
      <c r="Y348" t="s">
        <v>830</v>
      </c>
      <c r="Z348" t="s">
        <v>828</v>
      </c>
      <c r="AA348">
        <v>6</v>
      </c>
      <c r="AB348">
        <v>6</v>
      </c>
      <c r="AC348">
        <v>76</v>
      </c>
      <c r="AD348">
        <v>4</v>
      </c>
      <c r="AE348">
        <v>1450</v>
      </c>
      <c r="AF348">
        <v>5024</v>
      </c>
      <c r="AG348">
        <v>489</v>
      </c>
      <c r="AH348">
        <v>3570</v>
      </c>
      <c r="AI348">
        <v>6</v>
      </c>
      <c r="AJ348">
        <v>87</v>
      </c>
      <c r="AK348">
        <v>1648</v>
      </c>
      <c r="AL348">
        <v>3051</v>
      </c>
      <c r="AM348">
        <v>13</v>
      </c>
      <c r="AN348">
        <v>912</v>
      </c>
      <c r="AO348" t="s">
        <v>826</v>
      </c>
    </row>
    <row r="349" spans="1:41">
      <c r="A349">
        <v>341</v>
      </c>
      <c r="B349" s="2">
        <v>45296.6209375</v>
      </c>
      <c r="C349">
        <v>498.007</v>
      </c>
      <c r="D349" t="s">
        <v>821</v>
      </c>
      <c r="E349" t="s">
        <v>822</v>
      </c>
      <c r="F349">
        <v>29</v>
      </c>
      <c r="G349">
        <f t="shared" si="5"/>
        <v>0</v>
      </c>
      <c r="H349">
        <v>1</v>
      </c>
      <c r="I349">
        <v>1450</v>
      </c>
      <c r="J349">
        <v>5024</v>
      </c>
      <c r="K349">
        <v>28024</v>
      </c>
      <c r="L349" s="1">
        <v>-12496</v>
      </c>
      <c r="M349">
        <v>-12496</v>
      </c>
      <c r="N349">
        <v>43.5</v>
      </c>
      <c r="O349">
        <v>7</v>
      </c>
      <c r="P349">
        <v>65535</v>
      </c>
      <c r="Q349">
        <v>5252</v>
      </c>
      <c r="R349">
        <v>-32767</v>
      </c>
      <c r="S349">
        <v>39.7</v>
      </c>
      <c r="T349">
        <v>14</v>
      </c>
      <c r="U349">
        <v>100</v>
      </c>
      <c r="V349">
        <v>34800</v>
      </c>
      <c r="W349">
        <v>5000</v>
      </c>
      <c r="X349" t="s">
        <v>823</v>
      </c>
      <c r="Y349" t="s">
        <v>830</v>
      </c>
      <c r="Z349" t="s">
        <v>828</v>
      </c>
      <c r="AA349">
        <v>6</v>
      </c>
      <c r="AB349">
        <v>6</v>
      </c>
      <c r="AC349">
        <v>76</v>
      </c>
      <c r="AD349">
        <v>4</v>
      </c>
      <c r="AE349">
        <v>1447</v>
      </c>
      <c r="AF349">
        <v>5024</v>
      </c>
      <c r="AG349">
        <v>490</v>
      </c>
      <c r="AH349">
        <v>3573</v>
      </c>
      <c r="AI349">
        <v>6</v>
      </c>
      <c r="AJ349">
        <v>87</v>
      </c>
      <c r="AK349">
        <v>1648</v>
      </c>
      <c r="AL349">
        <v>3054</v>
      </c>
      <c r="AM349">
        <v>13</v>
      </c>
      <c r="AN349">
        <v>904</v>
      </c>
      <c r="AO349" t="s">
        <v>826</v>
      </c>
    </row>
    <row r="350" spans="1:41">
      <c r="A350">
        <v>342</v>
      </c>
      <c r="B350" s="2">
        <v>45296.6209606481</v>
      </c>
      <c r="C350">
        <v>500.36</v>
      </c>
      <c r="D350" t="s">
        <v>821</v>
      </c>
      <c r="E350" t="s">
        <v>822</v>
      </c>
      <c r="F350">
        <v>29</v>
      </c>
      <c r="G350">
        <f t="shared" si="5"/>
        <v>0</v>
      </c>
      <c r="H350">
        <v>1</v>
      </c>
      <c r="I350">
        <v>1440</v>
      </c>
      <c r="J350">
        <v>5024</v>
      </c>
      <c r="K350">
        <v>28016</v>
      </c>
      <c r="L350" s="1">
        <v>-12495</v>
      </c>
      <c r="M350">
        <v>-12496</v>
      </c>
      <c r="N350">
        <v>43.5</v>
      </c>
      <c r="O350">
        <v>7</v>
      </c>
      <c r="P350">
        <v>65535</v>
      </c>
      <c r="Q350">
        <v>5227</v>
      </c>
      <c r="R350">
        <v>-32767</v>
      </c>
      <c r="S350">
        <v>39.7</v>
      </c>
      <c r="T350">
        <v>14</v>
      </c>
      <c r="U350">
        <v>100</v>
      </c>
      <c r="V350">
        <v>34800</v>
      </c>
      <c r="W350">
        <v>5000</v>
      </c>
      <c r="X350" t="s">
        <v>823</v>
      </c>
      <c r="Y350" t="s">
        <v>830</v>
      </c>
      <c r="Z350" t="s">
        <v>828</v>
      </c>
      <c r="AA350">
        <v>6</v>
      </c>
      <c r="AB350">
        <v>6</v>
      </c>
      <c r="AC350">
        <v>76</v>
      </c>
      <c r="AD350">
        <v>4</v>
      </c>
      <c r="AE350">
        <v>1440</v>
      </c>
      <c r="AF350">
        <v>5024</v>
      </c>
      <c r="AG350">
        <v>492</v>
      </c>
      <c r="AH350">
        <v>3580</v>
      </c>
      <c r="AI350">
        <v>6</v>
      </c>
      <c r="AJ350">
        <v>87</v>
      </c>
      <c r="AK350">
        <v>1648</v>
      </c>
      <c r="AL350">
        <v>3061</v>
      </c>
      <c r="AM350">
        <v>13</v>
      </c>
      <c r="AN350">
        <v>912</v>
      </c>
      <c r="AO350" t="s">
        <v>826</v>
      </c>
    </row>
    <row r="351" spans="1:41">
      <c r="A351">
        <v>343</v>
      </c>
      <c r="B351" s="2">
        <v>45296.6209722222</v>
      </c>
      <c r="C351">
        <v>501.308</v>
      </c>
      <c r="D351" t="s">
        <v>821</v>
      </c>
      <c r="E351" t="s">
        <v>822</v>
      </c>
      <c r="F351">
        <v>29</v>
      </c>
      <c r="G351">
        <f t="shared" si="5"/>
        <v>0</v>
      </c>
      <c r="H351">
        <v>1</v>
      </c>
      <c r="I351">
        <v>1436</v>
      </c>
      <c r="J351">
        <v>5024</v>
      </c>
      <c r="K351">
        <v>28016</v>
      </c>
      <c r="L351" s="1">
        <v>-12496</v>
      </c>
      <c r="M351">
        <v>-12496</v>
      </c>
      <c r="N351">
        <v>43.5</v>
      </c>
      <c r="O351">
        <v>7</v>
      </c>
      <c r="P351">
        <v>65535</v>
      </c>
      <c r="Q351">
        <v>5213</v>
      </c>
      <c r="R351">
        <v>-32767</v>
      </c>
      <c r="S351">
        <v>39.7</v>
      </c>
      <c r="T351">
        <v>14</v>
      </c>
      <c r="U351">
        <v>100</v>
      </c>
      <c r="V351">
        <v>34800</v>
      </c>
      <c r="W351">
        <v>5000</v>
      </c>
      <c r="X351" t="s">
        <v>823</v>
      </c>
      <c r="Y351" t="s">
        <v>830</v>
      </c>
      <c r="Z351" t="s">
        <v>828</v>
      </c>
      <c r="AA351">
        <v>6</v>
      </c>
      <c r="AB351">
        <v>6</v>
      </c>
      <c r="AC351">
        <v>76</v>
      </c>
      <c r="AD351">
        <v>4</v>
      </c>
      <c r="AE351">
        <v>1436</v>
      </c>
      <c r="AF351">
        <v>5024</v>
      </c>
      <c r="AG351">
        <v>493</v>
      </c>
      <c r="AH351">
        <v>3584</v>
      </c>
      <c r="AI351">
        <v>6</v>
      </c>
      <c r="AJ351">
        <v>87</v>
      </c>
      <c r="AK351">
        <v>1648</v>
      </c>
      <c r="AL351">
        <v>3065</v>
      </c>
      <c r="AM351">
        <v>13</v>
      </c>
      <c r="AN351">
        <v>902</v>
      </c>
      <c r="AO351" t="s">
        <v>826</v>
      </c>
    </row>
    <row r="352" spans="1:41">
      <c r="A352">
        <v>344</v>
      </c>
      <c r="B352" s="2">
        <v>45296.6209837963</v>
      </c>
      <c r="C352">
        <v>502.246</v>
      </c>
      <c r="D352" t="s">
        <v>821</v>
      </c>
      <c r="E352" t="s">
        <v>822</v>
      </c>
      <c r="F352">
        <v>29</v>
      </c>
      <c r="G352">
        <f t="shared" si="5"/>
        <v>0</v>
      </c>
      <c r="H352">
        <v>1</v>
      </c>
      <c r="I352">
        <v>1433</v>
      </c>
      <c r="J352">
        <v>5024</v>
      </c>
      <c r="K352">
        <v>28008</v>
      </c>
      <c r="L352" s="1">
        <v>-12496</v>
      </c>
      <c r="M352">
        <v>-12496</v>
      </c>
      <c r="N352">
        <v>43.5</v>
      </c>
      <c r="O352">
        <v>7</v>
      </c>
      <c r="P352">
        <v>65535</v>
      </c>
      <c r="Q352">
        <v>5203</v>
      </c>
      <c r="R352">
        <v>-32767</v>
      </c>
      <c r="S352">
        <v>39.7</v>
      </c>
      <c r="T352">
        <v>14</v>
      </c>
      <c r="U352">
        <v>100</v>
      </c>
      <c r="V352">
        <v>34800</v>
      </c>
      <c r="W352">
        <v>5000</v>
      </c>
      <c r="X352" t="s">
        <v>823</v>
      </c>
      <c r="Y352" t="s">
        <v>830</v>
      </c>
      <c r="Z352" t="s">
        <v>828</v>
      </c>
      <c r="AA352">
        <v>6</v>
      </c>
      <c r="AB352">
        <v>6</v>
      </c>
      <c r="AC352">
        <v>76</v>
      </c>
      <c r="AD352">
        <v>4</v>
      </c>
      <c r="AE352">
        <v>1433</v>
      </c>
      <c r="AF352">
        <v>5024</v>
      </c>
      <c r="AG352">
        <v>494</v>
      </c>
      <c r="AH352">
        <v>3587</v>
      </c>
      <c r="AI352">
        <v>6</v>
      </c>
      <c r="AJ352">
        <v>87</v>
      </c>
      <c r="AK352">
        <v>1648</v>
      </c>
      <c r="AL352">
        <v>3068</v>
      </c>
      <c r="AM352">
        <v>13</v>
      </c>
      <c r="AN352">
        <v>898</v>
      </c>
      <c r="AO352" t="s">
        <v>826</v>
      </c>
    </row>
    <row r="353" spans="1:41">
      <c r="A353">
        <v>345</v>
      </c>
      <c r="B353" s="2">
        <v>45296.6210069444</v>
      </c>
      <c r="C353">
        <v>504.59</v>
      </c>
      <c r="D353" t="s">
        <v>821</v>
      </c>
      <c r="E353" t="s">
        <v>822</v>
      </c>
      <c r="F353">
        <v>29</v>
      </c>
      <c r="G353">
        <f t="shared" si="5"/>
        <v>0</v>
      </c>
      <c r="H353">
        <v>1</v>
      </c>
      <c r="I353">
        <v>1426</v>
      </c>
      <c r="J353">
        <v>5024</v>
      </c>
      <c r="K353">
        <v>28008</v>
      </c>
      <c r="L353" s="1">
        <v>-12496</v>
      </c>
      <c r="M353">
        <v>-12496</v>
      </c>
      <c r="N353">
        <v>43.5</v>
      </c>
      <c r="O353">
        <v>7</v>
      </c>
      <c r="P353">
        <v>65535</v>
      </c>
      <c r="Q353">
        <v>5178</v>
      </c>
      <c r="R353">
        <v>-32767</v>
      </c>
      <c r="S353">
        <v>39.7</v>
      </c>
      <c r="T353">
        <v>14</v>
      </c>
      <c r="U353">
        <v>100</v>
      </c>
      <c r="V353">
        <v>34800</v>
      </c>
      <c r="W353">
        <v>5000</v>
      </c>
      <c r="X353" t="s">
        <v>823</v>
      </c>
      <c r="Y353" t="s">
        <v>830</v>
      </c>
      <c r="Z353" t="s">
        <v>828</v>
      </c>
      <c r="AA353">
        <v>7</v>
      </c>
      <c r="AB353">
        <v>6</v>
      </c>
      <c r="AC353">
        <v>76</v>
      </c>
      <c r="AD353">
        <v>4</v>
      </c>
      <c r="AE353">
        <v>1426</v>
      </c>
      <c r="AF353">
        <v>5024</v>
      </c>
      <c r="AG353">
        <v>496</v>
      </c>
      <c r="AH353">
        <v>3594</v>
      </c>
      <c r="AI353">
        <v>6</v>
      </c>
      <c r="AJ353">
        <v>87</v>
      </c>
      <c r="AK353">
        <v>1648</v>
      </c>
      <c r="AL353">
        <v>3075</v>
      </c>
      <c r="AM353">
        <v>13</v>
      </c>
      <c r="AN353">
        <v>912</v>
      </c>
      <c r="AO353" t="s">
        <v>826</v>
      </c>
    </row>
    <row r="354" spans="1:41">
      <c r="A354">
        <v>346</v>
      </c>
      <c r="B354" s="2">
        <v>45296.6210185185</v>
      </c>
      <c r="C354">
        <v>505.539</v>
      </c>
      <c r="D354" t="s">
        <v>821</v>
      </c>
      <c r="E354" t="s">
        <v>822</v>
      </c>
      <c r="F354">
        <v>29</v>
      </c>
      <c r="G354">
        <f t="shared" si="5"/>
        <v>0</v>
      </c>
      <c r="H354">
        <v>1</v>
      </c>
      <c r="I354">
        <v>1423</v>
      </c>
      <c r="J354">
        <v>5024</v>
      </c>
      <c r="K354">
        <v>28000</v>
      </c>
      <c r="L354" s="1">
        <v>-12496</v>
      </c>
      <c r="M354">
        <v>-12496</v>
      </c>
      <c r="N354">
        <v>43.6</v>
      </c>
      <c r="O354">
        <v>7</v>
      </c>
      <c r="P354">
        <v>65535</v>
      </c>
      <c r="Q354">
        <v>5168</v>
      </c>
      <c r="R354">
        <v>-32767</v>
      </c>
      <c r="S354">
        <v>39.7</v>
      </c>
      <c r="T354">
        <v>15</v>
      </c>
      <c r="U354">
        <v>100</v>
      </c>
      <c r="V354">
        <v>34800</v>
      </c>
      <c r="W354">
        <v>5000</v>
      </c>
      <c r="X354" t="s">
        <v>823</v>
      </c>
      <c r="Y354" t="s">
        <v>830</v>
      </c>
      <c r="Z354" t="s">
        <v>828</v>
      </c>
      <c r="AA354">
        <v>7</v>
      </c>
      <c r="AB354">
        <v>6</v>
      </c>
      <c r="AC354">
        <v>76</v>
      </c>
      <c r="AD354">
        <v>4</v>
      </c>
      <c r="AE354">
        <v>1423</v>
      </c>
      <c r="AF354">
        <v>5024</v>
      </c>
      <c r="AG354">
        <v>497</v>
      </c>
      <c r="AH354">
        <v>3597</v>
      </c>
      <c r="AI354">
        <v>6</v>
      </c>
      <c r="AJ354">
        <v>87</v>
      </c>
      <c r="AK354">
        <v>1648</v>
      </c>
      <c r="AL354">
        <v>3078</v>
      </c>
      <c r="AM354">
        <v>13</v>
      </c>
      <c r="AN354">
        <v>906</v>
      </c>
      <c r="AO354" t="s">
        <v>826</v>
      </c>
    </row>
    <row r="355" spans="1:41">
      <c r="A355">
        <v>347</v>
      </c>
      <c r="B355" s="2">
        <v>45296.6210300926</v>
      </c>
      <c r="C355">
        <v>506.48</v>
      </c>
      <c r="D355" t="s">
        <v>821</v>
      </c>
      <c r="E355" t="s">
        <v>822</v>
      </c>
      <c r="F355">
        <v>29</v>
      </c>
      <c r="G355">
        <f t="shared" si="5"/>
        <v>0</v>
      </c>
      <c r="H355">
        <v>1</v>
      </c>
      <c r="I355">
        <v>1419</v>
      </c>
      <c r="J355">
        <v>5024</v>
      </c>
      <c r="K355">
        <v>27992</v>
      </c>
      <c r="L355" s="1">
        <v>-12496</v>
      </c>
      <c r="M355">
        <v>-12496</v>
      </c>
      <c r="N355">
        <v>43.6</v>
      </c>
      <c r="O355">
        <v>7</v>
      </c>
      <c r="P355">
        <v>65535</v>
      </c>
      <c r="Q355">
        <v>5154</v>
      </c>
      <c r="R355">
        <v>-32767</v>
      </c>
      <c r="S355">
        <v>39.7</v>
      </c>
      <c r="T355">
        <v>15</v>
      </c>
      <c r="U355">
        <v>100</v>
      </c>
      <c r="V355">
        <v>34800</v>
      </c>
      <c r="W355">
        <v>5000</v>
      </c>
      <c r="X355" t="s">
        <v>823</v>
      </c>
      <c r="Y355" t="s">
        <v>830</v>
      </c>
      <c r="Z355" t="s">
        <v>828</v>
      </c>
      <c r="AA355">
        <v>7</v>
      </c>
      <c r="AB355">
        <v>6</v>
      </c>
      <c r="AC355">
        <v>76</v>
      </c>
      <c r="AD355">
        <v>4</v>
      </c>
      <c r="AE355">
        <v>1419</v>
      </c>
      <c r="AF355">
        <v>5024</v>
      </c>
      <c r="AG355">
        <v>498</v>
      </c>
      <c r="AH355">
        <v>3601</v>
      </c>
      <c r="AI355">
        <v>6</v>
      </c>
      <c r="AJ355">
        <v>87</v>
      </c>
      <c r="AK355">
        <v>1648</v>
      </c>
      <c r="AL355">
        <v>3082</v>
      </c>
      <c r="AM355">
        <v>13</v>
      </c>
      <c r="AN355">
        <v>902</v>
      </c>
      <c r="AO355" t="s">
        <v>826</v>
      </c>
    </row>
    <row r="356" spans="1:41">
      <c r="A356">
        <v>348</v>
      </c>
      <c r="B356" s="2">
        <v>45296.6210532407</v>
      </c>
      <c r="C356">
        <v>508.843</v>
      </c>
      <c r="D356" t="s">
        <v>821</v>
      </c>
      <c r="E356" t="s">
        <v>822</v>
      </c>
      <c r="F356">
        <v>29</v>
      </c>
      <c r="G356">
        <f t="shared" si="5"/>
        <v>0</v>
      </c>
      <c r="H356">
        <v>1</v>
      </c>
      <c r="I356">
        <v>1412</v>
      </c>
      <c r="J356">
        <v>5024</v>
      </c>
      <c r="K356">
        <v>27992</v>
      </c>
      <c r="L356" s="1">
        <v>-12496</v>
      </c>
      <c r="M356">
        <v>-12496</v>
      </c>
      <c r="N356">
        <v>43.6</v>
      </c>
      <c r="O356">
        <v>7</v>
      </c>
      <c r="P356">
        <v>65535</v>
      </c>
      <c r="Q356">
        <v>5129</v>
      </c>
      <c r="R356">
        <v>-32767</v>
      </c>
      <c r="S356">
        <v>39.8</v>
      </c>
      <c r="T356">
        <v>15</v>
      </c>
      <c r="U356">
        <v>100</v>
      </c>
      <c r="V356">
        <v>34800</v>
      </c>
      <c r="W356">
        <v>5000</v>
      </c>
      <c r="X356" t="s">
        <v>823</v>
      </c>
      <c r="Y356" t="s">
        <v>830</v>
      </c>
      <c r="Z356" t="s">
        <v>835</v>
      </c>
      <c r="AA356">
        <v>7</v>
      </c>
      <c r="AB356">
        <v>6</v>
      </c>
      <c r="AC356">
        <v>76</v>
      </c>
      <c r="AD356">
        <v>4</v>
      </c>
      <c r="AE356">
        <v>1337</v>
      </c>
      <c r="AF356">
        <v>4952</v>
      </c>
      <c r="AG356">
        <v>501</v>
      </c>
      <c r="AH356">
        <v>3611</v>
      </c>
      <c r="AI356">
        <v>6</v>
      </c>
      <c r="AJ356">
        <v>87</v>
      </c>
      <c r="AK356">
        <v>1648</v>
      </c>
      <c r="AL356">
        <v>3092</v>
      </c>
      <c r="AM356">
        <v>13</v>
      </c>
      <c r="AN356">
        <v>909</v>
      </c>
      <c r="AO356" t="s">
        <v>826</v>
      </c>
    </row>
    <row r="357" spans="1:41">
      <c r="A357">
        <v>349</v>
      </c>
      <c r="B357" s="2">
        <v>45296.6210648148</v>
      </c>
      <c r="C357">
        <v>509.792</v>
      </c>
      <c r="D357" t="s">
        <v>821</v>
      </c>
      <c r="E357" t="s">
        <v>822</v>
      </c>
      <c r="F357">
        <v>27</v>
      </c>
      <c r="G357">
        <f t="shared" si="5"/>
        <v>2</v>
      </c>
      <c r="H357">
        <v>1</v>
      </c>
      <c r="I357">
        <v>1337</v>
      </c>
      <c r="J357">
        <v>4952</v>
      </c>
      <c r="K357">
        <v>28000</v>
      </c>
      <c r="L357" s="1">
        <v>-12496</v>
      </c>
      <c r="M357">
        <v>-12496</v>
      </c>
      <c r="N357">
        <v>43.6</v>
      </c>
      <c r="O357">
        <v>6</v>
      </c>
      <c r="P357">
        <v>65535</v>
      </c>
      <c r="Q357">
        <v>4645</v>
      </c>
      <c r="R357">
        <v>-32767</v>
      </c>
      <c r="S357">
        <v>39.8</v>
      </c>
      <c r="T357">
        <v>15</v>
      </c>
      <c r="U357">
        <v>100</v>
      </c>
      <c r="V357">
        <v>34800</v>
      </c>
      <c r="W357">
        <v>5000</v>
      </c>
      <c r="X357" t="s">
        <v>823</v>
      </c>
      <c r="Y357" t="s">
        <v>830</v>
      </c>
      <c r="Z357" t="s">
        <v>828</v>
      </c>
      <c r="AA357">
        <v>7</v>
      </c>
      <c r="AB357">
        <v>6</v>
      </c>
      <c r="AC357">
        <v>76</v>
      </c>
      <c r="AD357">
        <v>4</v>
      </c>
      <c r="AE357">
        <v>1333</v>
      </c>
      <c r="AF357">
        <v>4952</v>
      </c>
      <c r="AG357">
        <v>502</v>
      </c>
      <c r="AH357">
        <v>3615</v>
      </c>
      <c r="AI357">
        <v>6</v>
      </c>
      <c r="AJ357">
        <v>87</v>
      </c>
      <c r="AK357">
        <v>1648</v>
      </c>
      <c r="AL357">
        <v>3096</v>
      </c>
      <c r="AM357">
        <v>13</v>
      </c>
      <c r="AN357">
        <v>916</v>
      </c>
      <c r="AO357" t="s">
        <v>826</v>
      </c>
    </row>
    <row r="358" spans="1:41">
      <c r="A358">
        <v>350</v>
      </c>
      <c r="B358" s="2">
        <v>45296.621099537</v>
      </c>
      <c r="C358">
        <v>512.154</v>
      </c>
      <c r="D358" t="s">
        <v>821</v>
      </c>
      <c r="E358" t="s">
        <v>822</v>
      </c>
      <c r="F358">
        <v>27</v>
      </c>
      <c r="G358">
        <f t="shared" si="5"/>
        <v>0</v>
      </c>
      <c r="H358">
        <v>1</v>
      </c>
      <c r="I358">
        <v>1326</v>
      </c>
      <c r="J358">
        <v>4952</v>
      </c>
      <c r="K358">
        <v>27984</v>
      </c>
      <c r="L358" s="1">
        <v>-12496</v>
      </c>
      <c r="M358">
        <v>-12496</v>
      </c>
      <c r="N358">
        <v>43.7</v>
      </c>
      <c r="O358">
        <v>6</v>
      </c>
      <c r="P358">
        <v>65535</v>
      </c>
      <c r="Q358">
        <v>4606</v>
      </c>
      <c r="R358">
        <v>-32767</v>
      </c>
      <c r="S358">
        <v>39.8</v>
      </c>
      <c r="T358">
        <v>15</v>
      </c>
      <c r="U358">
        <v>100</v>
      </c>
      <c r="V358">
        <v>34800</v>
      </c>
      <c r="W358">
        <v>5000</v>
      </c>
      <c r="X358" t="s">
        <v>823</v>
      </c>
      <c r="Y358" t="s">
        <v>830</v>
      </c>
      <c r="Z358" t="s">
        <v>828</v>
      </c>
      <c r="AA358">
        <v>7</v>
      </c>
      <c r="AB358">
        <v>6</v>
      </c>
      <c r="AC358">
        <v>76</v>
      </c>
      <c r="AD358">
        <v>4</v>
      </c>
      <c r="AE358">
        <v>1326</v>
      </c>
      <c r="AF358">
        <v>4952</v>
      </c>
      <c r="AG358">
        <v>504</v>
      </c>
      <c r="AH358">
        <v>3622</v>
      </c>
      <c r="AI358">
        <v>6</v>
      </c>
      <c r="AJ358">
        <v>87</v>
      </c>
      <c r="AK358">
        <v>1648</v>
      </c>
      <c r="AL358">
        <v>3103</v>
      </c>
      <c r="AM358">
        <v>13</v>
      </c>
      <c r="AN358">
        <v>912</v>
      </c>
      <c r="AO358" t="s">
        <v>826</v>
      </c>
    </row>
    <row r="359" spans="1:41">
      <c r="A359">
        <v>351</v>
      </c>
      <c r="B359" s="2">
        <v>45296.6211111111</v>
      </c>
      <c r="C359">
        <v>513.103</v>
      </c>
      <c r="D359" t="s">
        <v>821</v>
      </c>
      <c r="E359" t="s">
        <v>822</v>
      </c>
      <c r="F359">
        <v>27</v>
      </c>
      <c r="G359">
        <f t="shared" si="5"/>
        <v>0</v>
      </c>
      <c r="H359">
        <v>1</v>
      </c>
      <c r="I359">
        <v>1323</v>
      </c>
      <c r="J359">
        <v>4952</v>
      </c>
      <c r="K359">
        <v>27984</v>
      </c>
      <c r="L359" s="1">
        <v>-12495</v>
      </c>
      <c r="M359">
        <v>-12496</v>
      </c>
      <c r="N359">
        <v>43.7</v>
      </c>
      <c r="O359">
        <v>6</v>
      </c>
      <c r="P359">
        <v>65535</v>
      </c>
      <c r="Q359">
        <v>4596</v>
      </c>
      <c r="R359">
        <v>-32767</v>
      </c>
      <c r="S359">
        <v>39.8</v>
      </c>
      <c r="T359">
        <v>15</v>
      </c>
      <c r="U359">
        <v>100</v>
      </c>
      <c r="V359">
        <v>34800</v>
      </c>
      <c r="W359">
        <v>5000</v>
      </c>
      <c r="X359" t="s">
        <v>823</v>
      </c>
      <c r="Y359" t="s">
        <v>830</v>
      </c>
      <c r="Z359" t="s">
        <v>828</v>
      </c>
      <c r="AA359">
        <v>7</v>
      </c>
      <c r="AB359">
        <v>6</v>
      </c>
      <c r="AC359">
        <v>76</v>
      </c>
      <c r="AD359">
        <v>4</v>
      </c>
      <c r="AE359">
        <v>1323</v>
      </c>
      <c r="AF359">
        <v>4952</v>
      </c>
      <c r="AG359">
        <v>505</v>
      </c>
      <c r="AH359">
        <v>3625</v>
      </c>
      <c r="AI359">
        <v>6</v>
      </c>
      <c r="AJ359">
        <v>87</v>
      </c>
      <c r="AK359">
        <v>1648</v>
      </c>
      <c r="AL359">
        <v>3106</v>
      </c>
      <c r="AM359">
        <v>13</v>
      </c>
      <c r="AN359">
        <v>902</v>
      </c>
      <c r="AO359" t="s">
        <v>826</v>
      </c>
    </row>
    <row r="360" spans="1:41">
      <c r="A360">
        <v>352</v>
      </c>
      <c r="B360" s="2">
        <v>45296.6211226852</v>
      </c>
      <c r="C360">
        <v>514.039</v>
      </c>
      <c r="D360" t="s">
        <v>821</v>
      </c>
      <c r="E360" t="s">
        <v>822</v>
      </c>
      <c r="F360">
        <v>27</v>
      </c>
      <c r="G360">
        <f t="shared" si="5"/>
        <v>0</v>
      </c>
      <c r="H360">
        <v>1</v>
      </c>
      <c r="I360">
        <v>1323</v>
      </c>
      <c r="J360">
        <v>4952</v>
      </c>
      <c r="K360">
        <v>27984</v>
      </c>
      <c r="L360" s="1">
        <v>-12496</v>
      </c>
      <c r="M360">
        <v>-12496</v>
      </c>
      <c r="N360">
        <v>43.7</v>
      </c>
      <c r="O360">
        <v>6</v>
      </c>
      <c r="P360">
        <v>65535</v>
      </c>
      <c r="Q360">
        <v>4582</v>
      </c>
      <c r="R360">
        <v>-32767</v>
      </c>
      <c r="S360">
        <v>39.8</v>
      </c>
      <c r="T360">
        <v>15</v>
      </c>
      <c r="U360">
        <v>100</v>
      </c>
      <c r="V360">
        <v>34800</v>
      </c>
      <c r="W360">
        <v>5000</v>
      </c>
      <c r="X360" t="s">
        <v>823</v>
      </c>
      <c r="Y360" t="s">
        <v>830</v>
      </c>
      <c r="Z360" t="s">
        <v>828</v>
      </c>
      <c r="AA360">
        <v>7</v>
      </c>
      <c r="AB360">
        <v>6</v>
      </c>
      <c r="AC360">
        <v>76</v>
      </c>
      <c r="AD360">
        <v>4</v>
      </c>
      <c r="AE360">
        <v>1319</v>
      </c>
      <c r="AF360">
        <v>4952</v>
      </c>
      <c r="AG360">
        <v>506</v>
      </c>
      <c r="AH360">
        <v>3629</v>
      </c>
      <c r="AI360">
        <v>6</v>
      </c>
      <c r="AJ360">
        <v>87</v>
      </c>
      <c r="AK360">
        <v>1648</v>
      </c>
      <c r="AL360">
        <v>3110</v>
      </c>
      <c r="AM360">
        <v>13</v>
      </c>
      <c r="AN360">
        <v>911</v>
      </c>
      <c r="AO360" t="s">
        <v>826</v>
      </c>
    </row>
    <row r="361" spans="1:41">
      <c r="A361">
        <v>353</v>
      </c>
      <c r="B361" s="2">
        <v>45296.6211458333</v>
      </c>
      <c r="C361">
        <v>516.419</v>
      </c>
      <c r="D361" t="s">
        <v>821</v>
      </c>
      <c r="E361" t="s">
        <v>822</v>
      </c>
      <c r="F361">
        <v>27</v>
      </c>
      <c r="G361">
        <f t="shared" si="5"/>
        <v>0</v>
      </c>
      <c r="H361">
        <v>1</v>
      </c>
      <c r="I361">
        <v>1312</v>
      </c>
      <c r="J361">
        <v>4952</v>
      </c>
      <c r="K361">
        <v>27976</v>
      </c>
      <c r="L361" s="1">
        <v>-12496</v>
      </c>
      <c r="M361">
        <v>-12496</v>
      </c>
      <c r="N361">
        <v>43.7</v>
      </c>
      <c r="O361">
        <v>6</v>
      </c>
      <c r="P361">
        <v>65535</v>
      </c>
      <c r="Q361">
        <v>4557</v>
      </c>
      <c r="R361">
        <v>-32767</v>
      </c>
      <c r="S361">
        <v>39.8</v>
      </c>
      <c r="T361">
        <v>15</v>
      </c>
      <c r="U361">
        <v>100</v>
      </c>
      <c r="V361">
        <v>34800</v>
      </c>
      <c r="W361">
        <v>5000</v>
      </c>
      <c r="X361" t="s">
        <v>823</v>
      </c>
      <c r="Y361" t="s">
        <v>830</v>
      </c>
      <c r="Z361" t="s">
        <v>828</v>
      </c>
      <c r="AA361">
        <v>7</v>
      </c>
      <c r="AB361">
        <v>6</v>
      </c>
      <c r="AC361">
        <v>76</v>
      </c>
      <c r="AD361">
        <v>4</v>
      </c>
      <c r="AE361">
        <v>1312</v>
      </c>
      <c r="AF361">
        <v>4952</v>
      </c>
      <c r="AG361">
        <v>508</v>
      </c>
      <c r="AH361">
        <v>3636</v>
      </c>
      <c r="AI361">
        <v>6</v>
      </c>
      <c r="AJ361">
        <v>87</v>
      </c>
      <c r="AK361">
        <v>1648</v>
      </c>
      <c r="AL361">
        <v>3117</v>
      </c>
      <c r="AM361">
        <v>13</v>
      </c>
      <c r="AN361">
        <v>901</v>
      </c>
      <c r="AO361" t="s">
        <v>826</v>
      </c>
    </row>
    <row r="362" spans="1:41">
      <c r="A362">
        <v>354</v>
      </c>
      <c r="B362" s="2">
        <v>45296.6211574074</v>
      </c>
      <c r="C362">
        <v>517.355</v>
      </c>
      <c r="D362" t="s">
        <v>821</v>
      </c>
      <c r="E362" t="s">
        <v>822</v>
      </c>
      <c r="F362">
        <v>27</v>
      </c>
      <c r="G362">
        <f t="shared" si="5"/>
        <v>0</v>
      </c>
      <c r="H362">
        <v>1</v>
      </c>
      <c r="I362">
        <v>1309</v>
      </c>
      <c r="J362">
        <v>4952</v>
      </c>
      <c r="K362">
        <v>27968</v>
      </c>
      <c r="L362" s="1">
        <v>-12496</v>
      </c>
      <c r="M362">
        <v>-12496</v>
      </c>
      <c r="N362">
        <v>43.7</v>
      </c>
      <c r="O362">
        <v>6</v>
      </c>
      <c r="P362">
        <v>65535</v>
      </c>
      <c r="Q362">
        <v>4547</v>
      </c>
      <c r="R362">
        <v>-32767</v>
      </c>
      <c r="S362">
        <v>39.8</v>
      </c>
      <c r="T362">
        <v>15</v>
      </c>
      <c r="U362">
        <v>100</v>
      </c>
      <c r="V362">
        <v>34800</v>
      </c>
      <c r="W362">
        <v>5000</v>
      </c>
      <c r="X362" t="s">
        <v>823</v>
      </c>
      <c r="Y362" t="s">
        <v>830</v>
      </c>
      <c r="Z362" t="s">
        <v>828</v>
      </c>
      <c r="AA362">
        <v>7</v>
      </c>
      <c r="AB362">
        <v>6</v>
      </c>
      <c r="AC362">
        <v>76</v>
      </c>
      <c r="AD362">
        <v>4</v>
      </c>
      <c r="AE362">
        <v>1309</v>
      </c>
      <c r="AF362">
        <v>4952</v>
      </c>
      <c r="AG362">
        <v>509</v>
      </c>
      <c r="AH362">
        <v>3639</v>
      </c>
      <c r="AI362">
        <v>6</v>
      </c>
      <c r="AJ362">
        <v>87</v>
      </c>
      <c r="AK362">
        <v>1648</v>
      </c>
      <c r="AL362">
        <v>3120</v>
      </c>
      <c r="AM362">
        <v>13</v>
      </c>
      <c r="AN362">
        <v>900</v>
      </c>
      <c r="AO362" t="s">
        <v>826</v>
      </c>
    </row>
    <row r="363" spans="1:41">
      <c r="A363">
        <v>355</v>
      </c>
      <c r="B363" s="2">
        <v>45296.6211689815</v>
      </c>
      <c r="C363">
        <v>518.305</v>
      </c>
      <c r="D363" t="s">
        <v>821</v>
      </c>
      <c r="E363" t="s">
        <v>822</v>
      </c>
      <c r="F363">
        <v>27</v>
      </c>
      <c r="G363">
        <f t="shared" si="5"/>
        <v>0</v>
      </c>
      <c r="H363">
        <v>1</v>
      </c>
      <c r="I363">
        <v>1305</v>
      </c>
      <c r="J363">
        <v>4952</v>
      </c>
      <c r="K363">
        <v>27968</v>
      </c>
      <c r="L363" s="1">
        <v>-12496</v>
      </c>
      <c r="M363">
        <v>-12496</v>
      </c>
      <c r="N363">
        <v>43.8</v>
      </c>
      <c r="O363">
        <v>6</v>
      </c>
      <c r="P363">
        <v>65535</v>
      </c>
      <c r="Q363">
        <v>4533</v>
      </c>
      <c r="R363">
        <v>-32767</v>
      </c>
      <c r="S363">
        <v>39.8</v>
      </c>
      <c r="T363">
        <v>15</v>
      </c>
      <c r="U363">
        <v>100</v>
      </c>
      <c r="V363">
        <v>34800</v>
      </c>
      <c r="W363">
        <v>5000</v>
      </c>
      <c r="X363" t="s">
        <v>823</v>
      </c>
      <c r="Y363" t="s">
        <v>830</v>
      </c>
      <c r="Z363" t="s">
        <v>828</v>
      </c>
      <c r="AA363">
        <v>7</v>
      </c>
      <c r="AB363">
        <v>6</v>
      </c>
      <c r="AC363">
        <v>76</v>
      </c>
      <c r="AD363">
        <v>4</v>
      </c>
      <c r="AE363">
        <v>1305</v>
      </c>
      <c r="AF363">
        <v>4952</v>
      </c>
      <c r="AG363">
        <v>510</v>
      </c>
      <c r="AH363">
        <v>3643</v>
      </c>
      <c r="AI363">
        <v>6</v>
      </c>
      <c r="AJ363">
        <v>87</v>
      </c>
      <c r="AK363">
        <v>1648</v>
      </c>
      <c r="AL363">
        <v>3124</v>
      </c>
      <c r="AM363">
        <v>13</v>
      </c>
      <c r="AN363">
        <v>903</v>
      </c>
      <c r="AO363" t="s">
        <v>826</v>
      </c>
    </row>
    <row r="364" spans="1:41">
      <c r="A364">
        <v>356</v>
      </c>
      <c r="B364" s="2">
        <v>45296.6211921296</v>
      </c>
      <c r="C364">
        <v>520.673</v>
      </c>
      <c r="D364" t="s">
        <v>821</v>
      </c>
      <c r="E364" t="s">
        <v>822</v>
      </c>
      <c r="F364">
        <v>27</v>
      </c>
      <c r="G364">
        <f t="shared" si="5"/>
        <v>0</v>
      </c>
      <c r="H364">
        <v>1</v>
      </c>
      <c r="I364">
        <v>1299</v>
      </c>
      <c r="J364">
        <v>4952</v>
      </c>
      <c r="K364">
        <v>27968</v>
      </c>
      <c r="L364" s="1">
        <v>-12496</v>
      </c>
      <c r="M364">
        <v>-12496</v>
      </c>
      <c r="N364">
        <v>43.8</v>
      </c>
      <c r="O364">
        <v>6</v>
      </c>
      <c r="P364">
        <v>65535</v>
      </c>
      <c r="Q364">
        <v>4512</v>
      </c>
      <c r="R364">
        <v>-32767</v>
      </c>
      <c r="S364">
        <v>39.9</v>
      </c>
      <c r="T364">
        <v>15</v>
      </c>
      <c r="U364">
        <v>100</v>
      </c>
      <c r="V364">
        <v>34800</v>
      </c>
      <c r="W364">
        <v>5000</v>
      </c>
      <c r="X364" t="s">
        <v>823</v>
      </c>
      <c r="Y364" t="s">
        <v>830</v>
      </c>
      <c r="Z364" t="s">
        <v>828</v>
      </c>
      <c r="AA364">
        <v>7</v>
      </c>
      <c r="AB364">
        <v>6</v>
      </c>
      <c r="AC364">
        <v>76</v>
      </c>
      <c r="AD364">
        <v>4</v>
      </c>
      <c r="AE364">
        <v>1299</v>
      </c>
      <c r="AF364">
        <v>4952</v>
      </c>
      <c r="AG364">
        <v>512</v>
      </c>
      <c r="AH364">
        <v>3649</v>
      </c>
      <c r="AI364">
        <v>6</v>
      </c>
      <c r="AJ364">
        <v>87</v>
      </c>
      <c r="AK364">
        <v>1648</v>
      </c>
      <c r="AL364">
        <v>3134</v>
      </c>
      <c r="AM364">
        <v>13</v>
      </c>
      <c r="AN364">
        <v>907</v>
      </c>
      <c r="AO364" t="s">
        <v>826</v>
      </c>
    </row>
    <row r="365" spans="1:41">
      <c r="A365">
        <v>357</v>
      </c>
      <c r="B365" s="2">
        <v>45296.6212037037</v>
      </c>
      <c r="C365">
        <v>521.62</v>
      </c>
      <c r="D365" t="s">
        <v>821</v>
      </c>
      <c r="E365" t="s">
        <v>822</v>
      </c>
      <c r="F365">
        <v>27</v>
      </c>
      <c r="G365">
        <f t="shared" si="5"/>
        <v>0</v>
      </c>
      <c r="H365">
        <v>1</v>
      </c>
      <c r="I365">
        <v>1295</v>
      </c>
      <c r="J365">
        <v>4952</v>
      </c>
      <c r="K365">
        <v>27960</v>
      </c>
      <c r="L365" s="1">
        <v>-12496</v>
      </c>
      <c r="M365">
        <v>-12496</v>
      </c>
      <c r="N365">
        <v>43.8</v>
      </c>
      <c r="O365">
        <v>6</v>
      </c>
      <c r="P365">
        <v>65535</v>
      </c>
      <c r="Q365">
        <v>4498</v>
      </c>
      <c r="R365">
        <v>-32767</v>
      </c>
      <c r="S365">
        <v>39.8</v>
      </c>
      <c r="T365">
        <v>15</v>
      </c>
      <c r="U365">
        <v>100</v>
      </c>
      <c r="V365">
        <v>34800</v>
      </c>
      <c r="W365">
        <v>5000</v>
      </c>
      <c r="X365" t="s">
        <v>823</v>
      </c>
      <c r="Y365" t="s">
        <v>830</v>
      </c>
      <c r="Z365" t="s">
        <v>828</v>
      </c>
      <c r="AA365">
        <v>7</v>
      </c>
      <c r="AB365">
        <v>6</v>
      </c>
      <c r="AC365">
        <v>76</v>
      </c>
      <c r="AD365">
        <v>4</v>
      </c>
      <c r="AE365">
        <v>1295</v>
      </c>
      <c r="AF365">
        <v>4952</v>
      </c>
      <c r="AG365">
        <v>513</v>
      </c>
      <c r="AH365">
        <v>3653</v>
      </c>
      <c r="AI365">
        <v>6</v>
      </c>
      <c r="AJ365">
        <v>87</v>
      </c>
      <c r="AK365">
        <v>1648</v>
      </c>
      <c r="AL365">
        <v>3134</v>
      </c>
      <c r="AM365">
        <v>13</v>
      </c>
      <c r="AN365">
        <v>900</v>
      </c>
      <c r="AO365" t="s">
        <v>826</v>
      </c>
    </row>
    <row r="366" spans="1:41">
      <c r="A366">
        <v>358</v>
      </c>
      <c r="B366" s="2">
        <v>45296.6212152778</v>
      </c>
      <c r="C366">
        <v>522.569</v>
      </c>
      <c r="D366" t="s">
        <v>821</v>
      </c>
      <c r="E366" t="s">
        <v>822</v>
      </c>
      <c r="F366">
        <v>27</v>
      </c>
      <c r="G366">
        <f t="shared" si="5"/>
        <v>0</v>
      </c>
      <c r="H366">
        <v>1</v>
      </c>
      <c r="I366">
        <v>1292</v>
      </c>
      <c r="J366">
        <v>4952</v>
      </c>
      <c r="K366">
        <v>27960</v>
      </c>
      <c r="L366" s="1">
        <v>-12496</v>
      </c>
      <c r="M366">
        <v>-12496</v>
      </c>
      <c r="N366">
        <v>43.8</v>
      </c>
      <c r="O366">
        <v>6</v>
      </c>
      <c r="P366">
        <v>65535</v>
      </c>
      <c r="Q366">
        <v>4488</v>
      </c>
      <c r="R366">
        <v>-32767</v>
      </c>
      <c r="S366">
        <v>39.8</v>
      </c>
      <c r="T366">
        <v>15</v>
      </c>
      <c r="U366">
        <v>100</v>
      </c>
      <c r="V366">
        <v>34800</v>
      </c>
      <c r="W366">
        <v>5000</v>
      </c>
      <c r="X366" t="s">
        <v>823</v>
      </c>
      <c r="Y366" t="s">
        <v>830</v>
      </c>
      <c r="Z366" t="s">
        <v>828</v>
      </c>
      <c r="AA366">
        <v>7</v>
      </c>
      <c r="AB366">
        <v>6</v>
      </c>
      <c r="AC366">
        <v>76</v>
      </c>
      <c r="AD366">
        <v>4</v>
      </c>
      <c r="AE366">
        <v>1292</v>
      </c>
      <c r="AF366">
        <v>4952</v>
      </c>
      <c r="AG366">
        <v>514</v>
      </c>
      <c r="AH366">
        <v>3656</v>
      </c>
      <c r="AI366">
        <v>6</v>
      </c>
      <c r="AJ366">
        <v>87</v>
      </c>
      <c r="AK366">
        <v>1648</v>
      </c>
      <c r="AL366">
        <v>3137</v>
      </c>
      <c r="AM366">
        <v>13</v>
      </c>
      <c r="AN366">
        <v>905</v>
      </c>
      <c r="AO366" t="s">
        <v>826</v>
      </c>
    </row>
    <row r="367" spans="1:41">
      <c r="A367">
        <v>359</v>
      </c>
      <c r="B367" s="2">
        <v>45296.62125</v>
      </c>
      <c r="C367">
        <v>524.951</v>
      </c>
      <c r="D367" t="s">
        <v>821</v>
      </c>
      <c r="E367" t="s">
        <v>822</v>
      </c>
      <c r="F367">
        <v>26</v>
      </c>
      <c r="G367">
        <f t="shared" si="5"/>
        <v>1</v>
      </c>
      <c r="H367">
        <v>1</v>
      </c>
      <c r="I367">
        <v>1285</v>
      </c>
      <c r="J367">
        <v>4952</v>
      </c>
      <c r="K367">
        <v>27952</v>
      </c>
      <c r="L367" s="1">
        <v>-12496</v>
      </c>
      <c r="M367">
        <v>-12496</v>
      </c>
      <c r="N367">
        <v>43.9</v>
      </c>
      <c r="O367">
        <v>6</v>
      </c>
      <c r="P367">
        <v>65535</v>
      </c>
      <c r="Q367">
        <v>4463</v>
      </c>
      <c r="R367">
        <v>-32767</v>
      </c>
      <c r="S367">
        <v>39.8</v>
      </c>
      <c r="T367">
        <v>15</v>
      </c>
      <c r="U367">
        <v>100</v>
      </c>
      <c r="V367">
        <v>34800</v>
      </c>
      <c r="W367">
        <v>5000</v>
      </c>
      <c r="X367" t="s">
        <v>823</v>
      </c>
      <c r="Y367" t="s">
        <v>830</v>
      </c>
      <c r="Z367" t="s">
        <v>828</v>
      </c>
      <c r="AA367">
        <v>7</v>
      </c>
      <c r="AB367">
        <v>6</v>
      </c>
      <c r="AC367">
        <v>76</v>
      </c>
      <c r="AD367">
        <v>4</v>
      </c>
      <c r="AE367">
        <v>1281</v>
      </c>
      <c r="AF367">
        <v>4952</v>
      </c>
      <c r="AG367">
        <v>517</v>
      </c>
      <c r="AH367">
        <v>3667</v>
      </c>
      <c r="AI367">
        <v>6</v>
      </c>
      <c r="AJ367">
        <v>87</v>
      </c>
      <c r="AK367">
        <v>1648</v>
      </c>
      <c r="AL367">
        <v>3148</v>
      </c>
      <c r="AM367">
        <v>13</v>
      </c>
      <c r="AN367">
        <v>894</v>
      </c>
      <c r="AO367" t="s">
        <v>826</v>
      </c>
    </row>
    <row r="368" spans="1:41">
      <c r="A368">
        <v>360</v>
      </c>
      <c r="B368" s="2">
        <v>45296.62125</v>
      </c>
      <c r="C368">
        <v>525.896</v>
      </c>
      <c r="D368" t="s">
        <v>821</v>
      </c>
      <c r="E368" t="s">
        <v>822</v>
      </c>
      <c r="F368">
        <v>26</v>
      </c>
      <c r="G368">
        <f t="shared" si="5"/>
        <v>0</v>
      </c>
      <c r="H368">
        <v>1</v>
      </c>
      <c r="I368">
        <v>1281</v>
      </c>
      <c r="J368">
        <v>4952</v>
      </c>
      <c r="K368">
        <v>27952</v>
      </c>
      <c r="L368" s="1">
        <v>-12496</v>
      </c>
      <c r="M368">
        <v>-12496</v>
      </c>
      <c r="N368">
        <v>43.9</v>
      </c>
      <c r="O368">
        <v>6</v>
      </c>
      <c r="P368">
        <v>65535</v>
      </c>
      <c r="Q368">
        <v>4449</v>
      </c>
      <c r="R368">
        <v>-32767</v>
      </c>
      <c r="S368">
        <v>39.8</v>
      </c>
      <c r="T368">
        <v>15</v>
      </c>
      <c r="U368">
        <v>100</v>
      </c>
      <c r="V368">
        <v>34800</v>
      </c>
      <c r="W368">
        <v>5000</v>
      </c>
      <c r="X368" t="s">
        <v>823</v>
      </c>
      <c r="Y368" t="s">
        <v>830</v>
      </c>
      <c r="Z368" t="s">
        <v>828</v>
      </c>
      <c r="AA368">
        <v>7</v>
      </c>
      <c r="AB368">
        <v>6</v>
      </c>
      <c r="AC368">
        <v>76</v>
      </c>
      <c r="AD368">
        <v>4</v>
      </c>
      <c r="AE368">
        <v>1278</v>
      </c>
      <c r="AF368">
        <v>4952</v>
      </c>
      <c r="AG368">
        <v>518</v>
      </c>
      <c r="AH368">
        <v>3670</v>
      </c>
      <c r="AI368">
        <v>6</v>
      </c>
      <c r="AJ368">
        <v>87</v>
      </c>
      <c r="AK368">
        <v>1648</v>
      </c>
      <c r="AL368">
        <v>3151</v>
      </c>
      <c r="AM368">
        <v>13</v>
      </c>
      <c r="AN368">
        <v>907</v>
      </c>
      <c r="AO368" t="s">
        <v>826</v>
      </c>
    </row>
    <row r="369" spans="1:41">
      <c r="A369">
        <v>361</v>
      </c>
      <c r="B369" s="2">
        <v>45296.6212847222</v>
      </c>
      <c r="C369">
        <v>528.265</v>
      </c>
      <c r="D369" t="s">
        <v>821</v>
      </c>
      <c r="E369" t="s">
        <v>822</v>
      </c>
      <c r="F369">
        <v>26</v>
      </c>
      <c r="G369">
        <f t="shared" si="5"/>
        <v>0</v>
      </c>
      <c r="H369">
        <v>1</v>
      </c>
      <c r="I369">
        <v>1271</v>
      </c>
      <c r="J369">
        <v>4952</v>
      </c>
      <c r="K369">
        <v>27944</v>
      </c>
      <c r="L369" s="1">
        <v>-12496</v>
      </c>
      <c r="M369">
        <v>-12496</v>
      </c>
      <c r="N369">
        <v>43.9</v>
      </c>
      <c r="O369">
        <v>6</v>
      </c>
      <c r="P369">
        <v>65535</v>
      </c>
      <c r="Q369">
        <v>4414</v>
      </c>
      <c r="R369">
        <v>-32767</v>
      </c>
      <c r="S369">
        <v>39.8</v>
      </c>
      <c r="T369">
        <v>15</v>
      </c>
      <c r="U369">
        <v>100</v>
      </c>
      <c r="V369">
        <v>34800</v>
      </c>
      <c r="W369">
        <v>5000</v>
      </c>
      <c r="X369" t="s">
        <v>823</v>
      </c>
      <c r="Y369" t="s">
        <v>830</v>
      </c>
      <c r="Z369" t="s">
        <v>828</v>
      </c>
      <c r="AA369">
        <v>7</v>
      </c>
      <c r="AB369">
        <v>6</v>
      </c>
      <c r="AC369">
        <v>76</v>
      </c>
      <c r="AD369">
        <v>4</v>
      </c>
      <c r="AE369">
        <v>1271</v>
      </c>
      <c r="AF369">
        <v>4952</v>
      </c>
      <c r="AG369">
        <v>520</v>
      </c>
      <c r="AH369">
        <v>3677</v>
      </c>
      <c r="AI369">
        <v>6</v>
      </c>
      <c r="AJ369">
        <v>87</v>
      </c>
      <c r="AK369">
        <v>1648</v>
      </c>
      <c r="AL369">
        <v>3158</v>
      </c>
      <c r="AM369">
        <v>13</v>
      </c>
      <c r="AN369">
        <v>908</v>
      </c>
      <c r="AO369" t="s">
        <v>826</v>
      </c>
    </row>
    <row r="370" spans="1:41">
      <c r="A370">
        <v>362</v>
      </c>
      <c r="B370" s="2">
        <v>45296.6212962963</v>
      </c>
      <c r="C370">
        <v>529.213</v>
      </c>
      <c r="D370" t="s">
        <v>821</v>
      </c>
      <c r="E370" t="s">
        <v>822</v>
      </c>
      <c r="F370">
        <v>26</v>
      </c>
      <c r="G370">
        <f t="shared" si="5"/>
        <v>0</v>
      </c>
      <c r="H370">
        <v>1</v>
      </c>
      <c r="I370">
        <v>1267</v>
      </c>
      <c r="J370">
        <v>4952</v>
      </c>
      <c r="K370">
        <v>27944</v>
      </c>
      <c r="L370" s="1">
        <v>-12496</v>
      </c>
      <c r="M370">
        <v>-12496</v>
      </c>
      <c r="N370">
        <v>43.9</v>
      </c>
      <c r="O370">
        <v>6</v>
      </c>
      <c r="P370">
        <v>65535</v>
      </c>
      <c r="Q370">
        <v>4400</v>
      </c>
      <c r="R370">
        <v>-32767</v>
      </c>
      <c r="S370">
        <v>39.8</v>
      </c>
      <c r="T370">
        <v>15</v>
      </c>
      <c r="U370">
        <v>100</v>
      </c>
      <c r="V370">
        <v>34800</v>
      </c>
      <c r="W370">
        <v>5000</v>
      </c>
      <c r="X370" t="s">
        <v>823</v>
      </c>
      <c r="Y370" t="s">
        <v>830</v>
      </c>
      <c r="Z370" t="s">
        <v>828</v>
      </c>
      <c r="AA370">
        <v>7</v>
      </c>
      <c r="AB370">
        <v>6</v>
      </c>
      <c r="AC370">
        <v>76</v>
      </c>
      <c r="AD370">
        <v>4</v>
      </c>
      <c r="AE370">
        <v>1267</v>
      </c>
      <c r="AF370">
        <v>4952</v>
      </c>
      <c r="AG370">
        <v>521</v>
      </c>
      <c r="AH370">
        <v>3681</v>
      </c>
      <c r="AI370">
        <v>6</v>
      </c>
      <c r="AJ370">
        <v>87</v>
      </c>
      <c r="AK370">
        <v>1648</v>
      </c>
      <c r="AL370">
        <v>3162</v>
      </c>
      <c r="AM370">
        <v>13</v>
      </c>
      <c r="AN370">
        <v>902</v>
      </c>
      <c r="AO370" t="s">
        <v>826</v>
      </c>
    </row>
    <row r="371" spans="1:41">
      <c r="A371">
        <v>363</v>
      </c>
      <c r="B371" s="2">
        <v>45296.6213078704</v>
      </c>
      <c r="C371">
        <v>530.151</v>
      </c>
      <c r="D371" t="s">
        <v>821</v>
      </c>
      <c r="E371" t="s">
        <v>822</v>
      </c>
      <c r="F371">
        <v>26</v>
      </c>
      <c r="G371">
        <f t="shared" si="5"/>
        <v>0</v>
      </c>
      <c r="H371">
        <v>1</v>
      </c>
      <c r="I371">
        <v>1264</v>
      </c>
      <c r="J371">
        <v>4952</v>
      </c>
      <c r="K371">
        <v>27936</v>
      </c>
      <c r="L371" s="1">
        <v>-12496</v>
      </c>
      <c r="M371">
        <v>-12496</v>
      </c>
      <c r="N371">
        <v>44</v>
      </c>
      <c r="O371">
        <v>6</v>
      </c>
      <c r="P371">
        <v>65535</v>
      </c>
      <c r="Q371">
        <v>4390</v>
      </c>
      <c r="R371">
        <v>-32767</v>
      </c>
      <c r="S371">
        <v>39.8</v>
      </c>
      <c r="T371">
        <v>15</v>
      </c>
      <c r="U371">
        <v>100</v>
      </c>
      <c r="V371">
        <v>34800</v>
      </c>
      <c r="W371">
        <v>5000</v>
      </c>
      <c r="X371" t="s">
        <v>823</v>
      </c>
      <c r="Y371" t="s">
        <v>830</v>
      </c>
      <c r="Z371" t="s">
        <v>828</v>
      </c>
      <c r="AA371">
        <v>7</v>
      </c>
      <c r="AB371">
        <v>6</v>
      </c>
      <c r="AC371">
        <v>76</v>
      </c>
      <c r="AD371">
        <v>4</v>
      </c>
      <c r="AE371">
        <v>1264</v>
      </c>
      <c r="AF371">
        <v>4952</v>
      </c>
      <c r="AG371">
        <v>522</v>
      </c>
      <c r="AH371">
        <v>3684</v>
      </c>
      <c r="AI371">
        <v>6</v>
      </c>
      <c r="AJ371">
        <v>87</v>
      </c>
      <c r="AK371">
        <v>1648</v>
      </c>
      <c r="AL371">
        <v>3165</v>
      </c>
      <c r="AM371">
        <v>13</v>
      </c>
      <c r="AN371">
        <v>902</v>
      </c>
      <c r="AO371" t="s">
        <v>826</v>
      </c>
    </row>
    <row r="372" spans="1:41">
      <c r="A372">
        <v>364</v>
      </c>
      <c r="B372" s="2">
        <v>45296.6213310185</v>
      </c>
      <c r="C372">
        <v>532.522</v>
      </c>
      <c r="D372" t="s">
        <v>821</v>
      </c>
      <c r="E372" t="s">
        <v>822</v>
      </c>
      <c r="F372">
        <v>26</v>
      </c>
      <c r="G372">
        <f t="shared" si="5"/>
        <v>0</v>
      </c>
      <c r="H372">
        <v>1</v>
      </c>
      <c r="I372">
        <v>1257</v>
      </c>
      <c r="J372">
        <v>4952</v>
      </c>
      <c r="K372">
        <v>27936</v>
      </c>
      <c r="L372" s="1">
        <v>-12496</v>
      </c>
      <c r="M372">
        <v>-12496</v>
      </c>
      <c r="N372">
        <v>44</v>
      </c>
      <c r="O372">
        <v>6</v>
      </c>
      <c r="P372">
        <v>65535</v>
      </c>
      <c r="Q372">
        <v>4365</v>
      </c>
      <c r="R372">
        <v>-32767</v>
      </c>
      <c r="S372">
        <v>39.8</v>
      </c>
      <c r="T372">
        <v>15</v>
      </c>
      <c r="U372">
        <v>100</v>
      </c>
      <c r="V372">
        <v>34800</v>
      </c>
      <c r="W372">
        <v>5000</v>
      </c>
      <c r="X372" t="s">
        <v>823</v>
      </c>
      <c r="Y372" t="s">
        <v>830</v>
      </c>
      <c r="Z372" t="s">
        <v>828</v>
      </c>
      <c r="AA372">
        <v>7</v>
      </c>
      <c r="AB372">
        <v>6</v>
      </c>
      <c r="AC372">
        <v>76</v>
      </c>
      <c r="AD372">
        <v>4</v>
      </c>
      <c r="AE372">
        <v>1257</v>
      </c>
      <c r="AF372">
        <v>4952</v>
      </c>
      <c r="AG372">
        <v>524</v>
      </c>
      <c r="AH372">
        <v>3691</v>
      </c>
      <c r="AI372">
        <v>6</v>
      </c>
      <c r="AJ372">
        <v>87</v>
      </c>
      <c r="AK372">
        <v>1648</v>
      </c>
      <c r="AL372">
        <v>3172</v>
      </c>
      <c r="AM372">
        <v>13</v>
      </c>
      <c r="AN372">
        <v>903</v>
      </c>
      <c r="AO372" t="s">
        <v>826</v>
      </c>
    </row>
    <row r="373" spans="1:41">
      <c r="A373">
        <v>365</v>
      </c>
      <c r="B373" s="2">
        <v>45296.6213425926</v>
      </c>
      <c r="C373">
        <v>533.462</v>
      </c>
      <c r="D373" t="s">
        <v>821</v>
      </c>
      <c r="E373" t="s">
        <v>822</v>
      </c>
      <c r="F373">
        <v>26</v>
      </c>
      <c r="G373">
        <f t="shared" si="5"/>
        <v>0</v>
      </c>
      <c r="H373">
        <v>1</v>
      </c>
      <c r="I373">
        <v>1253</v>
      </c>
      <c r="J373">
        <v>4952</v>
      </c>
      <c r="K373">
        <v>27928</v>
      </c>
      <c r="L373" s="1">
        <v>-12496</v>
      </c>
      <c r="M373">
        <v>-12496</v>
      </c>
      <c r="N373">
        <v>44</v>
      </c>
      <c r="O373">
        <v>6</v>
      </c>
      <c r="P373">
        <v>65535</v>
      </c>
      <c r="Q373">
        <v>4351</v>
      </c>
      <c r="R373">
        <v>-32767</v>
      </c>
      <c r="S373">
        <v>39.8</v>
      </c>
      <c r="T373">
        <v>15</v>
      </c>
      <c r="U373">
        <v>100</v>
      </c>
      <c r="V373">
        <v>34800</v>
      </c>
      <c r="W373">
        <v>5000</v>
      </c>
      <c r="X373" t="s">
        <v>823</v>
      </c>
      <c r="Y373" t="s">
        <v>830</v>
      </c>
      <c r="Z373" t="s">
        <v>828</v>
      </c>
      <c r="AA373">
        <v>7</v>
      </c>
      <c r="AB373">
        <v>6</v>
      </c>
      <c r="AC373">
        <v>76</v>
      </c>
      <c r="AD373">
        <v>4</v>
      </c>
      <c r="AE373">
        <v>1253</v>
      </c>
      <c r="AF373">
        <v>4952</v>
      </c>
      <c r="AG373">
        <v>525</v>
      </c>
      <c r="AH373">
        <v>3695</v>
      </c>
      <c r="AI373">
        <v>6</v>
      </c>
      <c r="AJ373">
        <v>87</v>
      </c>
      <c r="AK373">
        <v>1648</v>
      </c>
      <c r="AL373">
        <v>3176</v>
      </c>
      <c r="AM373">
        <v>13</v>
      </c>
      <c r="AN373">
        <v>905</v>
      </c>
      <c r="AO373" t="s">
        <v>826</v>
      </c>
    </row>
    <row r="374" spans="1:41">
      <c r="A374">
        <v>366</v>
      </c>
      <c r="B374" s="2">
        <v>45296.6213541667</v>
      </c>
      <c r="C374">
        <v>534.402</v>
      </c>
      <c r="D374" t="s">
        <v>821</v>
      </c>
      <c r="E374" t="s">
        <v>822</v>
      </c>
      <c r="F374">
        <v>26</v>
      </c>
      <c r="G374">
        <f t="shared" si="5"/>
        <v>0</v>
      </c>
      <c r="H374">
        <v>1</v>
      </c>
      <c r="I374">
        <v>1250</v>
      </c>
      <c r="J374">
        <v>4952</v>
      </c>
      <c r="K374">
        <v>27928</v>
      </c>
      <c r="L374" s="1">
        <v>-12496</v>
      </c>
      <c r="M374">
        <v>-12496</v>
      </c>
      <c r="N374">
        <v>44</v>
      </c>
      <c r="O374">
        <v>6</v>
      </c>
      <c r="P374">
        <v>65535</v>
      </c>
      <c r="Q374">
        <v>4341</v>
      </c>
      <c r="R374">
        <v>-32767</v>
      </c>
      <c r="S374">
        <v>39.9</v>
      </c>
      <c r="T374">
        <v>15</v>
      </c>
      <c r="U374">
        <v>100</v>
      </c>
      <c r="V374">
        <v>34800</v>
      </c>
      <c r="W374">
        <v>5000</v>
      </c>
      <c r="X374" t="s">
        <v>823</v>
      </c>
      <c r="Y374" t="s">
        <v>830</v>
      </c>
      <c r="Z374" t="s">
        <v>828</v>
      </c>
      <c r="AA374">
        <v>7</v>
      </c>
      <c r="AB374">
        <v>6</v>
      </c>
      <c r="AC374">
        <v>76</v>
      </c>
      <c r="AD374">
        <v>4</v>
      </c>
      <c r="AE374">
        <v>1250</v>
      </c>
      <c r="AF374">
        <v>4952</v>
      </c>
      <c r="AG374">
        <v>526</v>
      </c>
      <c r="AH374">
        <v>3698</v>
      </c>
      <c r="AI374">
        <v>6</v>
      </c>
      <c r="AJ374">
        <v>87</v>
      </c>
      <c r="AK374">
        <v>1648</v>
      </c>
      <c r="AL374">
        <v>3179</v>
      </c>
      <c r="AM374">
        <v>13</v>
      </c>
      <c r="AN374">
        <v>901</v>
      </c>
      <c r="AO374" t="s">
        <v>826</v>
      </c>
    </row>
    <row r="375" spans="1:41">
      <c r="A375">
        <v>367</v>
      </c>
      <c r="B375" s="2">
        <v>45296.6213773148</v>
      </c>
      <c r="C375">
        <v>536.751</v>
      </c>
      <c r="D375" t="s">
        <v>821</v>
      </c>
      <c r="E375" t="s">
        <v>822</v>
      </c>
      <c r="F375">
        <v>26</v>
      </c>
      <c r="G375">
        <f t="shared" si="5"/>
        <v>0</v>
      </c>
      <c r="H375">
        <v>1</v>
      </c>
      <c r="I375">
        <v>1243</v>
      </c>
      <c r="J375">
        <v>4952</v>
      </c>
      <c r="K375">
        <v>27920</v>
      </c>
      <c r="L375" s="1">
        <v>-12496</v>
      </c>
      <c r="M375">
        <v>-12496</v>
      </c>
      <c r="N375">
        <v>44</v>
      </c>
      <c r="O375">
        <v>6</v>
      </c>
      <c r="P375">
        <v>65535</v>
      </c>
      <c r="Q375">
        <v>4316</v>
      </c>
      <c r="R375">
        <v>-32767</v>
      </c>
      <c r="S375">
        <v>39.9</v>
      </c>
      <c r="T375">
        <v>15</v>
      </c>
      <c r="U375">
        <v>100</v>
      </c>
      <c r="V375">
        <v>34800</v>
      </c>
      <c r="W375">
        <v>5000</v>
      </c>
      <c r="X375" t="s">
        <v>823</v>
      </c>
      <c r="Y375" t="s">
        <v>830</v>
      </c>
      <c r="Z375" t="s">
        <v>828</v>
      </c>
      <c r="AA375">
        <v>7</v>
      </c>
      <c r="AB375">
        <v>6</v>
      </c>
      <c r="AC375">
        <v>76</v>
      </c>
      <c r="AD375">
        <v>4</v>
      </c>
      <c r="AE375">
        <v>1240</v>
      </c>
      <c r="AF375">
        <v>4952</v>
      </c>
      <c r="AG375">
        <v>529</v>
      </c>
      <c r="AH375">
        <v>3708</v>
      </c>
      <c r="AI375">
        <v>6</v>
      </c>
      <c r="AJ375">
        <v>87</v>
      </c>
      <c r="AK375">
        <v>1648</v>
      </c>
      <c r="AL375">
        <v>3189</v>
      </c>
      <c r="AM375">
        <v>13</v>
      </c>
      <c r="AN375">
        <v>908</v>
      </c>
      <c r="AO375" t="s">
        <v>826</v>
      </c>
    </row>
    <row r="376" spans="1:41">
      <c r="A376">
        <v>368</v>
      </c>
      <c r="B376" s="2">
        <v>45296.6213888889</v>
      </c>
      <c r="C376">
        <v>537.753</v>
      </c>
      <c r="D376" t="s">
        <v>821</v>
      </c>
      <c r="E376" t="s">
        <v>822</v>
      </c>
      <c r="F376">
        <v>26</v>
      </c>
      <c r="G376">
        <f t="shared" si="5"/>
        <v>0</v>
      </c>
      <c r="H376">
        <v>1</v>
      </c>
      <c r="I376">
        <v>1240</v>
      </c>
      <c r="J376">
        <v>4952</v>
      </c>
      <c r="K376">
        <v>27920</v>
      </c>
      <c r="L376" s="1">
        <v>-12496</v>
      </c>
      <c r="M376">
        <v>-12496</v>
      </c>
      <c r="N376">
        <v>44</v>
      </c>
      <c r="O376">
        <v>6</v>
      </c>
      <c r="P376">
        <v>65535</v>
      </c>
      <c r="Q376">
        <v>4306</v>
      </c>
      <c r="R376">
        <v>-32767</v>
      </c>
      <c r="S376">
        <v>39.9</v>
      </c>
      <c r="T376">
        <v>15</v>
      </c>
      <c r="U376">
        <v>100</v>
      </c>
      <c r="V376">
        <v>34800</v>
      </c>
      <c r="W376">
        <v>5000</v>
      </c>
      <c r="X376" t="s">
        <v>823</v>
      </c>
      <c r="Y376" t="s">
        <v>830</v>
      </c>
      <c r="Z376" t="s">
        <v>828</v>
      </c>
      <c r="AA376">
        <v>7</v>
      </c>
      <c r="AB376">
        <v>6</v>
      </c>
      <c r="AC376">
        <v>76</v>
      </c>
      <c r="AD376">
        <v>4</v>
      </c>
      <c r="AE376">
        <v>1236</v>
      </c>
      <c r="AF376">
        <v>4952</v>
      </c>
      <c r="AG376">
        <v>530</v>
      </c>
      <c r="AH376">
        <v>3712</v>
      </c>
      <c r="AI376">
        <v>6</v>
      </c>
      <c r="AJ376">
        <v>87</v>
      </c>
      <c r="AK376">
        <v>1648</v>
      </c>
      <c r="AL376">
        <v>3193</v>
      </c>
      <c r="AM376">
        <v>13</v>
      </c>
      <c r="AN376">
        <v>909</v>
      </c>
      <c r="AO376" t="s">
        <v>826</v>
      </c>
    </row>
    <row r="377" spans="1:41">
      <c r="A377">
        <v>369</v>
      </c>
      <c r="B377" s="2">
        <v>45296.6214236111</v>
      </c>
      <c r="C377">
        <v>540.115</v>
      </c>
      <c r="D377" t="s">
        <v>821</v>
      </c>
      <c r="E377" t="s">
        <v>822</v>
      </c>
      <c r="F377">
        <v>25</v>
      </c>
      <c r="G377">
        <f t="shared" si="5"/>
        <v>1</v>
      </c>
      <c r="H377">
        <v>1</v>
      </c>
      <c r="I377">
        <v>1229</v>
      </c>
      <c r="J377">
        <v>4952</v>
      </c>
      <c r="K377">
        <v>27912</v>
      </c>
      <c r="L377" s="1">
        <v>-12495</v>
      </c>
      <c r="M377">
        <v>-12496</v>
      </c>
      <c r="N377">
        <v>44.1</v>
      </c>
      <c r="O377">
        <v>6</v>
      </c>
      <c r="P377">
        <v>65535</v>
      </c>
      <c r="Q377">
        <v>4268</v>
      </c>
      <c r="R377">
        <v>-32767</v>
      </c>
      <c r="S377">
        <v>39.9</v>
      </c>
      <c r="T377">
        <v>15</v>
      </c>
      <c r="U377">
        <v>100</v>
      </c>
      <c r="V377">
        <v>34800</v>
      </c>
      <c r="W377">
        <v>5000</v>
      </c>
      <c r="X377" t="s">
        <v>823</v>
      </c>
      <c r="Y377" t="s">
        <v>830</v>
      </c>
      <c r="Z377" t="s">
        <v>828</v>
      </c>
      <c r="AA377">
        <v>7</v>
      </c>
      <c r="AB377">
        <v>6</v>
      </c>
      <c r="AC377">
        <v>76</v>
      </c>
      <c r="AD377">
        <v>4</v>
      </c>
      <c r="AE377">
        <v>1229</v>
      </c>
      <c r="AF377">
        <v>4952</v>
      </c>
      <c r="AG377">
        <v>532</v>
      </c>
      <c r="AH377">
        <v>3719</v>
      </c>
      <c r="AI377">
        <v>6</v>
      </c>
      <c r="AJ377">
        <v>87</v>
      </c>
      <c r="AK377">
        <v>1648</v>
      </c>
      <c r="AL377">
        <v>3200</v>
      </c>
      <c r="AM377">
        <v>13</v>
      </c>
      <c r="AN377">
        <v>903</v>
      </c>
      <c r="AO377" t="s">
        <v>826</v>
      </c>
    </row>
    <row r="378" spans="1:41">
      <c r="A378">
        <v>370</v>
      </c>
      <c r="B378" s="2">
        <v>45296.6214351852</v>
      </c>
      <c r="C378">
        <v>541.057</v>
      </c>
      <c r="D378" t="s">
        <v>821</v>
      </c>
      <c r="E378" t="s">
        <v>822</v>
      </c>
      <c r="F378">
        <v>25</v>
      </c>
      <c r="G378">
        <f t="shared" si="5"/>
        <v>0</v>
      </c>
      <c r="H378">
        <v>1</v>
      </c>
      <c r="I378">
        <v>1226</v>
      </c>
      <c r="J378">
        <v>4952</v>
      </c>
      <c r="K378">
        <v>27904</v>
      </c>
      <c r="L378" s="1">
        <v>-12496</v>
      </c>
      <c r="M378">
        <v>-12496</v>
      </c>
      <c r="N378">
        <v>44.1</v>
      </c>
      <c r="O378">
        <v>6</v>
      </c>
      <c r="P378">
        <v>65535</v>
      </c>
      <c r="Q378">
        <v>4257</v>
      </c>
      <c r="R378">
        <v>-32767</v>
      </c>
      <c r="S378">
        <v>39.9</v>
      </c>
      <c r="T378">
        <v>15</v>
      </c>
      <c r="U378">
        <v>100</v>
      </c>
      <c r="V378">
        <v>34800</v>
      </c>
      <c r="W378">
        <v>5000</v>
      </c>
      <c r="X378" t="s">
        <v>823</v>
      </c>
      <c r="Y378" t="s">
        <v>830</v>
      </c>
      <c r="Z378" t="s">
        <v>828</v>
      </c>
      <c r="AA378">
        <v>7</v>
      </c>
      <c r="AB378">
        <v>6</v>
      </c>
      <c r="AC378">
        <v>76</v>
      </c>
      <c r="AD378">
        <v>4</v>
      </c>
      <c r="AE378">
        <v>1226</v>
      </c>
      <c r="AF378">
        <v>4952</v>
      </c>
      <c r="AG378">
        <v>533</v>
      </c>
      <c r="AH378">
        <v>3722</v>
      </c>
      <c r="AI378">
        <v>6</v>
      </c>
      <c r="AJ378">
        <v>87</v>
      </c>
      <c r="AK378">
        <v>1648</v>
      </c>
      <c r="AL378">
        <v>3203</v>
      </c>
      <c r="AM378">
        <v>13</v>
      </c>
      <c r="AN378">
        <v>934</v>
      </c>
      <c r="AO378" t="s">
        <v>826</v>
      </c>
    </row>
    <row r="379" spans="1:41">
      <c r="A379">
        <v>371</v>
      </c>
      <c r="B379" s="2">
        <v>45296.6214467593</v>
      </c>
      <c r="C379">
        <v>542.026</v>
      </c>
      <c r="D379" t="s">
        <v>821</v>
      </c>
      <c r="E379" t="s">
        <v>822</v>
      </c>
      <c r="F379">
        <v>25</v>
      </c>
      <c r="G379">
        <f t="shared" si="5"/>
        <v>0</v>
      </c>
      <c r="H379">
        <v>1</v>
      </c>
      <c r="I379">
        <v>1226</v>
      </c>
      <c r="J379">
        <v>4952</v>
      </c>
      <c r="K379">
        <v>27904</v>
      </c>
      <c r="L379" s="1">
        <v>-12496</v>
      </c>
      <c r="M379">
        <v>-12496</v>
      </c>
      <c r="N379">
        <v>44.2</v>
      </c>
      <c r="O379">
        <v>6</v>
      </c>
      <c r="P379">
        <v>65535</v>
      </c>
      <c r="Q379">
        <v>4243</v>
      </c>
      <c r="R379">
        <v>-32767</v>
      </c>
      <c r="S379">
        <v>39.9</v>
      </c>
      <c r="T379">
        <v>15</v>
      </c>
      <c r="U379">
        <v>100</v>
      </c>
      <c r="V379">
        <v>34800</v>
      </c>
      <c r="W379">
        <v>5000</v>
      </c>
      <c r="X379" t="s">
        <v>823</v>
      </c>
      <c r="Y379" t="s">
        <v>830</v>
      </c>
      <c r="Z379" t="s">
        <v>828</v>
      </c>
      <c r="AA379">
        <v>7</v>
      </c>
      <c r="AB379">
        <v>6</v>
      </c>
      <c r="AC379">
        <v>76</v>
      </c>
      <c r="AD379">
        <v>4</v>
      </c>
      <c r="AE379">
        <v>1222</v>
      </c>
      <c r="AF379">
        <v>4952</v>
      </c>
      <c r="AG379">
        <v>534</v>
      </c>
      <c r="AH379">
        <v>3726</v>
      </c>
      <c r="AI379">
        <v>6</v>
      </c>
      <c r="AJ379">
        <v>87</v>
      </c>
      <c r="AK379">
        <v>1648</v>
      </c>
      <c r="AL379">
        <v>3207</v>
      </c>
      <c r="AM379">
        <v>13</v>
      </c>
      <c r="AN379">
        <v>900</v>
      </c>
      <c r="AO379" t="s">
        <v>826</v>
      </c>
    </row>
    <row r="380" spans="1:41">
      <c r="A380">
        <v>372</v>
      </c>
      <c r="B380" s="2">
        <v>45296.6214699074</v>
      </c>
      <c r="C380">
        <v>544.373</v>
      </c>
      <c r="D380" t="s">
        <v>821</v>
      </c>
      <c r="E380" t="s">
        <v>822</v>
      </c>
      <c r="F380">
        <v>25</v>
      </c>
      <c r="G380">
        <f t="shared" si="5"/>
        <v>0</v>
      </c>
      <c r="H380">
        <v>1</v>
      </c>
      <c r="I380">
        <v>1215</v>
      </c>
      <c r="J380">
        <v>4952</v>
      </c>
      <c r="K380">
        <v>27904</v>
      </c>
      <c r="L380" s="1">
        <v>-12496</v>
      </c>
      <c r="M380">
        <v>-12496</v>
      </c>
      <c r="N380">
        <v>44.2</v>
      </c>
      <c r="O380">
        <v>6</v>
      </c>
      <c r="P380">
        <v>65535</v>
      </c>
      <c r="Q380">
        <v>4219</v>
      </c>
      <c r="R380">
        <v>-32767</v>
      </c>
      <c r="S380">
        <v>39.9</v>
      </c>
      <c r="T380">
        <v>15</v>
      </c>
      <c r="U380">
        <v>100</v>
      </c>
      <c r="V380">
        <v>34800</v>
      </c>
      <c r="W380">
        <v>5000</v>
      </c>
      <c r="X380" t="s">
        <v>823</v>
      </c>
      <c r="Y380" t="s">
        <v>830</v>
      </c>
      <c r="Z380" t="s">
        <v>828</v>
      </c>
      <c r="AA380">
        <v>7</v>
      </c>
      <c r="AB380">
        <v>6</v>
      </c>
      <c r="AC380">
        <v>76</v>
      </c>
      <c r="AD380">
        <v>4</v>
      </c>
      <c r="AE380">
        <v>1215</v>
      </c>
      <c r="AF380">
        <v>4952</v>
      </c>
      <c r="AG380">
        <v>536</v>
      </c>
      <c r="AH380">
        <v>3733</v>
      </c>
      <c r="AI380">
        <v>6</v>
      </c>
      <c r="AJ380">
        <v>87</v>
      </c>
      <c r="AK380">
        <v>1648</v>
      </c>
      <c r="AL380">
        <v>3214</v>
      </c>
      <c r="AM380">
        <v>13</v>
      </c>
      <c r="AN380">
        <v>910</v>
      </c>
      <c r="AO380" t="s">
        <v>826</v>
      </c>
    </row>
    <row r="381" spans="1:41">
      <c r="A381">
        <v>373</v>
      </c>
      <c r="B381" s="2">
        <v>45296.6214814815</v>
      </c>
      <c r="C381">
        <v>545.324</v>
      </c>
      <c r="D381" t="s">
        <v>821</v>
      </c>
      <c r="E381" t="s">
        <v>822</v>
      </c>
      <c r="F381">
        <v>25</v>
      </c>
      <c r="G381">
        <f t="shared" si="5"/>
        <v>0</v>
      </c>
      <c r="H381">
        <v>1</v>
      </c>
      <c r="I381">
        <v>1212</v>
      </c>
      <c r="J381">
        <v>4952</v>
      </c>
      <c r="K381">
        <v>27896</v>
      </c>
      <c r="L381" s="1">
        <v>-12496</v>
      </c>
      <c r="M381">
        <v>-12496</v>
      </c>
      <c r="N381">
        <v>44.2</v>
      </c>
      <c r="O381">
        <v>6</v>
      </c>
      <c r="P381">
        <v>65535</v>
      </c>
      <c r="Q381">
        <v>4208</v>
      </c>
      <c r="R381">
        <v>-32767</v>
      </c>
      <c r="S381">
        <v>39.9</v>
      </c>
      <c r="T381">
        <v>15</v>
      </c>
      <c r="U381">
        <v>100</v>
      </c>
      <c r="V381">
        <v>34800</v>
      </c>
      <c r="W381">
        <v>5000</v>
      </c>
      <c r="X381" t="s">
        <v>823</v>
      </c>
      <c r="Y381" t="s">
        <v>830</v>
      </c>
      <c r="Z381" t="s">
        <v>828</v>
      </c>
      <c r="AA381">
        <v>7</v>
      </c>
      <c r="AB381">
        <v>6</v>
      </c>
      <c r="AC381">
        <v>76</v>
      </c>
      <c r="AD381">
        <v>4</v>
      </c>
      <c r="AE381">
        <v>1212</v>
      </c>
      <c r="AF381">
        <v>4952</v>
      </c>
      <c r="AG381">
        <v>537</v>
      </c>
      <c r="AH381">
        <v>3736</v>
      </c>
      <c r="AI381">
        <v>6</v>
      </c>
      <c r="AJ381">
        <v>87</v>
      </c>
      <c r="AK381">
        <v>1648</v>
      </c>
      <c r="AL381">
        <v>3217</v>
      </c>
      <c r="AM381">
        <v>13</v>
      </c>
      <c r="AN381">
        <v>903</v>
      </c>
      <c r="AO381" t="s">
        <v>826</v>
      </c>
    </row>
    <row r="382" spans="1:41">
      <c r="A382">
        <v>374</v>
      </c>
      <c r="B382" s="2">
        <v>45296.6214930556</v>
      </c>
      <c r="C382">
        <v>546.266</v>
      </c>
      <c r="D382" t="s">
        <v>821</v>
      </c>
      <c r="E382" t="s">
        <v>822</v>
      </c>
      <c r="F382">
        <v>25</v>
      </c>
      <c r="G382">
        <f t="shared" si="5"/>
        <v>0</v>
      </c>
      <c r="H382">
        <v>1</v>
      </c>
      <c r="I382">
        <v>1208</v>
      </c>
      <c r="J382">
        <v>4952</v>
      </c>
      <c r="K382">
        <v>27896</v>
      </c>
      <c r="L382" s="1">
        <v>-12496</v>
      </c>
      <c r="M382">
        <v>-12496</v>
      </c>
      <c r="N382">
        <v>44.2</v>
      </c>
      <c r="O382">
        <v>6</v>
      </c>
      <c r="P382">
        <v>65535</v>
      </c>
      <c r="Q382">
        <v>4194</v>
      </c>
      <c r="R382">
        <v>-32767</v>
      </c>
      <c r="S382">
        <v>39.9</v>
      </c>
      <c r="T382">
        <v>15</v>
      </c>
      <c r="U382">
        <v>100</v>
      </c>
      <c r="V382">
        <v>34800</v>
      </c>
      <c r="W382">
        <v>5000</v>
      </c>
      <c r="X382" t="s">
        <v>823</v>
      </c>
      <c r="Y382" t="s">
        <v>830</v>
      </c>
      <c r="Z382" t="s">
        <v>828</v>
      </c>
      <c r="AA382">
        <v>7</v>
      </c>
      <c r="AB382">
        <v>6</v>
      </c>
      <c r="AC382">
        <v>76</v>
      </c>
      <c r="AD382">
        <v>4</v>
      </c>
      <c r="AE382">
        <v>1208</v>
      </c>
      <c r="AF382">
        <v>4952</v>
      </c>
      <c r="AG382">
        <v>538</v>
      </c>
      <c r="AH382">
        <v>3740</v>
      </c>
      <c r="AI382">
        <v>6</v>
      </c>
      <c r="AJ382">
        <v>87</v>
      </c>
      <c r="AK382">
        <v>1648</v>
      </c>
      <c r="AL382">
        <v>3221</v>
      </c>
      <c r="AM382">
        <v>13</v>
      </c>
      <c r="AN382">
        <v>910</v>
      </c>
      <c r="AO382" t="s">
        <v>826</v>
      </c>
    </row>
    <row r="383" spans="1:41">
      <c r="A383">
        <v>375</v>
      </c>
      <c r="B383" s="2">
        <v>45296.6215162037</v>
      </c>
      <c r="C383">
        <v>548.626</v>
      </c>
      <c r="D383" t="s">
        <v>821</v>
      </c>
      <c r="E383" t="s">
        <v>822</v>
      </c>
      <c r="F383">
        <v>25</v>
      </c>
      <c r="G383">
        <f t="shared" si="5"/>
        <v>0</v>
      </c>
      <c r="H383">
        <v>1</v>
      </c>
      <c r="I383">
        <v>1201</v>
      </c>
      <c r="J383">
        <v>4952</v>
      </c>
      <c r="K383">
        <v>27888</v>
      </c>
      <c r="L383" s="1">
        <v>-12496</v>
      </c>
      <c r="M383">
        <v>-12496</v>
      </c>
      <c r="N383">
        <v>44.2</v>
      </c>
      <c r="O383">
        <v>6</v>
      </c>
      <c r="P383">
        <v>65535</v>
      </c>
      <c r="Q383">
        <v>4170</v>
      </c>
      <c r="R383">
        <v>-32767</v>
      </c>
      <c r="S383">
        <v>39.9</v>
      </c>
      <c r="T383">
        <v>15</v>
      </c>
      <c r="U383">
        <v>100</v>
      </c>
      <c r="V383">
        <v>34800</v>
      </c>
      <c r="W383">
        <v>5000</v>
      </c>
      <c r="X383" t="s">
        <v>823</v>
      </c>
      <c r="Y383" t="s">
        <v>830</v>
      </c>
      <c r="Z383" t="s">
        <v>828</v>
      </c>
      <c r="AA383">
        <v>7</v>
      </c>
      <c r="AB383">
        <v>6</v>
      </c>
      <c r="AC383">
        <v>76</v>
      </c>
      <c r="AD383">
        <v>4</v>
      </c>
      <c r="AE383">
        <v>1201</v>
      </c>
      <c r="AF383">
        <v>4952</v>
      </c>
      <c r="AG383">
        <v>540</v>
      </c>
      <c r="AH383">
        <v>3747</v>
      </c>
      <c r="AI383">
        <v>6</v>
      </c>
      <c r="AJ383">
        <v>87</v>
      </c>
      <c r="AK383">
        <v>1648</v>
      </c>
      <c r="AL383">
        <v>3231</v>
      </c>
      <c r="AM383">
        <v>13</v>
      </c>
      <c r="AN383">
        <v>906</v>
      </c>
      <c r="AO383" t="s">
        <v>826</v>
      </c>
    </row>
    <row r="384" spans="1:41">
      <c r="A384">
        <v>376</v>
      </c>
      <c r="B384" s="2">
        <v>45296.6215277778</v>
      </c>
      <c r="C384">
        <v>549.573</v>
      </c>
      <c r="D384" t="s">
        <v>821</v>
      </c>
      <c r="E384" t="s">
        <v>822</v>
      </c>
      <c r="F384">
        <v>25</v>
      </c>
      <c r="G384">
        <f t="shared" si="5"/>
        <v>0</v>
      </c>
      <c r="H384">
        <v>1</v>
      </c>
      <c r="I384">
        <v>1198</v>
      </c>
      <c r="J384">
        <v>4952</v>
      </c>
      <c r="K384">
        <v>27888</v>
      </c>
      <c r="L384" s="1">
        <v>-12496</v>
      </c>
      <c r="M384">
        <v>-12496</v>
      </c>
      <c r="N384">
        <v>44.2</v>
      </c>
      <c r="O384">
        <v>6</v>
      </c>
      <c r="P384">
        <v>65535</v>
      </c>
      <c r="Q384">
        <v>4159</v>
      </c>
      <c r="R384">
        <v>-32767</v>
      </c>
      <c r="S384">
        <v>39.9</v>
      </c>
      <c r="T384">
        <v>15</v>
      </c>
      <c r="U384">
        <v>100</v>
      </c>
      <c r="V384">
        <v>34800</v>
      </c>
      <c r="W384">
        <v>5000</v>
      </c>
      <c r="X384" t="s">
        <v>823</v>
      </c>
      <c r="Y384" t="s">
        <v>830</v>
      </c>
      <c r="Z384" t="s">
        <v>828</v>
      </c>
      <c r="AA384">
        <v>7</v>
      </c>
      <c r="AB384">
        <v>6</v>
      </c>
      <c r="AC384">
        <v>76</v>
      </c>
      <c r="AD384">
        <v>4</v>
      </c>
      <c r="AE384">
        <v>1198</v>
      </c>
      <c r="AF384">
        <v>4952</v>
      </c>
      <c r="AG384">
        <v>541</v>
      </c>
      <c r="AH384">
        <v>3750</v>
      </c>
      <c r="AI384">
        <v>6</v>
      </c>
      <c r="AJ384">
        <v>87</v>
      </c>
      <c r="AK384">
        <v>1648</v>
      </c>
      <c r="AL384">
        <v>3231</v>
      </c>
      <c r="AM384">
        <v>13</v>
      </c>
      <c r="AN384">
        <v>886</v>
      </c>
      <c r="AO384" t="s">
        <v>826</v>
      </c>
    </row>
    <row r="385" spans="1:41">
      <c r="A385">
        <v>377</v>
      </c>
      <c r="B385" s="2">
        <v>45296.6215393519</v>
      </c>
      <c r="C385">
        <v>550.497</v>
      </c>
      <c r="D385" t="s">
        <v>821</v>
      </c>
      <c r="E385" t="s">
        <v>822</v>
      </c>
      <c r="F385">
        <v>25</v>
      </c>
      <c r="G385">
        <f t="shared" si="5"/>
        <v>0</v>
      </c>
      <c r="H385">
        <v>1</v>
      </c>
      <c r="I385">
        <v>1194</v>
      </c>
      <c r="J385">
        <v>4952</v>
      </c>
      <c r="K385">
        <v>27880</v>
      </c>
      <c r="L385" s="1">
        <v>-12496</v>
      </c>
      <c r="M385">
        <v>-12496</v>
      </c>
      <c r="N385">
        <v>44.3</v>
      </c>
      <c r="O385">
        <v>6</v>
      </c>
      <c r="P385">
        <v>65535</v>
      </c>
      <c r="Q385">
        <v>4146</v>
      </c>
      <c r="R385">
        <v>-32767</v>
      </c>
      <c r="S385">
        <v>40</v>
      </c>
      <c r="T385">
        <v>15</v>
      </c>
      <c r="U385">
        <v>100</v>
      </c>
      <c r="V385">
        <v>34800</v>
      </c>
      <c r="W385">
        <v>5000</v>
      </c>
      <c r="X385" t="s">
        <v>823</v>
      </c>
      <c r="Y385" t="s">
        <v>830</v>
      </c>
      <c r="Z385" t="s">
        <v>828</v>
      </c>
      <c r="AA385">
        <v>7</v>
      </c>
      <c r="AB385">
        <v>6</v>
      </c>
      <c r="AC385">
        <v>76</v>
      </c>
      <c r="AD385">
        <v>4</v>
      </c>
      <c r="AE385">
        <v>1194</v>
      </c>
      <c r="AF385">
        <v>4952</v>
      </c>
      <c r="AG385">
        <v>542</v>
      </c>
      <c r="AH385">
        <v>3754</v>
      </c>
      <c r="AI385">
        <v>6</v>
      </c>
      <c r="AJ385">
        <v>87</v>
      </c>
      <c r="AK385">
        <v>1648</v>
      </c>
      <c r="AL385">
        <v>3235</v>
      </c>
      <c r="AM385">
        <v>13</v>
      </c>
      <c r="AN385">
        <v>916</v>
      </c>
      <c r="AO385" t="s">
        <v>826</v>
      </c>
    </row>
    <row r="386" spans="1:41">
      <c r="A386">
        <v>378</v>
      </c>
      <c r="B386" s="2">
        <v>45296.6215625</v>
      </c>
      <c r="C386">
        <v>552.859</v>
      </c>
      <c r="D386" t="s">
        <v>821</v>
      </c>
      <c r="E386" t="s">
        <v>822</v>
      </c>
      <c r="F386">
        <v>24</v>
      </c>
      <c r="G386">
        <f t="shared" si="5"/>
        <v>1</v>
      </c>
      <c r="H386">
        <v>1</v>
      </c>
      <c r="I386">
        <v>1187</v>
      </c>
      <c r="J386">
        <v>4952</v>
      </c>
      <c r="K386">
        <v>27880</v>
      </c>
      <c r="L386" s="1">
        <v>-12496</v>
      </c>
      <c r="M386">
        <v>-12496</v>
      </c>
      <c r="N386">
        <v>44.3</v>
      </c>
      <c r="O386">
        <v>6</v>
      </c>
      <c r="P386">
        <v>65535</v>
      </c>
      <c r="Q386">
        <v>4121</v>
      </c>
      <c r="R386">
        <v>-32767</v>
      </c>
      <c r="S386">
        <v>40</v>
      </c>
      <c r="T386">
        <v>15</v>
      </c>
      <c r="U386">
        <v>100</v>
      </c>
      <c r="V386">
        <v>34800</v>
      </c>
      <c r="W386">
        <v>5000</v>
      </c>
      <c r="X386" t="s">
        <v>823</v>
      </c>
      <c r="Y386" t="s">
        <v>830</v>
      </c>
      <c r="Z386" t="s">
        <v>828</v>
      </c>
      <c r="AA386">
        <v>7</v>
      </c>
      <c r="AB386">
        <v>6</v>
      </c>
      <c r="AC386">
        <v>76</v>
      </c>
      <c r="AD386">
        <v>4</v>
      </c>
      <c r="AE386">
        <v>1184</v>
      </c>
      <c r="AF386">
        <v>4952</v>
      </c>
      <c r="AG386">
        <v>545</v>
      </c>
      <c r="AH386">
        <v>3764</v>
      </c>
      <c r="AI386">
        <v>6</v>
      </c>
      <c r="AJ386">
        <v>87</v>
      </c>
      <c r="AK386">
        <v>1648</v>
      </c>
      <c r="AL386">
        <v>3245</v>
      </c>
      <c r="AM386">
        <v>13</v>
      </c>
      <c r="AN386">
        <v>908</v>
      </c>
      <c r="AO386" t="s">
        <v>826</v>
      </c>
    </row>
    <row r="387" spans="1:41">
      <c r="A387">
        <v>379</v>
      </c>
      <c r="B387" s="2">
        <v>45296.6215740741</v>
      </c>
      <c r="C387">
        <v>553.815</v>
      </c>
      <c r="D387" t="s">
        <v>821</v>
      </c>
      <c r="E387" t="s">
        <v>822</v>
      </c>
      <c r="F387">
        <v>24</v>
      </c>
      <c r="G387">
        <f t="shared" si="5"/>
        <v>0</v>
      </c>
      <c r="H387">
        <v>1</v>
      </c>
      <c r="I387">
        <v>1184</v>
      </c>
      <c r="J387">
        <v>4952</v>
      </c>
      <c r="K387">
        <v>27872</v>
      </c>
      <c r="L387" s="1">
        <v>-12496</v>
      </c>
      <c r="M387">
        <v>-12496</v>
      </c>
      <c r="N387">
        <v>44.3</v>
      </c>
      <c r="O387">
        <v>6</v>
      </c>
      <c r="P387">
        <v>65535</v>
      </c>
      <c r="Q387">
        <v>4111</v>
      </c>
      <c r="R387">
        <v>-32767</v>
      </c>
      <c r="S387">
        <v>40</v>
      </c>
      <c r="T387">
        <v>15</v>
      </c>
      <c r="U387">
        <v>100</v>
      </c>
      <c r="V387">
        <v>34800</v>
      </c>
      <c r="W387">
        <v>5000</v>
      </c>
      <c r="X387" t="s">
        <v>823</v>
      </c>
      <c r="Y387" t="s">
        <v>830</v>
      </c>
      <c r="Z387" t="s">
        <v>828</v>
      </c>
      <c r="AA387">
        <v>7</v>
      </c>
      <c r="AB387">
        <v>6</v>
      </c>
      <c r="AC387">
        <v>76</v>
      </c>
      <c r="AD387">
        <v>4</v>
      </c>
      <c r="AE387">
        <v>1181</v>
      </c>
      <c r="AF387">
        <v>4952</v>
      </c>
      <c r="AG387">
        <v>546</v>
      </c>
      <c r="AH387">
        <v>3767</v>
      </c>
      <c r="AI387">
        <v>6</v>
      </c>
      <c r="AJ387">
        <v>87</v>
      </c>
      <c r="AK387">
        <v>1648</v>
      </c>
      <c r="AL387">
        <v>3248</v>
      </c>
      <c r="AM387">
        <v>13</v>
      </c>
      <c r="AN387">
        <v>911</v>
      </c>
      <c r="AO387" t="s">
        <v>826</v>
      </c>
    </row>
    <row r="388" spans="1:41">
      <c r="A388">
        <v>380</v>
      </c>
      <c r="B388" s="2">
        <v>45296.6216087963</v>
      </c>
      <c r="C388">
        <v>556.172</v>
      </c>
      <c r="D388" t="s">
        <v>821</v>
      </c>
      <c r="E388" t="s">
        <v>822</v>
      </c>
      <c r="F388">
        <v>24</v>
      </c>
      <c r="G388">
        <f t="shared" si="5"/>
        <v>0</v>
      </c>
      <c r="H388">
        <v>1</v>
      </c>
      <c r="I388">
        <v>1174</v>
      </c>
      <c r="J388">
        <v>4952</v>
      </c>
      <c r="K388">
        <v>27872</v>
      </c>
      <c r="L388" s="1">
        <v>-12496</v>
      </c>
      <c r="M388">
        <v>-12496</v>
      </c>
      <c r="N388">
        <v>44.4</v>
      </c>
      <c r="O388">
        <v>6</v>
      </c>
      <c r="P388">
        <v>65535</v>
      </c>
      <c r="Q388">
        <v>4076</v>
      </c>
      <c r="R388">
        <v>-32767</v>
      </c>
      <c r="S388">
        <v>40</v>
      </c>
      <c r="T388">
        <v>15</v>
      </c>
      <c r="U388">
        <v>100</v>
      </c>
      <c r="V388">
        <v>34800</v>
      </c>
      <c r="W388">
        <v>5000</v>
      </c>
      <c r="X388" t="s">
        <v>823</v>
      </c>
      <c r="Y388" t="s">
        <v>830</v>
      </c>
      <c r="Z388" t="s">
        <v>828</v>
      </c>
      <c r="AA388">
        <v>7</v>
      </c>
      <c r="AB388">
        <v>6</v>
      </c>
      <c r="AC388">
        <v>76</v>
      </c>
      <c r="AD388">
        <v>4</v>
      </c>
      <c r="AE388">
        <v>1174</v>
      </c>
      <c r="AF388">
        <v>4952</v>
      </c>
      <c r="AG388">
        <v>548</v>
      </c>
      <c r="AH388">
        <v>3774</v>
      </c>
      <c r="AI388">
        <v>6</v>
      </c>
      <c r="AJ388">
        <v>87</v>
      </c>
      <c r="AK388">
        <v>1648</v>
      </c>
      <c r="AL388">
        <v>3255</v>
      </c>
      <c r="AM388">
        <v>13</v>
      </c>
      <c r="AN388">
        <v>906</v>
      </c>
      <c r="AO388" t="s">
        <v>826</v>
      </c>
    </row>
    <row r="389" spans="1:41">
      <c r="A389">
        <v>381</v>
      </c>
      <c r="B389" s="2">
        <v>45296.6216203704</v>
      </c>
      <c r="C389">
        <v>557.121</v>
      </c>
      <c r="D389" t="s">
        <v>821</v>
      </c>
      <c r="E389" t="s">
        <v>822</v>
      </c>
      <c r="F389">
        <v>24</v>
      </c>
      <c r="G389">
        <f t="shared" si="5"/>
        <v>0</v>
      </c>
      <c r="H389">
        <v>1</v>
      </c>
      <c r="I389">
        <v>1170</v>
      </c>
      <c r="J389">
        <v>4952</v>
      </c>
      <c r="K389">
        <v>27864</v>
      </c>
      <c r="L389" s="1">
        <v>-12496</v>
      </c>
      <c r="M389">
        <v>-12496</v>
      </c>
      <c r="N389">
        <v>44.4</v>
      </c>
      <c r="O389">
        <v>6</v>
      </c>
      <c r="P389">
        <v>65535</v>
      </c>
      <c r="Q389">
        <v>4062</v>
      </c>
      <c r="R389">
        <v>-32767</v>
      </c>
      <c r="S389">
        <v>40</v>
      </c>
      <c r="T389">
        <v>15</v>
      </c>
      <c r="U389">
        <v>100</v>
      </c>
      <c r="V389">
        <v>34800</v>
      </c>
      <c r="W389">
        <v>5000</v>
      </c>
      <c r="X389" t="s">
        <v>823</v>
      </c>
      <c r="Y389" t="s">
        <v>830</v>
      </c>
      <c r="Z389" t="s">
        <v>828</v>
      </c>
      <c r="AA389">
        <v>7</v>
      </c>
      <c r="AB389">
        <v>6</v>
      </c>
      <c r="AC389">
        <v>76</v>
      </c>
      <c r="AD389">
        <v>4</v>
      </c>
      <c r="AE389">
        <v>1170</v>
      </c>
      <c r="AF389">
        <v>4952</v>
      </c>
      <c r="AG389">
        <v>549</v>
      </c>
      <c r="AH389">
        <v>3778</v>
      </c>
      <c r="AI389">
        <v>6</v>
      </c>
      <c r="AJ389">
        <v>87</v>
      </c>
      <c r="AK389">
        <v>1648</v>
      </c>
      <c r="AL389">
        <v>3259</v>
      </c>
      <c r="AM389">
        <v>13</v>
      </c>
      <c r="AN389">
        <v>901</v>
      </c>
      <c r="AO389" t="s">
        <v>826</v>
      </c>
    </row>
    <row r="390" spans="1:41">
      <c r="A390">
        <v>382</v>
      </c>
      <c r="B390" s="2">
        <v>45296.6216319444</v>
      </c>
      <c r="C390">
        <v>558.06</v>
      </c>
      <c r="D390" t="s">
        <v>821</v>
      </c>
      <c r="E390" t="s">
        <v>822</v>
      </c>
      <c r="F390">
        <v>24</v>
      </c>
      <c r="G390">
        <f t="shared" si="5"/>
        <v>0</v>
      </c>
      <c r="H390">
        <v>1</v>
      </c>
      <c r="I390">
        <v>1167</v>
      </c>
      <c r="J390">
        <v>4952</v>
      </c>
      <c r="K390">
        <v>27864</v>
      </c>
      <c r="L390" s="1">
        <v>-12495</v>
      </c>
      <c r="M390">
        <v>-12496</v>
      </c>
      <c r="N390">
        <v>44.4</v>
      </c>
      <c r="O390">
        <v>6</v>
      </c>
      <c r="P390">
        <v>65535</v>
      </c>
      <c r="Q390">
        <v>4051</v>
      </c>
      <c r="R390">
        <v>-32767</v>
      </c>
      <c r="S390">
        <v>40</v>
      </c>
      <c r="T390">
        <v>15</v>
      </c>
      <c r="U390">
        <v>100</v>
      </c>
      <c r="V390">
        <v>34800</v>
      </c>
      <c r="W390">
        <v>5000</v>
      </c>
      <c r="X390" t="s">
        <v>823</v>
      </c>
      <c r="Y390" t="s">
        <v>830</v>
      </c>
      <c r="Z390" t="s">
        <v>828</v>
      </c>
      <c r="AA390">
        <v>7</v>
      </c>
      <c r="AB390">
        <v>6</v>
      </c>
      <c r="AC390">
        <v>76</v>
      </c>
      <c r="AD390">
        <v>4</v>
      </c>
      <c r="AE390">
        <v>1167</v>
      </c>
      <c r="AF390">
        <v>4952</v>
      </c>
      <c r="AG390">
        <v>550</v>
      </c>
      <c r="AH390">
        <v>3781</v>
      </c>
      <c r="AI390">
        <v>6</v>
      </c>
      <c r="AJ390">
        <v>87</v>
      </c>
      <c r="AK390">
        <v>1648</v>
      </c>
      <c r="AL390">
        <v>3262</v>
      </c>
      <c r="AM390">
        <v>13</v>
      </c>
      <c r="AN390">
        <v>914</v>
      </c>
      <c r="AO390" t="s">
        <v>826</v>
      </c>
    </row>
    <row r="391" spans="1:41">
      <c r="A391">
        <v>383</v>
      </c>
      <c r="B391" s="2">
        <v>45296.6216550926</v>
      </c>
      <c r="C391">
        <v>560.42</v>
      </c>
      <c r="D391" t="s">
        <v>821</v>
      </c>
      <c r="E391" t="s">
        <v>822</v>
      </c>
      <c r="F391">
        <v>24</v>
      </c>
      <c r="G391">
        <f t="shared" si="5"/>
        <v>0</v>
      </c>
      <c r="H391">
        <v>1</v>
      </c>
      <c r="I391">
        <v>1160</v>
      </c>
      <c r="J391">
        <v>4952</v>
      </c>
      <c r="K391">
        <v>27856</v>
      </c>
      <c r="L391" s="1">
        <v>-12496</v>
      </c>
      <c r="M391">
        <v>-12496</v>
      </c>
      <c r="N391">
        <v>44.4</v>
      </c>
      <c r="O391">
        <v>6</v>
      </c>
      <c r="P391">
        <v>65535</v>
      </c>
      <c r="Q391">
        <v>4027</v>
      </c>
      <c r="R391">
        <v>-32767</v>
      </c>
      <c r="S391">
        <v>40</v>
      </c>
      <c r="T391">
        <v>15</v>
      </c>
      <c r="U391">
        <v>100</v>
      </c>
      <c r="V391">
        <v>34800</v>
      </c>
      <c r="W391">
        <v>5000</v>
      </c>
      <c r="X391" t="s">
        <v>823</v>
      </c>
      <c r="Y391" t="s">
        <v>830</v>
      </c>
      <c r="Z391" t="s">
        <v>828</v>
      </c>
      <c r="AA391">
        <v>7</v>
      </c>
      <c r="AB391">
        <v>6</v>
      </c>
      <c r="AC391">
        <v>76</v>
      </c>
      <c r="AD391">
        <v>4</v>
      </c>
      <c r="AE391">
        <v>1160</v>
      </c>
      <c r="AF391">
        <v>4952</v>
      </c>
      <c r="AG391">
        <v>552</v>
      </c>
      <c r="AH391">
        <v>3788</v>
      </c>
      <c r="AI391">
        <v>6</v>
      </c>
      <c r="AJ391">
        <v>87</v>
      </c>
      <c r="AK391">
        <v>1648</v>
      </c>
      <c r="AL391">
        <v>3269</v>
      </c>
      <c r="AM391">
        <v>13</v>
      </c>
      <c r="AN391">
        <v>989</v>
      </c>
      <c r="AO391" t="s">
        <v>826</v>
      </c>
    </row>
    <row r="392" spans="1:41">
      <c r="A392">
        <v>384</v>
      </c>
      <c r="B392" s="2">
        <v>45296.6216666667</v>
      </c>
      <c r="C392">
        <v>561.446</v>
      </c>
      <c r="D392" t="s">
        <v>821</v>
      </c>
      <c r="E392" t="s">
        <v>822</v>
      </c>
      <c r="F392">
        <v>24</v>
      </c>
      <c r="G392">
        <f t="shared" si="5"/>
        <v>0</v>
      </c>
      <c r="H392">
        <v>1</v>
      </c>
      <c r="I392">
        <v>1156</v>
      </c>
      <c r="J392">
        <v>4952</v>
      </c>
      <c r="K392">
        <v>27856</v>
      </c>
      <c r="L392" s="1">
        <v>-12496</v>
      </c>
      <c r="M392">
        <v>-12496</v>
      </c>
      <c r="N392">
        <v>44.5</v>
      </c>
      <c r="O392">
        <v>6</v>
      </c>
      <c r="P392">
        <v>65535</v>
      </c>
      <c r="Q392">
        <v>4013</v>
      </c>
      <c r="R392">
        <v>-32767</v>
      </c>
      <c r="S392">
        <v>40</v>
      </c>
      <c r="T392">
        <v>15</v>
      </c>
      <c r="U392">
        <v>100</v>
      </c>
      <c r="V392">
        <v>34800</v>
      </c>
      <c r="W392">
        <v>5000</v>
      </c>
      <c r="X392" t="s">
        <v>823</v>
      </c>
      <c r="Y392" t="s">
        <v>830</v>
      </c>
      <c r="Z392" t="s">
        <v>828</v>
      </c>
      <c r="AA392">
        <v>7</v>
      </c>
      <c r="AB392">
        <v>6</v>
      </c>
      <c r="AC392">
        <v>76</v>
      </c>
      <c r="AD392">
        <v>4</v>
      </c>
      <c r="AE392">
        <v>1156</v>
      </c>
      <c r="AF392">
        <v>4952</v>
      </c>
      <c r="AG392">
        <v>553</v>
      </c>
      <c r="AH392">
        <v>3792</v>
      </c>
      <c r="AI392">
        <v>6</v>
      </c>
      <c r="AJ392">
        <v>87</v>
      </c>
      <c r="AK392">
        <v>1648</v>
      </c>
      <c r="AL392">
        <v>3273</v>
      </c>
      <c r="AM392">
        <v>13</v>
      </c>
      <c r="AN392">
        <v>905</v>
      </c>
      <c r="AO392" t="s">
        <v>826</v>
      </c>
    </row>
    <row r="393" spans="1:41">
      <c r="A393">
        <v>385</v>
      </c>
      <c r="B393" s="2">
        <v>45296.6216782407</v>
      </c>
      <c r="C393">
        <v>562.386</v>
      </c>
      <c r="D393" t="s">
        <v>821</v>
      </c>
      <c r="E393" t="s">
        <v>822</v>
      </c>
      <c r="F393">
        <v>24</v>
      </c>
      <c r="G393">
        <f t="shared" ref="G393:G456" si="6">F392-F393</f>
        <v>0</v>
      </c>
      <c r="H393">
        <v>1</v>
      </c>
      <c r="I393">
        <v>1153</v>
      </c>
      <c r="J393">
        <v>4952</v>
      </c>
      <c r="K393">
        <v>27848</v>
      </c>
      <c r="L393" s="1">
        <v>-12496</v>
      </c>
      <c r="M393">
        <v>-12496</v>
      </c>
      <c r="N393">
        <v>44.5</v>
      </c>
      <c r="O393">
        <v>6</v>
      </c>
      <c r="P393">
        <v>65535</v>
      </c>
      <c r="Q393">
        <v>4003</v>
      </c>
      <c r="R393">
        <v>-32767</v>
      </c>
      <c r="S393">
        <v>40</v>
      </c>
      <c r="T393">
        <v>15</v>
      </c>
      <c r="U393">
        <v>100</v>
      </c>
      <c r="V393">
        <v>34800</v>
      </c>
      <c r="W393">
        <v>5000</v>
      </c>
      <c r="X393" t="s">
        <v>823</v>
      </c>
      <c r="Y393" t="s">
        <v>830</v>
      </c>
      <c r="Z393" t="s">
        <v>828</v>
      </c>
      <c r="AA393">
        <v>7</v>
      </c>
      <c r="AB393">
        <v>6</v>
      </c>
      <c r="AC393">
        <v>76</v>
      </c>
      <c r="AD393">
        <v>4</v>
      </c>
      <c r="AE393">
        <v>1153</v>
      </c>
      <c r="AF393">
        <v>4952</v>
      </c>
      <c r="AG393">
        <v>554</v>
      </c>
      <c r="AH393">
        <v>3795</v>
      </c>
      <c r="AI393">
        <v>6</v>
      </c>
      <c r="AJ393">
        <v>87</v>
      </c>
      <c r="AK393">
        <v>1648</v>
      </c>
      <c r="AL393">
        <v>3276</v>
      </c>
      <c r="AM393">
        <v>13</v>
      </c>
      <c r="AN393">
        <v>900</v>
      </c>
      <c r="AO393" t="s">
        <v>826</v>
      </c>
    </row>
    <row r="394" spans="1:41">
      <c r="A394">
        <v>386</v>
      </c>
      <c r="B394" s="2">
        <v>45296.6217013889</v>
      </c>
      <c r="C394">
        <v>564.73</v>
      </c>
      <c r="D394" t="s">
        <v>821</v>
      </c>
      <c r="E394" t="s">
        <v>822</v>
      </c>
      <c r="F394">
        <v>24</v>
      </c>
      <c r="G394">
        <f t="shared" si="6"/>
        <v>0</v>
      </c>
      <c r="H394">
        <v>1</v>
      </c>
      <c r="I394">
        <v>1146</v>
      </c>
      <c r="J394">
        <v>4952</v>
      </c>
      <c r="K394">
        <v>27848</v>
      </c>
      <c r="L394" s="1">
        <v>-12496</v>
      </c>
      <c r="M394">
        <v>-12496</v>
      </c>
      <c r="N394">
        <v>44.5</v>
      </c>
      <c r="O394">
        <v>6</v>
      </c>
      <c r="P394">
        <v>65535</v>
      </c>
      <c r="Q394">
        <v>3978</v>
      </c>
      <c r="R394">
        <v>-32767</v>
      </c>
      <c r="S394">
        <v>40</v>
      </c>
      <c r="T394">
        <v>15</v>
      </c>
      <c r="U394">
        <v>100</v>
      </c>
      <c r="V394">
        <v>34800</v>
      </c>
      <c r="W394">
        <v>5000</v>
      </c>
      <c r="X394" t="s">
        <v>823</v>
      </c>
      <c r="Y394" t="s">
        <v>830</v>
      </c>
      <c r="Z394" t="s">
        <v>828</v>
      </c>
      <c r="AA394">
        <v>7</v>
      </c>
      <c r="AB394">
        <v>6</v>
      </c>
      <c r="AC394">
        <v>76</v>
      </c>
      <c r="AD394">
        <v>4</v>
      </c>
      <c r="AE394">
        <v>1142</v>
      </c>
      <c r="AF394">
        <v>4952</v>
      </c>
      <c r="AG394">
        <v>557</v>
      </c>
      <c r="AH394">
        <v>3806</v>
      </c>
      <c r="AI394">
        <v>6</v>
      </c>
      <c r="AJ394">
        <v>87</v>
      </c>
      <c r="AK394">
        <v>1648</v>
      </c>
      <c r="AL394">
        <v>3287</v>
      </c>
      <c r="AM394">
        <v>13</v>
      </c>
      <c r="AN394">
        <v>913</v>
      </c>
      <c r="AO394" t="s">
        <v>826</v>
      </c>
    </row>
    <row r="395" spans="1:41">
      <c r="A395">
        <v>387</v>
      </c>
      <c r="B395" s="2">
        <v>45296.621712963</v>
      </c>
      <c r="C395">
        <v>565.682</v>
      </c>
      <c r="D395" t="s">
        <v>821</v>
      </c>
      <c r="E395" t="s">
        <v>822</v>
      </c>
      <c r="F395">
        <v>24</v>
      </c>
      <c r="G395">
        <f t="shared" si="6"/>
        <v>0</v>
      </c>
      <c r="H395">
        <v>1</v>
      </c>
      <c r="I395">
        <v>1142</v>
      </c>
      <c r="J395">
        <v>4952</v>
      </c>
      <c r="K395">
        <v>27840</v>
      </c>
      <c r="L395" s="1">
        <v>-12495</v>
      </c>
      <c r="M395">
        <v>-12496</v>
      </c>
      <c r="N395">
        <v>44.5</v>
      </c>
      <c r="O395">
        <v>5</v>
      </c>
      <c r="P395">
        <v>65535</v>
      </c>
      <c r="Q395">
        <v>3964</v>
      </c>
      <c r="R395">
        <v>-32767</v>
      </c>
      <c r="S395">
        <v>40</v>
      </c>
      <c r="T395">
        <v>15</v>
      </c>
      <c r="U395">
        <v>100</v>
      </c>
      <c r="V395">
        <v>34800</v>
      </c>
      <c r="W395">
        <v>5000</v>
      </c>
      <c r="X395" t="s">
        <v>823</v>
      </c>
      <c r="Y395" t="s">
        <v>830</v>
      </c>
      <c r="Z395" t="s">
        <v>828</v>
      </c>
      <c r="AA395">
        <v>7</v>
      </c>
      <c r="AB395">
        <v>6</v>
      </c>
      <c r="AC395">
        <v>76</v>
      </c>
      <c r="AD395">
        <v>4</v>
      </c>
      <c r="AE395">
        <v>1142</v>
      </c>
      <c r="AF395">
        <v>4952</v>
      </c>
      <c r="AG395">
        <v>558</v>
      </c>
      <c r="AH395">
        <v>3809</v>
      </c>
      <c r="AI395">
        <v>6</v>
      </c>
      <c r="AJ395">
        <v>87</v>
      </c>
      <c r="AK395">
        <v>1648</v>
      </c>
      <c r="AL395">
        <v>3290</v>
      </c>
      <c r="AM395">
        <v>13</v>
      </c>
      <c r="AN395">
        <v>917</v>
      </c>
      <c r="AO395" t="s">
        <v>826</v>
      </c>
    </row>
    <row r="396" spans="1:41">
      <c r="A396">
        <v>388</v>
      </c>
      <c r="B396" s="2">
        <v>45296.621724537</v>
      </c>
      <c r="C396">
        <v>566.638</v>
      </c>
      <c r="D396" t="s">
        <v>821</v>
      </c>
      <c r="E396" t="s">
        <v>822</v>
      </c>
      <c r="F396">
        <v>24</v>
      </c>
      <c r="G396">
        <f t="shared" si="6"/>
        <v>0</v>
      </c>
      <c r="H396">
        <v>1</v>
      </c>
      <c r="I396">
        <v>1139</v>
      </c>
      <c r="J396">
        <v>4952</v>
      </c>
      <c r="K396">
        <v>27840</v>
      </c>
      <c r="L396" s="1">
        <v>-12496</v>
      </c>
      <c r="M396">
        <v>-12496</v>
      </c>
      <c r="N396">
        <v>44.5</v>
      </c>
      <c r="O396">
        <v>5</v>
      </c>
      <c r="P396">
        <v>65535</v>
      </c>
      <c r="Q396">
        <v>3954</v>
      </c>
      <c r="R396">
        <v>-32767</v>
      </c>
      <c r="S396">
        <v>40</v>
      </c>
      <c r="T396">
        <v>15</v>
      </c>
      <c r="U396">
        <v>100</v>
      </c>
      <c r="V396">
        <v>34800</v>
      </c>
      <c r="W396">
        <v>5000</v>
      </c>
      <c r="X396" t="s">
        <v>823</v>
      </c>
      <c r="Y396" t="s">
        <v>830</v>
      </c>
      <c r="Z396" t="s">
        <v>828</v>
      </c>
      <c r="AA396">
        <v>7</v>
      </c>
      <c r="AB396">
        <v>6</v>
      </c>
      <c r="AC396">
        <v>76</v>
      </c>
      <c r="AD396">
        <v>4</v>
      </c>
      <c r="AE396">
        <v>1139</v>
      </c>
      <c r="AF396">
        <v>4952</v>
      </c>
      <c r="AG396">
        <v>558</v>
      </c>
      <c r="AH396">
        <v>3809</v>
      </c>
      <c r="AI396">
        <v>6</v>
      </c>
      <c r="AJ396">
        <v>87</v>
      </c>
      <c r="AK396">
        <v>1648</v>
      </c>
      <c r="AL396">
        <v>3294</v>
      </c>
      <c r="AM396">
        <v>13</v>
      </c>
      <c r="AN396">
        <v>915</v>
      </c>
      <c r="AO396" t="s">
        <v>826</v>
      </c>
    </row>
    <row r="397" spans="1:41">
      <c r="A397">
        <v>389</v>
      </c>
      <c r="B397" s="2">
        <v>45296.6217592593</v>
      </c>
      <c r="C397">
        <v>569.017</v>
      </c>
      <c r="D397" t="s">
        <v>821</v>
      </c>
      <c r="E397" t="s">
        <v>822</v>
      </c>
      <c r="F397">
        <v>23</v>
      </c>
      <c r="G397">
        <f t="shared" si="6"/>
        <v>1</v>
      </c>
      <c r="H397">
        <v>1</v>
      </c>
      <c r="I397">
        <v>1132</v>
      </c>
      <c r="J397">
        <v>4952</v>
      </c>
      <c r="K397">
        <v>27832</v>
      </c>
      <c r="L397" s="1">
        <v>-12496</v>
      </c>
      <c r="M397">
        <v>-12496</v>
      </c>
      <c r="N397">
        <v>44.6</v>
      </c>
      <c r="O397">
        <v>5</v>
      </c>
      <c r="P397">
        <v>65535</v>
      </c>
      <c r="Q397">
        <v>3916</v>
      </c>
      <c r="R397">
        <v>-32767</v>
      </c>
      <c r="S397">
        <v>40</v>
      </c>
      <c r="T397">
        <v>15</v>
      </c>
      <c r="U397">
        <v>100</v>
      </c>
      <c r="V397">
        <v>34800</v>
      </c>
      <c r="W397">
        <v>5000</v>
      </c>
      <c r="X397" t="s">
        <v>823</v>
      </c>
      <c r="Y397" t="s">
        <v>830</v>
      </c>
      <c r="Z397" t="s">
        <v>828</v>
      </c>
      <c r="AA397">
        <v>7</v>
      </c>
      <c r="AB397">
        <v>6</v>
      </c>
      <c r="AC397">
        <v>76</v>
      </c>
      <c r="AD397">
        <v>4</v>
      </c>
      <c r="AE397">
        <v>1128</v>
      </c>
      <c r="AF397">
        <v>4952</v>
      </c>
      <c r="AG397">
        <v>561</v>
      </c>
      <c r="AH397">
        <v>3820</v>
      </c>
      <c r="AI397">
        <v>6</v>
      </c>
      <c r="AJ397">
        <v>87</v>
      </c>
      <c r="AK397">
        <v>1648</v>
      </c>
      <c r="AL397">
        <v>3301</v>
      </c>
      <c r="AM397">
        <v>13</v>
      </c>
      <c r="AN397">
        <v>924</v>
      </c>
      <c r="AO397" t="s">
        <v>826</v>
      </c>
    </row>
    <row r="398" spans="1:41">
      <c r="A398">
        <v>390</v>
      </c>
      <c r="B398" s="2">
        <v>45296.6217708333</v>
      </c>
      <c r="C398">
        <v>569.979</v>
      </c>
      <c r="D398" t="s">
        <v>821</v>
      </c>
      <c r="E398" t="s">
        <v>822</v>
      </c>
      <c r="F398">
        <v>23</v>
      </c>
      <c r="G398">
        <f t="shared" si="6"/>
        <v>0</v>
      </c>
      <c r="H398">
        <v>1</v>
      </c>
      <c r="I398">
        <v>1128</v>
      </c>
      <c r="J398">
        <v>4952</v>
      </c>
      <c r="K398">
        <v>27832</v>
      </c>
      <c r="L398" s="1">
        <v>-12496</v>
      </c>
      <c r="M398">
        <v>-12496</v>
      </c>
      <c r="N398">
        <v>44.6</v>
      </c>
      <c r="O398">
        <v>5</v>
      </c>
      <c r="P398">
        <v>65535</v>
      </c>
      <c r="Q398">
        <v>3905</v>
      </c>
      <c r="R398">
        <v>-32767</v>
      </c>
      <c r="S398">
        <v>40</v>
      </c>
      <c r="T398">
        <v>15</v>
      </c>
      <c r="U398">
        <v>100</v>
      </c>
      <c r="V398">
        <v>34800</v>
      </c>
      <c r="W398">
        <v>5000</v>
      </c>
      <c r="X398" t="s">
        <v>823</v>
      </c>
      <c r="Y398" t="s">
        <v>830</v>
      </c>
      <c r="Z398" t="s">
        <v>828</v>
      </c>
      <c r="AA398">
        <v>7</v>
      </c>
      <c r="AB398">
        <v>6</v>
      </c>
      <c r="AC398">
        <v>76</v>
      </c>
      <c r="AD398">
        <v>4</v>
      </c>
      <c r="AE398">
        <v>1125</v>
      </c>
      <c r="AF398">
        <v>4952</v>
      </c>
      <c r="AG398">
        <v>562</v>
      </c>
      <c r="AH398">
        <v>3823</v>
      </c>
      <c r="AI398">
        <v>6</v>
      </c>
      <c r="AJ398">
        <v>87</v>
      </c>
      <c r="AK398">
        <v>1648</v>
      </c>
      <c r="AL398">
        <v>3304</v>
      </c>
      <c r="AM398">
        <v>13</v>
      </c>
      <c r="AN398">
        <v>903</v>
      </c>
      <c r="AO398" t="s">
        <v>826</v>
      </c>
    </row>
    <row r="399" spans="1:41">
      <c r="A399">
        <v>391</v>
      </c>
      <c r="B399" s="2">
        <v>45296.6217939815</v>
      </c>
      <c r="C399">
        <v>572.332</v>
      </c>
      <c r="D399" t="s">
        <v>821</v>
      </c>
      <c r="E399" t="s">
        <v>822</v>
      </c>
      <c r="F399">
        <v>23</v>
      </c>
      <c r="G399">
        <f t="shared" si="6"/>
        <v>0</v>
      </c>
      <c r="H399">
        <v>1</v>
      </c>
      <c r="I399">
        <v>1118</v>
      </c>
      <c r="J399">
        <v>4952</v>
      </c>
      <c r="K399">
        <v>27824</v>
      </c>
      <c r="L399" s="1">
        <v>-12496</v>
      </c>
      <c r="M399">
        <v>-12496</v>
      </c>
      <c r="N399">
        <v>44.6</v>
      </c>
      <c r="O399">
        <v>5</v>
      </c>
      <c r="P399">
        <v>65535</v>
      </c>
      <c r="Q399">
        <v>3881</v>
      </c>
      <c r="R399">
        <v>-32767</v>
      </c>
      <c r="S399">
        <v>40</v>
      </c>
      <c r="T399">
        <v>15</v>
      </c>
      <c r="U399">
        <v>100</v>
      </c>
      <c r="V399">
        <v>34800</v>
      </c>
      <c r="W399">
        <v>5000</v>
      </c>
      <c r="X399" t="s">
        <v>823</v>
      </c>
      <c r="Y399" t="s">
        <v>830</v>
      </c>
      <c r="Z399" t="s">
        <v>828</v>
      </c>
      <c r="AA399">
        <v>7</v>
      </c>
      <c r="AB399">
        <v>6</v>
      </c>
      <c r="AC399">
        <v>76</v>
      </c>
      <c r="AD399">
        <v>4</v>
      </c>
      <c r="AE399">
        <v>1118</v>
      </c>
      <c r="AF399">
        <v>4952</v>
      </c>
      <c r="AG399">
        <v>564</v>
      </c>
      <c r="AH399">
        <v>3830</v>
      </c>
      <c r="AI399">
        <v>6</v>
      </c>
      <c r="AJ399">
        <v>87</v>
      </c>
      <c r="AK399">
        <v>1648</v>
      </c>
      <c r="AL399">
        <v>3311</v>
      </c>
      <c r="AM399">
        <v>13</v>
      </c>
      <c r="AN399">
        <v>907</v>
      </c>
      <c r="AO399" t="s">
        <v>826</v>
      </c>
    </row>
    <row r="400" spans="1:41">
      <c r="A400">
        <v>392</v>
      </c>
      <c r="B400" s="2">
        <v>45296.6218055556</v>
      </c>
      <c r="C400">
        <v>573.278</v>
      </c>
      <c r="D400" t="s">
        <v>821</v>
      </c>
      <c r="E400" t="s">
        <v>822</v>
      </c>
      <c r="F400">
        <v>23</v>
      </c>
      <c r="G400">
        <f t="shared" si="6"/>
        <v>0</v>
      </c>
      <c r="H400">
        <v>1</v>
      </c>
      <c r="I400">
        <v>1115</v>
      </c>
      <c r="J400">
        <v>4952</v>
      </c>
      <c r="K400">
        <v>27824</v>
      </c>
      <c r="L400" s="1">
        <v>-12496</v>
      </c>
      <c r="M400">
        <v>-12496</v>
      </c>
      <c r="N400">
        <v>44.6</v>
      </c>
      <c r="O400">
        <v>5</v>
      </c>
      <c r="P400">
        <v>65535</v>
      </c>
      <c r="Q400">
        <v>3870</v>
      </c>
      <c r="R400">
        <v>-32767</v>
      </c>
      <c r="S400">
        <v>40</v>
      </c>
      <c r="T400">
        <v>15</v>
      </c>
      <c r="U400">
        <v>100</v>
      </c>
      <c r="V400">
        <v>34800</v>
      </c>
      <c r="W400">
        <v>5000</v>
      </c>
      <c r="X400" t="s">
        <v>823</v>
      </c>
      <c r="Y400" t="s">
        <v>830</v>
      </c>
      <c r="Z400" t="s">
        <v>828</v>
      </c>
      <c r="AA400">
        <v>7</v>
      </c>
      <c r="AB400">
        <v>6</v>
      </c>
      <c r="AC400">
        <v>76</v>
      </c>
      <c r="AD400">
        <v>4</v>
      </c>
      <c r="AE400">
        <v>1115</v>
      </c>
      <c r="AF400">
        <v>4952</v>
      </c>
      <c r="AG400">
        <v>565</v>
      </c>
      <c r="AH400">
        <v>3833</v>
      </c>
      <c r="AI400">
        <v>6</v>
      </c>
      <c r="AJ400">
        <v>87</v>
      </c>
      <c r="AK400">
        <v>1648</v>
      </c>
      <c r="AL400">
        <v>3314</v>
      </c>
      <c r="AM400">
        <v>13</v>
      </c>
      <c r="AN400">
        <v>899</v>
      </c>
      <c r="AO400" t="s">
        <v>826</v>
      </c>
    </row>
    <row r="401" spans="1:41">
      <c r="A401">
        <v>393</v>
      </c>
      <c r="B401" s="2">
        <v>45296.6218171296</v>
      </c>
      <c r="C401">
        <v>574.222</v>
      </c>
      <c r="D401" t="s">
        <v>821</v>
      </c>
      <c r="E401" t="s">
        <v>822</v>
      </c>
      <c r="F401">
        <v>23</v>
      </c>
      <c r="G401">
        <f t="shared" si="6"/>
        <v>0</v>
      </c>
      <c r="H401">
        <v>1</v>
      </c>
      <c r="I401">
        <v>1111</v>
      </c>
      <c r="J401">
        <v>4952</v>
      </c>
      <c r="K401">
        <v>27816</v>
      </c>
      <c r="L401" s="1">
        <v>-12496</v>
      </c>
      <c r="M401">
        <v>-12496</v>
      </c>
      <c r="N401">
        <v>44.6</v>
      </c>
      <c r="O401">
        <v>5</v>
      </c>
      <c r="P401">
        <v>65535</v>
      </c>
      <c r="Q401">
        <v>3857</v>
      </c>
      <c r="R401">
        <v>-32767</v>
      </c>
      <c r="S401">
        <v>40</v>
      </c>
      <c r="T401">
        <v>15</v>
      </c>
      <c r="U401">
        <v>100</v>
      </c>
      <c r="V401">
        <v>34800</v>
      </c>
      <c r="W401">
        <v>5000</v>
      </c>
      <c r="X401" t="s">
        <v>823</v>
      </c>
      <c r="Y401" t="s">
        <v>830</v>
      </c>
      <c r="Z401" t="s">
        <v>828</v>
      </c>
      <c r="AA401">
        <v>7</v>
      </c>
      <c r="AB401">
        <v>6</v>
      </c>
      <c r="AC401">
        <v>76</v>
      </c>
      <c r="AD401">
        <v>4</v>
      </c>
      <c r="AE401">
        <v>1111</v>
      </c>
      <c r="AF401">
        <v>4952</v>
      </c>
      <c r="AG401">
        <v>566</v>
      </c>
      <c r="AH401">
        <v>3837</v>
      </c>
      <c r="AI401">
        <v>6</v>
      </c>
      <c r="AJ401">
        <v>87</v>
      </c>
      <c r="AK401">
        <v>1648</v>
      </c>
      <c r="AL401">
        <v>3318</v>
      </c>
      <c r="AM401">
        <v>13</v>
      </c>
      <c r="AN401">
        <v>908</v>
      </c>
      <c r="AO401" t="s">
        <v>826</v>
      </c>
    </row>
    <row r="402" spans="1:41">
      <c r="A402">
        <v>394</v>
      </c>
      <c r="B402" s="2">
        <v>45296.6218402778</v>
      </c>
      <c r="C402">
        <v>576.576</v>
      </c>
      <c r="D402" t="s">
        <v>821</v>
      </c>
      <c r="E402" t="s">
        <v>822</v>
      </c>
      <c r="F402">
        <v>23</v>
      </c>
      <c r="G402">
        <f t="shared" si="6"/>
        <v>0</v>
      </c>
      <c r="H402">
        <v>1</v>
      </c>
      <c r="I402">
        <v>1104</v>
      </c>
      <c r="J402">
        <v>4952</v>
      </c>
      <c r="K402">
        <v>27816</v>
      </c>
      <c r="L402" s="1">
        <v>-12496</v>
      </c>
      <c r="M402">
        <v>-12496</v>
      </c>
      <c r="N402">
        <v>44.7</v>
      </c>
      <c r="O402">
        <v>5</v>
      </c>
      <c r="P402">
        <v>65535</v>
      </c>
      <c r="Q402">
        <v>3832</v>
      </c>
      <c r="R402">
        <v>-32767</v>
      </c>
      <c r="S402">
        <v>40</v>
      </c>
      <c r="T402">
        <v>15</v>
      </c>
      <c r="U402">
        <v>100</v>
      </c>
      <c r="V402">
        <v>34800</v>
      </c>
      <c r="W402">
        <v>5000</v>
      </c>
      <c r="X402" t="s">
        <v>823</v>
      </c>
      <c r="Y402" t="s">
        <v>830</v>
      </c>
      <c r="Z402" t="s">
        <v>828</v>
      </c>
      <c r="AA402">
        <v>7</v>
      </c>
      <c r="AB402">
        <v>6</v>
      </c>
      <c r="AC402">
        <v>76</v>
      </c>
      <c r="AD402">
        <v>4</v>
      </c>
      <c r="AE402">
        <v>1104</v>
      </c>
      <c r="AF402">
        <v>4952</v>
      </c>
      <c r="AG402">
        <v>568</v>
      </c>
      <c r="AH402">
        <v>3844</v>
      </c>
      <c r="AI402">
        <v>6</v>
      </c>
      <c r="AJ402">
        <v>87</v>
      </c>
      <c r="AK402">
        <v>1648</v>
      </c>
      <c r="AL402">
        <v>3325</v>
      </c>
      <c r="AM402">
        <v>13</v>
      </c>
      <c r="AN402">
        <v>914</v>
      </c>
      <c r="AO402" t="s">
        <v>826</v>
      </c>
    </row>
    <row r="403" spans="1:41">
      <c r="A403">
        <v>395</v>
      </c>
      <c r="B403" s="2">
        <v>45296.6218518519</v>
      </c>
      <c r="C403">
        <v>577.526</v>
      </c>
      <c r="D403" t="s">
        <v>821</v>
      </c>
      <c r="E403" t="s">
        <v>822</v>
      </c>
      <c r="F403">
        <v>23</v>
      </c>
      <c r="G403">
        <f t="shared" si="6"/>
        <v>0</v>
      </c>
      <c r="H403">
        <v>1</v>
      </c>
      <c r="I403">
        <v>1101</v>
      </c>
      <c r="J403">
        <v>4952</v>
      </c>
      <c r="K403">
        <v>27808</v>
      </c>
      <c r="L403" s="1">
        <v>-12495</v>
      </c>
      <c r="M403">
        <v>-12496</v>
      </c>
      <c r="N403">
        <v>44.7</v>
      </c>
      <c r="O403">
        <v>5</v>
      </c>
      <c r="P403">
        <v>65535</v>
      </c>
      <c r="Q403">
        <v>3822</v>
      </c>
      <c r="R403">
        <v>-32767</v>
      </c>
      <c r="S403">
        <v>40</v>
      </c>
      <c r="T403">
        <v>15</v>
      </c>
      <c r="U403">
        <v>100</v>
      </c>
      <c r="V403">
        <v>34800</v>
      </c>
      <c r="W403">
        <v>5000</v>
      </c>
      <c r="X403" t="s">
        <v>823</v>
      </c>
      <c r="Y403" t="s">
        <v>830</v>
      </c>
      <c r="Z403" t="s">
        <v>828</v>
      </c>
      <c r="AA403">
        <v>7</v>
      </c>
      <c r="AB403">
        <v>6</v>
      </c>
      <c r="AC403">
        <v>76</v>
      </c>
      <c r="AD403">
        <v>4</v>
      </c>
      <c r="AE403">
        <v>1101</v>
      </c>
      <c r="AF403">
        <v>4952</v>
      </c>
      <c r="AG403">
        <v>569</v>
      </c>
      <c r="AH403">
        <v>3847</v>
      </c>
      <c r="AI403">
        <v>6</v>
      </c>
      <c r="AJ403">
        <v>87</v>
      </c>
      <c r="AK403">
        <v>1648</v>
      </c>
      <c r="AL403">
        <v>3328</v>
      </c>
      <c r="AM403">
        <v>13</v>
      </c>
      <c r="AN403">
        <v>903</v>
      </c>
      <c r="AO403" t="s">
        <v>826</v>
      </c>
    </row>
    <row r="404" spans="1:41">
      <c r="A404">
        <v>396</v>
      </c>
      <c r="B404" s="2">
        <v>45296.6218634259</v>
      </c>
      <c r="C404">
        <v>578.464</v>
      </c>
      <c r="D404" t="s">
        <v>821</v>
      </c>
      <c r="E404" t="s">
        <v>822</v>
      </c>
      <c r="F404">
        <v>23</v>
      </c>
      <c r="G404">
        <f t="shared" si="6"/>
        <v>0</v>
      </c>
      <c r="H404">
        <v>1</v>
      </c>
      <c r="I404">
        <v>1097</v>
      </c>
      <c r="J404">
        <v>4952</v>
      </c>
      <c r="K404">
        <v>27808</v>
      </c>
      <c r="L404" s="1">
        <v>-12496</v>
      </c>
      <c r="M404">
        <v>-12496</v>
      </c>
      <c r="N404">
        <v>44.7</v>
      </c>
      <c r="O404">
        <v>5</v>
      </c>
      <c r="P404">
        <v>65535</v>
      </c>
      <c r="Q404">
        <v>3808</v>
      </c>
      <c r="R404">
        <v>-32767</v>
      </c>
      <c r="S404">
        <v>40</v>
      </c>
      <c r="T404">
        <v>15</v>
      </c>
      <c r="U404">
        <v>100</v>
      </c>
      <c r="V404">
        <v>34800</v>
      </c>
      <c r="W404">
        <v>5000</v>
      </c>
      <c r="X404" t="s">
        <v>823</v>
      </c>
      <c r="Y404" t="s">
        <v>830</v>
      </c>
      <c r="Z404" t="s">
        <v>828</v>
      </c>
      <c r="AA404">
        <v>7</v>
      </c>
      <c r="AB404">
        <v>6</v>
      </c>
      <c r="AC404">
        <v>76</v>
      </c>
      <c r="AD404">
        <v>4</v>
      </c>
      <c r="AE404">
        <v>1097</v>
      </c>
      <c r="AF404">
        <v>4952</v>
      </c>
      <c r="AG404">
        <v>570</v>
      </c>
      <c r="AH404">
        <v>3851</v>
      </c>
      <c r="AI404">
        <v>6</v>
      </c>
      <c r="AJ404">
        <v>87</v>
      </c>
      <c r="AK404">
        <v>1648</v>
      </c>
      <c r="AL404">
        <v>3332</v>
      </c>
      <c r="AM404">
        <v>13</v>
      </c>
      <c r="AN404">
        <v>902</v>
      </c>
      <c r="AO404" t="s">
        <v>826</v>
      </c>
    </row>
    <row r="405" spans="1:41">
      <c r="A405">
        <v>397</v>
      </c>
      <c r="B405" s="2">
        <v>45296.6218865741</v>
      </c>
      <c r="C405">
        <v>580.81</v>
      </c>
      <c r="D405" t="s">
        <v>821</v>
      </c>
      <c r="E405" t="s">
        <v>822</v>
      </c>
      <c r="F405">
        <v>23</v>
      </c>
      <c r="G405">
        <f t="shared" si="6"/>
        <v>0</v>
      </c>
      <c r="H405">
        <v>1</v>
      </c>
      <c r="I405">
        <v>1090</v>
      </c>
      <c r="J405">
        <v>4952</v>
      </c>
      <c r="K405">
        <v>27800</v>
      </c>
      <c r="L405" s="1">
        <v>-12496</v>
      </c>
      <c r="M405">
        <v>-12496</v>
      </c>
      <c r="N405">
        <v>44.7</v>
      </c>
      <c r="O405">
        <v>5</v>
      </c>
      <c r="P405">
        <v>65535</v>
      </c>
      <c r="Q405">
        <v>3784</v>
      </c>
      <c r="R405">
        <v>-32767</v>
      </c>
      <c r="S405">
        <v>40</v>
      </c>
      <c r="T405">
        <v>15</v>
      </c>
      <c r="U405">
        <v>100</v>
      </c>
      <c r="V405">
        <v>34800</v>
      </c>
      <c r="W405">
        <v>5000</v>
      </c>
      <c r="X405" t="s">
        <v>823</v>
      </c>
      <c r="Y405" t="s">
        <v>830</v>
      </c>
      <c r="Z405" t="s">
        <v>828</v>
      </c>
      <c r="AA405">
        <v>7</v>
      </c>
      <c r="AB405">
        <v>6</v>
      </c>
      <c r="AC405">
        <v>76</v>
      </c>
      <c r="AD405">
        <v>4</v>
      </c>
      <c r="AE405">
        <v>1087</v>
      </c>
      <c r="AF405">
        <v>4952</v>
      </c>
      <c r="AG405">
        <v>573</v>
      </c>
      <c r="AH405">
        <v>3861</v>
      </c>
      <c r="AI405">
        <v>6</v>
      </c>
      <c r="AJ405">
        <v>87</v>
      </c>
      <c r="AK405">
        <v>1648</v>
      </c>
      <c r="AL405">
        <v>3342</v>
      </c>
      <c r="AM405">
        <v>13</v>
      </c>
      <c r="AN405">
        <v>914</v>
      </c>
      <c r="AO405" t="s">
        <v>826</v>
      </c>
    </row>
    <row r="406" spans="1:41">
      <c r="A406">
        <v>398</v>
      </c>
      <c r="B406" s="2">
        <v>45296.6218981482</v>
      </c>
      <c r="C406">
        <v>581.765</v>
      </c>
      <c r="D406" t="s">
        <v>821</v>
      </c>
      <c r="E406" t="s">
        <v>822</v>
      </c>
      <c r="F406">
        <v>22</v>
      </c>
      <c r="G406">
        <f t="shared" si="6"/>
        <v>1</v>
      </c>
      <c r="H406">
        <v>1</v>
      </c>
      <c r="I406">
        <v>1087</v>
      </c>
      <c r="J406">
        <v>4952</v>
      </c>
      <c r="K406">
        <v>27800</v>
      </c>
      <c r="L406" s="1">
        <v>-12496</v>
      </c>
      <c r="M406">
        <v>-12496</v>
      </c>
      <c r="N406">
        <v>44.7</v>
      </c>
      <c r="O406">
        <v>5</v>
      </c>
      <c r="P406">
        <v>65535</v>
      </c>
      <c r="Q406">
        <v>3773</v>
      </c>
      <c r="R406">
        <v>-32767</v>
      </c>
      <c r="S406">
        <v>40</v>
      </c>
      <c r="T406">
        <v>15</v>
      </c>
      <c r="U406">
        <v>100</v>
      </c>
      <c r="V406">
        <v>34800</v>
      </c>
      <c r="W406">
        <v>5000</v>
      </c>
      <c r="X406" t="s">
        <v>823</v>
      </c>
      <c r="Y406" t="s">
        <v>830</v>
      </c>
      <c r="Z406" t="s">
        <v>828</v>
      </c>
      <c r="AA406">
        <v>7</v>
      </c>
      <c r="AB406">
        <v>6</v>
      </c>
      <c r="AC406">
        <v>76</v>
      </c>
      <c r="AD406">
        <v>4</v>
      </c>
      <c r="AE406">
        <v>1083</v>
      </c>
      <c r="AF406">
        <v>4952</v>
      </c>
      <c r="AG406">
        <v>574</v>
      </c>
      <c r="AH406">
        <v>3865</v>
      </c>
      <c r="AI406">
        <v>6</v>
      </c>
      <c r="AJ406">
        <v>87</v>
      </c>
      <c r="AK406">
        <v>1648</v>
      </c>
      <c r="AL406">
        <v>3346</v>
      </c>
      <c r="AM406">
        <v>13</v>
      </c>
      <c r="AN406">
        <v>912</v>
      </c>
      <c r="AO406" t="s">
        <v>826</v>
      </c>
    </row>
    <row r="407" spans="1:41">
      <c r="A407">
        <v>399</v>
      </c>
      <c r="B407" s="2">
        <v>45296.6219097222</v>
      </c>
      <c r="C407">
        <v>582.714</v>
      </c>
      <c r="D407" t="s">
        <v>821</v>
      </c>
      <c r="E407" t="s">
        <v>822</v>
      </c>
      <c r="F407">
        <v>22</v>
      </c>
      <c r="G407">
        <f t="shared" si="6"/>
        <v>0</v>
      </c>
      <c r="H407">
        <v>1</v>
      </c>
      <c r="I407">
        <v>1083</v>
      </c>
      <c r="J407">
        <v>4952</v>
      </c>
      <c r="K407">
        <v>27800</v>
      </c>
      <c r="L407" s="1">
        <v>-12496</v>
      </c>
      <c r="M407">
        <v>-12496</v>
      </c>
      <c r="N407">
        <v>44.7</v>
      </c>
      <c r="O407">
        <v>5</v>
      </c>
      <c r="P407">
        <v>65535</v>
      </c>
      <c r="Q407">
        <v>3759</v>
      </c>
      <c r="R407">
        <v>-32767</v>
      </c>
      <c r="S407">
        <v>40</v>
      </c>
      <c r="T407">
        <v>15</v>
      </c>
      <c r="U407">
        <v>100</v>
      </c>
      <c r="V407">
        <v>34800</v>
      </c>
      <c r="W407">
        <v>5000</v>
      </c>
      <c r="X407" t="s">
        <v>823</v>
      </c>
      <c r="Y407" t="s">
        <v>830</v>
      </c>
      <c r="Z407" t="s">
        <v>828</v>
      </c>
      <c r="AA407">
        <v>7</v>
      </c>
      <c r="AB407">
        <v>6</v>
      </c>
      <c r="AC407">
        <v>76</v>
      </c>
      <c r="AD407">
        <v>4</v>
      </c>
      <c r="AE407">
        <v>1080</v>
      </c>
      <c r="AF407">
        <v>4952</v>
      </c>
      <c r="AG407">
        <v>575</v>
      </c>
      <c r="AH407">
        <v>3868</v>
      </c>
      <c r="AI407">
        <v>6</v>
      </c>
      <c r="AJ407">
        <v>87</v>
      </c>
      <c r="AK407">
        <v>1648</v>
      </c>
      <c r="AL407">
        <v>3349</v>
      </c>
      <c r="AM407">
        <v>13</v>
      </c>
      <c r="AN407">
        <v>901</v>
      </c>
      <c r="AO407" t="s">
        <v>826</v>
      </c>
    </row>
    <row r="408" spans="1:41">
      <c r="A408">
        <v>400</v>
      </c>
      <c r="B408" s="2">
        <v>45296.6219444444</v>
      </c>
      <c r="C408">
        <v>585.058</v>
      </c>
      <c r="D408" t="s">
        <v>821</v>
      </c>
      <c r="E408" t="s">
        <v>822</v>
      </c>
      <c r="F408">
        <v>22</v>
      </c>
      <c r="G408">
        <f t="shared" si="6"/>
        <v>0</v>
      </c>
      <c r="H408">
        <v>1</v>
      </c>
      <c r="I408">
        <v>1073</v>
      </c>
      <c r="J408">
        <v>4952</v>
      </c>
      <c r="K408">
        <v>27784</v>
      </c>
      <c r="L408" s="1">
        <v>-12496</v>
      </c>
      <c r="M408">
        <v>-12496</v>
      </c>
      <c r="N408">
        <v>44.8</v>
      </c>
      <c r="O408">
        <v>5</v>
      </c>
      <c r="P408">
        <v>65535</v>
      </c>
      <c r="Q408">
        <v>3725</v>
      </c>
      <c r="R408">
        <v>-32767</v>
      </c>
      <c r="S408">
        <v>40</v>
      </c>
      <c r="T408">
        <v>15</v>
      </c>
      <c r="U408">
        <v>100</v>
      </c>
      <c r="V408">
        <v>34800</v>
      </c>
      <c r="W408">
        <v>5000</v>
      </c>
      <c r="X408" t="s">
        <v>823</v>
      </c>
      <c r="Y408" t="s">
        <v>830</v>
      </c>
      <c r="Z408" t="s">
        <v>828</v>
      </c>
      <c r="AA408">
        <v>7</v>
      </c>
      <c r="AB408">
        <v>6</v>
      </c>
      <c r="AC408">
        <v>76</v>
      </c>
      <c r="AD408">
        <v>4</v>
      </c>
      <c r="AE408">
        <v>1073</v>
      </c>
      <c r="AF408">
        <v>4952</v>
      </c>
      <c r="AG408">
        <v>577</v>
      </c>
      <c r="AH408">
        <v>3875</v>
      </c>
      <c r="AI408">
        <v>6</v>
      </c>
      <c r="AJ408">
        <v>87</v>
      </c>
      <c r="AK408">
        <v>1648</v>
      </c>
      <c r="AL408">
        <v>3356</v>
      </c>
      <c r="AM408">
        <v>13</v>
      </c>
      <c r="AN408">
        <v>901</v>
      </c>
      <c r="AO408" t="s">
        <v>826</v>
      </c>
    </row>
    <row r="409" spans="1:41">
      <c r="A409">
        <v>401</v>
      </c>
      <c r="B409" s="2">
        <v>45296.6219560185</v>
      </c>
      <c r="C409">
        <v>585.995</v>
      </c>
      <c r="D409" t="s">
        <v>821</v>
      </c>
      <c r="E409" t="s">
        <v>822</v>
      </c>
      <c r="F409">
        <v>22</v>
      </c>
      <c r="G409">
        <f t="shared" si="6"/>
        <v>0</v>
      </c>
      <c r="H409">
        <v>1</v>
      </c>
      <c r="I409">
        <v>1073</v>
      </c>
      <c r="J409">
        <v>4952</v>
      </c>
      <c r="K409">
        <v>27784</v>
      </c>
      <c r="L409" s="1">
        <v>-12496</v>
      </c>
      <c r="M409">
        <v>-12496</v>
      </c>
      <c r="N409">
        <v>44.8</v>
      </c>
      <c r="O409">
        <v>5</v>
      </c>
      <c r="P409">
        <v>65535</v>
      </c>
      <c r="Q409">
        <v>3711</v>
      </c>
      <c r="R409">
        <v>-32767</v>
      </c>
      <c r="S409">
        <v>40</v>
      </c>
      <c r="T409">
        <v>15</v>
      </c>
      <c r="U409">
        <v>100</v>
      </c>
      <c r="V409">
        <v>34800</v>
      </c>
      <c r="W409">
        <v>5000</v>
      </c>
      <c r="X409" t="s">
        <v>823</v>
      </c>
      <c r="Y409" t="s">
        <v>830</v>
      </c>
      <c r="Z409" t="s">
        <v>828</v>
      </c>
      <c r="AA409">
        <v>7</v>
      </c>
      <c r="AB409">
        <v>6</v>
      </c>
      <c r="AC409">
        <v>76</v>
      </c>
      <c r="AD409">
        <v>4</v>
      </c>
      <c r="AE409">
        <v>1069</v>
      </c>
      <c r="AF409">
        <v>4952</v>
      </c>
      <c r="AG409">
        <v>578</v>
      </c>
      <c r="AH409">
        <v>3879</v>
      </c>
      <c r="AI409">
        <v>6</v>
      </c>
      <c r="AJ409">
        <v>87</v>
      </c>
      <c r="AK409">
        <v>1648</v>
      </c>
      <c r="AL409">
        <v>3360</v>
      </c>
      <c r="AM409">
        <v>13</v>
      </c>
      <c r="AN409">
        <v>903</v>
      </c>
      <c r="AO409" t="s">
        <v>826</v>
      </c>
    </row>
    <row r="410" spans="1:41">
      <c r="A410">
        <v>402</v>
      </c>
      <c r="B410" s="2">
        <v>45296.6219791667</v>
      </c>
      <c r="C410">
        <v>588.339</v>
      </c>
      <c r="D410" t="s">
        <v>821</v>
      </c>
      <c r="E410" t="s">
        <v>822</v>
      </c>
      <c r="F410">
        <v>22</v>
      </c>
      <c r="G410">
        <f t="shared" si="6"/>
        <v>0</v>
      </c>
      <c r="H410">
        <v>1</v>
      </c>
      <c r="I410">
        <v>1063</v>
      </c>
      <c r="J410">
        <v>4952</v>
      </c>
      <c r="K410">
        <v>27784</v>
      </c>
      <c r="L410" s="1">
        <v>-12496</v>
      </c>
      <c r="M410">
        <v>-12496</v>
      </c>
      <c r="N410">
        <v>44.8</v>
      </c>
      <c r="O410">
        <v>5</v>
      </c>
      <c r="P410">
        <v>65535</v>
      </c>
      <c r="Q410">
        <v>3690</v>
      </c>
      <c r="R410">
        <v>-32767</v>
      </c>
      <c r="S410">
        <v>40.1</v>
      </c>
      <c r="T410">
        <v>15</v>
      </c>
      <c r="U410">
        <v>100</v>
      </c>
      <c r="V410">
        <v>34800</v>
      </c>
      <c r="W410">
        <v>5000</v>
      </c>
      <c r="X410" t="s">
        <v>823</v>
      </c>
      <c r="Y410" t="s">
        <v>830</v>
      </c>
      <c r="Z410" t="s">
        <v>828</v>
      </c>
      <c r="AA410">
        <v>7</v>
      </c>
      <c r="AB410">
        <v>6</v>
      </c>
      <c r="AC410">
        <v>76</v>
      </c>
      <c r="AD410">
        <v>4</v>
      </c>
      <c r="AE410">
        <v>1063</v>
      </c>
      <c r="AF410">
        <v>4952</v>
      </c>
      <c r="AG410">
        <v>580</v>
      </c>
      <c r="AH410">
        <v>3885</v>
      </c>
      <c r="AI410">
        <v>6</v>
      </c>
      <c r="AJ410">
        <v>87</v>
      </c>
      <c r="AK410">
        <v>1648</v>
      </c>
      <c r="AL410">
        <v>3366</v>
      </c>
      <c r="AM410">
        <v>13</v>
      </c>
      <c r="AN410">
        <v>900</v>
      </c>
      <c r="AO410" t="s">
        <v>826</v>
      </c>
    </row>
    <row r="411" spans="1:41">
      <c r="A411">
        <v>403</v>
      </c>
      <c r="B411" s="2">
        <v>45296.6219907407</v>
      </c>
      <c r="C411">
        <v>589.28</v>
      </c>
      <c r="D411" t="s">
        <v>821</v>
      </c>
      <c r="E411" t="s">
        <v>822</v>
      </c>
      <c r="F411">
        <v>22</v>
      </c>
      <c r="G411">
        <f t="shared" si="6"/>
        <v>0</v>
      </c>
      <c r="H411">
        <v>1</v>
      </c>
      <c r="I411">
        <v>1059</v>
      </c>
      <c r="J411">
        <v>4952</v>
      </c>
      <c r="K411">
        <v>27776</v>
      </c>
      <c r="L411" s="1">
        <v>-12496</v>
      </c>
      <c r="M411">
        <v>-12496</v>
      </c>
      <c r="N411">
        <v>44.8</v>
      </c>
      <c r="O411">
        <v>5</v>
      </c>
      <c r="P411">
        <v>65535</v>
      </c>
      <c r="Q411">
        <v>3676</v>
      </c>
      <c r="R411">
        <v>-32767</v>
      </c>
      <c r="S411">
        <v>40.1</v>
      </c>
      <c r="T411">
        <v>15</v>
      </c>
      <c r="U411">
        <v>100</v>
      </c>
      <c r="V411">
        <v>34800</v>
      </c>
      <c r="W411">
        <v>5000</v>
      </c>
      <c r="X411" t="s">
        <v>823</v>
      </c>
      <c r="Y411" t="s">
        <v>830</v>
      </c>
      <c r="Z411" t="s">
        <v>828</v>
      </c>
      <c r="AA411">
        <v>7</v>
      </c>
      <c r="AB411">
        <v>6</v>
      </c>
      <c r="AC411">
        <v>76</v>
      </c>
      <c r="AD411">
        <v>4</v>
      </c>
      <c r="AE411">
        <v>1059</v>
      </c>
      <c r="AF411">
        <v>4952</v>
      </c>
      <c r="AG411">
        <v>581</v>
      </c>
      <c r="AH411">
        <v>3889</v>
      </c>
      <c r="AI411">
        <v>6</v>
      </c>
      <c r="AJ411">
        <v>87</v>
      </c>
      <c r="AK411">
        <v>1648</v>
      </c>
      <c r="AL411">
        <v>3370</v>
      </c>
      <c r="AM411">
        <v>13</v>
      </c>
      <c r="AN411">
        <v>898</v>
      </c>
      <c r="AO411" t="s">
        <v>826</v>
      </c>
    </row>
    <row r="412" spans="1:41">
      <c r="A412">
        <v>404</v>
      </c>
      <c r="B412" s="2">
        <v>45296.6220023148</v>
      </c>
      <c r="C412">
        <v>590.222</v>
      </c>
      <c r="D412" t="s">
        <v>821</v>
      </c>
      <c r="E412" t="s">
        <v>822</v>
      </c>
      <c r="F412">
        <v>22</v>
      </c>
      <c r="G412">
        <f t="shared" si="6"/>
        <v>0</v>
      </c>
      <c r="H412">
        <v>1</v>
      </c>
      <c r="I412">
        <v>1056</v>
      </c>
      <c r="J412">
        <v>4952</v>
      </c>
      <c r="K412">
        <v>27776</v>
      </c>
      <c r="L412" s="1">
        <v>-12496</v>
      </c>
      <c r="M412">
        <v>-12496</v>
      </c>
      <c r="N412">
        <v>44.9</v>
      </c>
      <c r="O412">
        <v>5</v>
      </c>
      <c r="P412">
        <v>65535</v>
      </c>
      <c r="Q412">
        <v>3665</v>
      </c>
      <c r="R412">
        <v>-32767</v>
      </c>
      <c r="S412">
        <v>40.1</v>
      </c>
      <c r="T412">
        <v>15</v>
      </c>
      <c r="U412">
        <v>100</v>
      </c>
      <c r="V412">
        <v>34800</v>
      </c>
      <c r="W412">
        <v>5000</v>
      </c>
      <c r="X412" t="s">
        <v>823</v>
      </c>
      <c r="Y412" t="s">
        <v>830</v>
      </c>
      <c r="Z412" t="s">
        <v>828</v>
      </c>
      <c r="AA412">
        <v>7</v>
      </c>
      <c r="AB412">
        <v>6</v>
      </c>
      <c r="AC412">
        <v>76</v>
      </c>
      <c r="AD412">
        <v>4</v>
      </c>
      <c r="AE412">
        <v>1056</v>
      </c>
      <c r="AF412">
        <v>4952</v>
      </c>
      <c r="AG412">
        <v>582</v>
      </c>
      <c r="AH412">
        <v>3892</v>
      </c>
      <c r="AI412">
        <v>6</v>
      </c>
      <c r="AJ412">
        <v>87</v>
      </c>
      <c r="AK412">
        <v>1648</v>
      </c>
      <c r="AL412">
        <v>3373</v>
      </c>
      <c r="AM412">
        <v>13</v>
      </c>
      <c r="AN412">
        <v>908</v>
      </c>
      <c r="AO412" t="s">
        <v>826</v>
      </c>
    </row>
    <row r="413" spans="1:41">
      <c r="A413">
        <v>405</v>
      </c>
      <c r="B413" s="2">
        <v>45296.622025463</v>
      </c>
      <c r="C413">
        <v>592.596</v>
      </c>
      <c r="D413" t="s">
        <v>821</v>
      </c>
      <c r="E413" t="s">
        <v>822</v>
      </c>
      <c r="F413">
        <v>22</v>
      </c>
      <c r="G413">
        <f t="shared" si="6"/>
        <v>0</v>
      </c>
      <c r="H413">
        <v>1</v>
      </c>
      <c r="I413">
        <v>1049</v>
      </c>
      <c r="J413">
        <v>4952</v>
      </c>
      <c r="K413">
        <v>27768</v>
      </c>
      <c r="L413" s="1">
        <v>-12496</v>
      </c>
      <c r="M413">
        <v>-12496</v>
      </c>
      <c r="N413">
        <v>44.9</v>
      </c>
      <c r="O413">
        <v>5</v>
      </c>
      <c r="P413">
        <v>65535</v>
      </c>
      <c r="Q413">
        <v>3641</v>
      </c>
      <c r="R413">
        <v>-32767</v>
      </c>
      <c r="S413">
        <v>40.1</v>
      </c>
      <c r="T413">
        <v>15</v>
      </c>
      <c r="U413">
        <v>100</v>
      </c>
      <c r="V413">
        <v>34800</v>
      </c>
      <c r="W413">
        <v>5000</v>
      </c>
      <c r="X413" t="s">
        <v>823</v>
      </c>
      <c r="Y413" t="s">
        <v>830</v>
      </c>
      <c r="Z413" t="s">
        <v>828</v>
      </c>
      <c r="AA413">
        <v>7</v>
      </c>
      <c r="AB413">
        <v>6</v>
      </c>
      <c r="AC413">
        <v>76</v>
      </c>
      <c r="AD413">
        <v>4</v>
      </c>
      <c r="AE413">
        <v>1049</v>
      </c>
      <c r="AF413">
        <v>4952</v>
      </c>
      <c r="AG413">
        <v>584</v>
      </c>
      <c r="AH413">
        <v>3899</v>
      </c>
      <c r="AI413">
        <v>6</v>
      </c>
      <c r="AJ413">
        <v>87</v>
      </c>
      <c r="AK413">
        <v>1648</v>
      </c>
      <c r="AL413">
        <v>3384</v>
      </c>
      <c r="AM413">
        <v>13</v>
      </c>
      <c r="AN413">
        <v>908</v>
      </c>
      <c r="AO413" t="s">
        <v>826</v>
      </c>
    </row>
    <row r="414" spans="1:41">
      <c r="A414">
        <v>406</v>
      </c>
      <c r="B414" s="2">
        <v>45296.622037037</v>
      </c>
      <c r="C414">
        <v>593.541</v>
      </c>
      <c r="D414" t="s">
        <v>821</v>
      </c>
      <c r="E414" t="s">
        <v>822</v>
      </c>
      <c r="F414">
        <v>22</v>
      </c>
      <c r="G414">
        <f t="shared" si="6"/>
        <v>0</v>
      </c>
      <c r="H414">
        <v>1</v>
      </c>
      <c r="I414">
        <v>1045</v>
      </c>
      <c r="J414">
        <v>4952</v>
      </c>
      <c r="K414">
        <v>27768</v>
      </c>
      <c r="L414" s="1">
        <v>-12496</v>
      </c>
      <c r="M414">
        <v>-12496</v>
      </c>
      <c r="N414">
        <v>44.9</v>
      </c>
      <c r="O414">
        <v>5</v>
      </c>
      <c r="P414">
        <v>65535</v>
      </c>
      <c r="Q414">
        <v>3627</v>
      </c>
      <c r="R414">
        <v>-32767</v>
      </c>
      <c r="S414">
        <v>40.1</v>
      </c>
      <c r="T414">
        <v>15</v>
      </c>
      <c r="U414">
        <v>100</v>
      </c>
      <c r="V414">
        <v>34800</v>
      </c>
      <c r="W414">
        <v>5000</v>
      </c>
      <c r="X414" t="s">
        <v>823</v>
      </c>
      <c r="Y414" t="s">
        <v>830</v>
      </c>
      <c r="Z414" t="s">
        <v>828</v>
      </c>
      <c r="AA414">
        <v>7</v>
      </c>
      <c r="AB414">
        <v>6</v>
      </c>
      <c r="AC414">
        <v>76</v>
      </c>
      <c r="AD414">
        <v>4</v>
      </c>
      <c r="AE414">
        <v>1045</v>
      </c>
      <c r="AF414">
        <v>4952</v>
      </c>
      <c r="AG414">
        <v>585</v>
      </c>
      <c r="AH414">
        <v>3903</v>
      </c>
      <c r="AI414">
        <v>6</v>
      </c>
      <c r="AJ414">
        <v>87</v>
      </c>
      <c r="AK414">
        <v>1648</v>
      </c>
      <c r="AL414">
        <v>3384</v>
      </c>
      <c r="AM414">
        <v>13</v>
      </c>
      <c r="AN414">
        <v>903</v>
      </c>
      <c r="AO414" t="s">
        <v>826</v>
      </c>
    </row>
    <row r="415" spans="1:41">
      <c r="A415">
        <v>407</v>
      </c>
      <c r="B415" s="2">
        <v>45296.6220486111</v>
      </c>
      <c r="C415">
        <v>594.478</v>
      </c>
      <c r="D415" t="s">
        <v>821</v>
      </c>
      <c r="E415" t="s">
        <v>822</v>
      </c>
      <c r="F415">
        <v>22</v>
      </c>
      <c r="G415">
        <f t="shared" si="6"/>
        <v>0</v>
      </c>
      <c r="H415">
        <v>1</v>
      </c>
      <c r="I415">
        <v>1042</v>
      </c>
      <c r="J415">
        <v>4952</v>
      </c>
      <c r="K415">
        <v>27760</v>
      </c>
      <c r="L415" s="1">
        <v>-12496</v>
      </c>
      <c r="M415">
        <v>-12496</v>
      </c>
      <c r="N415">
        <v>44.9</v>
      </c>
      <c r="O415">
        <v>5</v>
      </c>
      <c r="P415">
        <v>65535</v>
      </c>
      <c r="Q415">
        <v>3617</v>
      </c>
      <c r="R415">
        <v>-32767</v>
      </c>
      <c r="S415">
        <v>40.1</v>
      </c>
      <c r="T415">
        <v>15</v>
      </c>
      <c r="U415">
        <v>100</v>
      </c>
      <c r="V415">
        <v>34800</v>
      </c>
      <c r="W415">
        <v>5000</v>
      </c>
      <c r="X415" t="s">
        <v>823</v>
      </c>
      <c r="Y415" t="s">
        <v>830</v>
      </c>
      <c r="Z415" t="s">
        <v>828</v>
      </c>
      <c r="AA415">
        <v>7</v>
      </c>
      <c r="AB415">
        <v>6</v>
      </c>
      <c r="AC415">
        <v>76</v>
      </c>
      <c r="AD415">
        <v>4</v>
      </c>
      <c r="AE415">
        <v>1042</v>
      </c>
      <c r="AF415">
        <v>4952</v>
      </c>
      <c r="AG415">
        <v>586</v>
      </c>
      <c r="AH415">
        <v>3906</v>
      </c>
      <c r="AI415">
        <v>6</v>
      </c>
      <c r="AJ415">
        <v>87</v>
      </c>
      <c r="AK415">
        <v>1648</v>
      </c>
      <c r="AL415">
        <v>3387</v>
      </c>
      <c r="AM415">
        <v>13</v>
      </c>
      <c r="AN415">
        <v>901</v>
      </c>
      <c r="AO415" t="s">
        <v>826</v>
      </c>
    </row>
    <row r="416" spans="1:41">
      <c r="A416">
        <v>408</v>
      </c>
      <c r="B416" s="2">
        <v>45296.6220717593</v>
      </c>
      <c r="C416">
        <v>596.834</v>
      </c>
      <c r="D416" t="s">
        <v>821</v>
      </c>
      <c r="E416" t="s">
        <v>822</v>
      </c>
      <c r="F416">
        <v>21</v>
      </c>
      <c r="G416">
        <f t="shared" si="6"/>
        <v>1</v>
      </c>
      <c r="H416">
        <v>1</v>
      </c>
      <c r="I416">
        <v>1035</v>
      </c>
      <c r="J416">
        <v>4952</v>
      </c>
      <c r="K416">
        <v>27752</v>
      </c>
      <c r="L416" s="1">
        <v>-12496</v>
      </c>
      <c r="M416">
        <v>-12496</v>
      </c>
      <c r="N416">
        <v>44.9</v>
      </c>
      <c r="O416">
        <v>5</v>
      </c>
      <c r="P416">
        <v>65535</v>
      </c>
      <c r="Q416">
        <v>3593</v>
      </c>
      <c r="R416">
        <v>-32767</v>
      </c>
      <c r="S416">
        <v>40.1</v>
      </c>
      <c r="T416">
        <v>15</v>
      </c>
      <c r="U416">
        <v>100</v>
      </c>
      <c r="V416">
        <v>34800</v>
      </c>
      <c r="W416">
        <v>5000</v>
      </c>
      <c r="X416" t="s">
        <v>823</v>
      </c>
      <c r="Y416" t="s">
        <v>830</v>
      </c>
      <c r="Z416" t="s">
        <v>828</v>
      </c>
      <c r="AA416">
        <v>7</v>
      </c>
      <c r="AB416">
        <v>6</v>
      </c>
      <c r="AC416">
        <v>76</v>
      </c>
      <c r="AD416">
        <v>4</v>
      </c>
      <c r="AE416">
        <v>1031</v>
      </c>
      <c r="AF416">
        <v>4952</v>
      </c>
      <c r="AG416">
        <v>589</v>
      </c>
      <c r="AH416">
        <v>3917</v>
      </c>
      <c r="AI416">
        <v>6</v>
      </c>
      <c r="AJ416">
        <v>87</v>
      </c>
      <c r="AK416">
        <v>1648</v>
      </c>
      <c r="AL416">
        <v>3398</v>
      </c>
      <c r="AM416">
        <v>13</v>
      </c>
      <c r="AN416">
        <v>902</v>
      </c>
      <c r="AO416" t="s">
        <v>826</v>
      </c>
    </row>
    <row r="417" spans="1:41">
      <c r="A417">
        <v>409</v>
      </c>
      <c r="B417" s="2">
        <v>45296.6220833333</v>
      </c>
      <c r="C417">
        <v>597.776</v>
      </c>
      <c r="D417" t="s">
        <v>821</v>
      </c>
      <c r="E417" t="s">
        <v>822</v>
      </c>
      <c r="F417">
        <v>21</v>
      </c>
      <c r="G417">
        <f t="shared" si="6"/>
        <v>0</v>
      </c>
      <c r="H417">
        <v>1</v>
      </c>
      <c r="I417">
        <v>1031</v>
      </c>
      <c r="J417">
        <v>4952</v>
      </c>
      <c r="K417">
        <v>27752</v>
      </c>
      <c r="L417" s="1">
        <v>-12496</v>
      </c>
      <c r="M417">
        <v>-12496</v>
      </c>
      <c r="N417">
        <v>45</v>
      </c>
      <c r="O417">
        <v>5</v>
      </c>
      <c r="P417">
        <v>65535</v>
      </c>
      <c r="Q417">
        <v>3579</v>
      </c>
      <c r="R417">
        <v>-32767</v>
      </c>
      <c r="S417">
        <v>40.1</v>
      </c>
      <c r="T417">
        <v>15</v>
      </c>
      <c r="U417">
        <v>100</v>
      </c>
      <c r="V417">
        <v>34800</v>
      </c>
      <c r="W417">
        <v>5000</v>
      </c>
      <c r="X417" t="s">
        <v>823</v>
      </c>
      <c r="Y417" t="s">
        <v>830</v>
      </c>
      <c r="Z417" t="s">
        <v>828</v>
      </c>
      <c r="AA417">
        <v>7</v>
      </c>
      <c r="AB417">
        <v>6</v>
      </c>
      <c r="AC417">
        <v>76</v>
      </c>
      <c r="AD417">
        <v>4</v>
      </c>
      <c r="AE417">
        <v>1028</v>
      </c>
      <c r="AF417">
        <v>4952</v>
      </c>
      <c r="AG417">
        <v>590</v>
      </c>
      <c r="AH417">
        <v>3920</v>
      </c>
      <c r="AI417">
        <v>6</v>
      </c>
      <c r="AJ417">
        <v>87</v>
      </c>
      <c r="AK417">
        <v>1648</v>
      </c>
      <c r="AL417">
        <v>3401</v>
      </c>
      <c r="AM417">
        <v>13</v>
      </c>
      <c r="AN417">
        <v>901</v>
      </c>
      <c r="AO417" t="s">
        <v>826</v>
      </c>
    </row>
    <row r="418" spans="1:41">
      <c r="A418">
        <v>410</v>
      </c>
      <c r="B418" s="2">
        <v>45296.6220949074</v>
      </c>
      <c r="C418">
        <v>598.714</v>
      </c>
      <c r="D418" t="s">
        <v>821</v>
      </c>
      <c r="E418" t="s">
        <v>822</v>
      </c>
      <c r="F418">
        <v>21</v>
      </c>
      <c r="G418">
        <f t="shared" si="6"/>
        <v>0</v>
      </c>
      <c r="H418">
        <v>1</v>
      </c>
      <c r="I418">
        <v>1028</v>
      </c>
      <c r="J418">
        <v>4952</v>
      </c>
      <c r="K418">
        <v>27752</v>
      </c>
      <c r="L418" s="1">
        <v>-12496</v>
      </c>
      <c r="M418">
        <v>-12496</v>
      </c>
      <c r="N418">
        <v>45</v>
      </c>
      <c r="O418">
        <v>5</v>
      </c>
      <c r="P418">
        <v>65535</v>
      </c>
      <c r="Q418">
        <v>3568</v>
      </c>
      <c r="R418">
        <v>-32767</v>
      </c>
      <c r="S418">
        <v>40.1</v>
      </c>
      <c r="T418">
        <v>15</v>
      </c>
      <c r="U418">
        <v>100</v>
      </c>
      <c r="V418">
        <v>34800</v>
      </c>
      <c r="W418">
        <v>5000</v>
      </c>
      <c r="X418" t="s">
        <v>823</v>
      </c>
      <c r="Y418" t="s">
        <v>830</v>
      </c>
      <c r="Z418" t="s">
        <v>828</v>
      </c>
      <c r="AA418">
        <v>7</v>
      </c>
      <c r="AB418">
        <v>6</v>
      </c>
      <c r="AC418">
        <v>76</v>
      </c>
      <c r="AD418">
        <v>4</v>
      </c>
      <c r="AE418">
        <v>1024</v>
      </c>
      <c r="AF418">
        <v>4952</v>
      </c>
      <c r="AG418">
        <v>591</v>
      </c>
      <c r="AH418">
        <v>3924</v>
      </c>
      <c r="AI418">
        <v>6</v>
      </c>
      <c r="AJ418">
        <v>87</v>
      </c>
      <c r="AK418">
        <v>1648</v>
      </c>
      <c r="AL418">
        <v>3405</v>
      </c>
      <c r="AM418">
        <v>13</v>
      </c>
      <c r="AN418">
        <v>900</v>
      </c>
      <c r="AO418" t="s">
        <v>826</v>
      </c>
    </row>
    <row r="419" spans="1:41">
      <c r="A419">
        <v>411</v>
      </c>
      <c r="B419" s="2">
        <v>45296.6221296296</v>
      </c>
      <c r="C419">
        <v>601.077</v>
      </c>
      <c r="D419" t="s">
        <v>821</v>
      </c>
      <c r="E419" t="s">
        <v>822</v>
      </c>
      <c r="F419">
        <v>21</v>
      </c>
      <c r="G419">
        <f t="shared" si="6"/>
        <v>0</v>
      </c>
      <c r="H419">
        <v>1</v>
      </c>
      <c r="I419">
        <v>1017</v>
      </c>
      <c r="J419">
        <v>4952</v>
      </c>
      <c r="K419">
        <v>27744</v>
      </c>
      <c r="L419" s="1">
        <v>-12496</v>
      </c>
      <c r="M419">
        <v>-12496</v>
      </c>
      <c r="N419">
        <v>45</v>
      </c>
      <c r="O419">
        <v>5</v>
      </c>
      <c r="P419">
        <v>65535</v>
      </c>
      <c r="Q419">
        <v>3530</v>
      </c>
      <c r="R419">
        <v>-32767</v>
      </c>
      <c r="S419">
        <v>40.1</v>
      </c>
      <c r="T419">
        <v>15</v>
      </c>
      <c r="U419">
        <v>100</v>
      </c>
      <c r="V419">
        <v>34800</v>
      </c>
      <c r="W419">
        <v>5000</v>
      </c>
      <c r="X419" t="s">
        <v>823</v>
      </c>
      <c r="Y419" t="s">
        <v>830</v>
      </c>
      <c r="Z419" t="s">
        <v>828</v>
      </c>
      <c r="AA419">
        <v>7</v>
      </c>
      <c r="AB419">
        <v>6</v>
      </c>
      <c r="AC419">
        <v>76</v>
      </c>
      <c r="AD419">
        <v>4</v>
      </c>
      <c r="AE419">
        <v>1017</v>
      </c>
      <c r="AF419">
        <v>4952</v>
      </c>
      <c r="AG419">
        <v>593</v>
      </c>
      <c r="AH419">
        <v>3931</v>
      </c>
      <c r="AI419">
        <v>6</v>
      </c>
      <c r="AJ419">
        <v>87</v>
      </c>
      <c r="AK419">
        <v>1648</v>
      </c>
      <c r="AL419">
        <v>3412</v>
      </c>
      <c r="AM419">
        <v>13</v>
      </c>
      <c r="AN419">
        <v>913</v>
      </c>
      <c r="AO419" t="s">
        <v>826</v>
      </c>
    </row>
    <row r="420" spans="1:41">
      <c r="A420">
        <v>412</v>
      </c>
      <c r="B420" s="2">
        <v>45296.6221412037</v>
      </c>
      <c r="C420">
        <v>602.024</v>
      </c>
      <c r="D420" t="s">
        <v>821</v>
      </c>
      <c r="E420" t="s">
        <v>822</v>
      </c>
      <c r="F420">
        <v>21</v>
      </c>
      <c r="G420">
        <f t="shared" si="6"/>
        <v>0</v>
      </c>
      <c r="H420">
        <v>1</v>
      </c>
      <c r="I420">
        <v>1017</v>
      </c>
      <c r="J420">
        <v>4952</v>
      </c>
      <c r="K420">
        <v>27736</v>
      </c>
      <c r="L420" s="1">
        <v>-12496</v>
      </c>
      <c r="M420">
        <v>-12496</v>
      </c>
      <c r="N420">
        <v>45</v>
      </c>
      <c r="O420">
        <v>5</v>
      </c>
      <c r="P420">
        <v>65535</v>
      </c>
      <c r="Q420">
        <v>3520</v>
      </c>
      <c r="R420">
        <v>-32767</v>
      </c>
      <c r="S420">
        <v>40.1</v>
      </c>
      <c r="T420">
        <v>15</v>
      </c>
      <c r="U420">
        <v>100</v>
      </c>
      <c r="V420">
        <v>34800</v>
      </c>
      <c r="W420">
        <v>5000</v>
      </c>
      <c r="X420" t="s">
        <v>823</v>
      </c>
      <c r="Y420" t="s">
        <v>830</v>
      </c>
      <c r="Z420" t="s">
        <v>828</v>
      </c>
      <c r="AA420">
        <v>7</v>
      </c>
      <c r="AB420">
        <v>6</v>
      </c>
      <c r="AC420">
        <v>76</v>
      </c>
      <c r="AD420">
        <v>4</v>
      </c>
      <c r="AE420">
        <v>1014</v>
      </c>
      <c r="AF420">
        <v>4952</v>
      </c>
      <c r="AG420">
        <v>594</v>
      </c>
      <c r="AH420">
        <v>3934</v>
      </c>
      <c r="AI420">
        <v>6</v>
      </c>
      <c r="AJ420">
        <v>87</v>
      </c>
      <c r="AK420">
        <v>1648</v>
      </c>
      <c r="AL420">
        <v>3415</v>
      </c>
      <c r="AM420">
        <v>13</v>
      </c>
      <c r="AN420">
        <v>903</v>
      </c>
      <c r="AO420" t="s">
        <v>826</v>
      </c>
    </row>
    <row r="421" spans="1:41">
      <c r="A421">
        <v>413</v>
      </c>
      <c r="B421" s="2">
        <v>45296.6221643519</v>
      </c>
      <c r="C421">
        <v>604.375</v>
      </c>
      <c r="D421" t="s">
        <v>821</v>
      </c>
      <c r="E421" t="s">
        <v>822</v>
      </c>
      <c r="F421">
        <v>21</v>
      </c>
      <c r="G421">
        <f t="shared" si="6"/>
        <v>0</v>
      </c>
      <c r="H421">
        <v>1</v>
      </c>
      <c r="I421">
        <v>1007</v>
      </c>
      <c r="J421">
        <v>4952</v>
      </c>
      <c r="K421">
        <v>27736</v>
      </c>
      <c r="L421" s="1">
        <v>-12496</v>
      </c>
      <c r="M421">
        <v>-12496</v>
      </c>
      <c r="N421">
        <v>45.1</v>
      </c>
      <c r="O421">
        <v>5</v>
      </c>
      <c r="P421">
        <v>65535</v>
      </c>
      <c r="Q421">
        <v>3495</v>
      </c>
      <c r="R421">
        <v>-32767</v>
      </c>
      <c r="S421">
        <v>40.2</v>
      </c>
      <c r="T421">
        <v>15</v>
      </c>
      <c r="U421">
        <v>100</v>
      </c>
      <c r="V421">
        <v>34000</v>
      </c>
      <c r="W421">
        <v>5000</v>
      </c>
      <c r="X421" t="s">
        <v>823</v>
      </c>
      <c r="Y421" t="s">
        <v>836</v>
      </c>
      <c r="Z421" t="s">
        <v>828</v>
      </c>
      <c r="AA421">
        <v>7</v>
      </c>
      <c r="AB421">
        <v>6</v>
      </c>
      <c r="AC421">
        <v>76</v>
      </c>
      <c r="AD421">
        <v>4</v>
      </c>
      <c r="AE421">
        <v>1007</v>
      </c>
      <c r="AF421">
        <v>4952</v>
      </c>
      <c r="AG421">
        <v>596</v>
      </c>
      <c r="AH421">
        <v>3941</v>
      </c>
      <c r="AI421">
        <v>6</v>
      </c>
      <c r="AJ421">
        <v>87</v>
      </c>
      <c r="AK421">
        <v>1648</v>
      </c>
      <c r="AL421">
        <v>3422</v>
      </c>
      <c r="AM421">
        <v>13</v>
      </c>
      <c r="AN421">
        <v>909</v>
      </c>
      <c r="AO421" t="s">
        <v>826</v>
      </c>
    </row>
    <row r="422" spans="1:41">
      <c r="A422">
        <v>414</v>
      </c>
      <c r="B422" s="2">
        <v>45296.6221759259</v>
      </c>
      <c r="C422">
        <v>605.325</v>
      </c>
      <c r="D422" t="s">
        <v>821</v>
      </c>
      <c r="E422" t="s">
        <v>822</v>
      </c>
      <c r="F422">
        <v>21</v>
      </c>
      <c r="G422">
        <f t="shared" si="6"/>
        <v>0</v>
      </c>
      <c r="H422">
        <v>1</v>
      </c>
      <c r="I422">
        <v>1004</v>
      </c>
      <c r="J422">
        <v>4952</v>
      </c>
      <c r="K422">
        <v>27728</v>
      </c>
      <c r="L422" s="1">
        <v>-12496</v>
      </c>
      <c r="M422">
        <v>-12496</v>
      </c>
      <c r="N422">
        <v>45.1</v>
      </c>
      <c r="O422">
        <v>5</v>
      </c>
      <c r="P422">
        <v>65535</v>
      </c>
      <c r="Q422">
        <v>3485</v>
      </c>
      <c r="R422">
        <v>-32767</v>
      </c>
      <c r="S422">
        <v>40.2</v>
      </c>
      <c r="T422">
        <v>15</v>
      </c>
      <c r="U422">
        <v>100</v>
      </c>
      <c r="V422">
        <v>34000</v>
      </c>
      <c r="W422">
        <v>5000</v>
      </c>
      <c r="X422" t="s">
        <v>823</v>
      </c>
      <c r="Y422" t="s">
        <v>836</v>
      </c>
      <c r="Z422" t="s">
        <v>828</v>
      </c>
      <c r="AA422">
        <v>7</v>
      </c>
      <c r="AB422">
        <v>6</v>
      </c>
      <c r="AC422">
        <v>76</v>
      </c>
      <c r="AD422">
        <v>4</v>
      </c>
      <c r="AE422">
        <v>1004</v>
      </c>
      <c r="AF422">
        <v>4952</v>
      </c>
      <c r="AG422">
        <v>597</v>
      </c>
      <c r="AH422">
        <v>3944</v>
      </c>
      <c r="AI422">
        <v>6</v>
      </c>
      <c r="AJ422">
        <v>87</v>
      </c>
      <c r="AK422">
        <v>1648</v>
      </c>
      <c r="AL422">
        <v>3425</v>
      </c>
      <c r="AM422">
        <v>13</v>
      </c>
      <c r="AN422">
        <v>901</v>
      </c>
      <c r="AO422" t="s">
        <v>826</v>
      </c>
    </row>
    <row r="423" spans="1:41">
      <c r="A423">
        <v>415</v>
      </c>
      <c r="B423" s="2">
        <v>45296.6221875</v>
      </c>
      <c r="C423">
        <v>606.266</v>
      </c>
      <c r="D423" t="s">
        <v>821</v>
      </c>
      <c r="E423" t="s">
        <v>822</v>
      </c>
      <c r="F423">
        <v>21</v>
      </c>
      <c r="G423">
        <f t="shared" si="6"/>
        <v>0</v>
      </c>
      <c r="H423">
        <v>1</v>
      </c>
      <c r="I423">
        <v>1000</v>
      </c>
      <c r="J423">
        <v>4952</v>
      </c>
      <c r="K423">
        <v>27728</v>
      </c>
      <c r="L423" s="1">
        <v>-12496</v>
      </c>
      <c r="M423">
        <v>-12496</v>
      </c>
      <c r="N423">
        <v>45.1</v>
      </c>
      <c r="O423">
        <v>5</v>
      </c>
      <c r="P423">
        <v>65535</v>
      </c>
      <c r="Q423">
        <v>3471</v>
      </c>
      <c r="R423">
        <v>-32767</v>
      </c>
      <c r="S423">
        <v>40.2</v>
      </c>
      <c r="T423">
        <v>15</v>
      </c>
      <c r="U423">
        <v>100</v>
      </c>
      <c r="V423">
        <v>34000</v>
      </c>
      <c r="W423">
        <v>5000</v>
      </c>
      <c r="X423" t="s">
        <v>823</v>
      </c>
      <c r="Y423" t="s">
        <v>836</v>
      </c>
      <c r="Z423" t="s">
        <v>828</v>
      </c>
      <c r="AA423">
        <v>7</v>
      </c>
      <c r="AB423">
        <v>6</v>
      </c>
      <c r="AC423">
        <v>76</v>
      </c>
      <c r="AD423">
        <v>4</v>
      </c>
      <c r="AE423">
        <v>1000</v>
      </c>
      <c r="AF423">
        <v>4952</v>
      </c>
      <c r="AG423">
        <v>598</v>
      </c>
      <c r="AH423">
        <v>3948</v>
      </c>
      <c r="AI423">
        <v>6</v>
      </c>
      <c r="AJ423">
        <v>87</v>
      </c>
      <c r="AK423">
        <v>1648</v>
      </c>
      <c r="AL423">
        <v>3429</v>
      </c>
      <c r="AM423">
        <v>13</v>
      </c>
      <c r="AN423">
        <v>928</v>
      </c>
      <c r="AO423" t="s">
        <v>826</v>
      </c>
    </row>
    <row r="424" spans="1:41">
      <c r="A424">
        <v>416</v>
      </c>
      <c r="B424" s="2">
        <v>45296.6222106482</v>
      </c>
      <c r="C424">
        <v>608.656</v>
      </c>
      <c r="D424" t="s">
        <v>821</v>
      </c>
      <c r="E424" t="s">
        <v>822</v>
      </c>
      <c r="F424">
        <v>21</v>
      </c>
      <c r="G424">
        <f t="shared" si="6"/>
        <v>0</v>
      </c>
      <c r="H424">
        <v>1</v>
      </c>
      <c r="I424">
        <v>993</v>
      </c>
      <c r="J424">
        <v>4952</v>
      </c>
      <c r="K424">
        <v>27720</v>
      </c>
      <c r="L424" s="1">
        <v>-12495</v>
      </c>
      <c r="M424">
        <v>-12496</v>
      </c>
      <c r="N424">
        <v>45.2</v>
      </c>
      <c r="O424">
        <v>5</v>
      </c>
      <c r="P424">
        <v>65535</v>
      </c>
      <c r="Q424">
        <v>3447</v>
      </c>
      <c r="R424">
        <v>-32767</v>
      </c>
      <c r="S424">
        <v>40.2</v>
      </c>
      <c r="T424">
        <v>15</v>
      </c>
      <c r="U424">
        <v>100</v>
      </c>
      <c r="V424">
        <v>34000</v>
      </c>
      <c r="W424">
        <v>5000</v>
      </c>
      <c r="X424" t="s">
        <v>823</v>
      </c>
      <c r="Y424" t="s">
        <v>836</v>
      </c>
      <c r="Z424" t="s">
        <v>828</v>
      </c>
      <c r="AA424">
        <v>7</v>
      </c>
      <c r="AB424">
        <v>6</v>
      </c>
      <c r="AC424">
        <v>76</v>
      </c>
      <c r="AD424">
        <v>4</v>
      </c>
      <c r="AE424">
        <v>993</v>
      </c>
      <c r="AF424">
        <v>4952</v>
      </c>
      <c r="AG424">
        <v>601</v>
      </c>
      <c r="AH424">
        <v>3958</v>
      </c>
      <c r="AI424">
        <v>6</v>
      </c>
      <c r="AJ424">
        <v>87</v>
      </c>
      <c r="AK424">
        <v>1648</v>
      </c>
      <c r="AL424">
        <v>3439</v>
      </c>
      <c r="AM424">
        <v>13</v>
      </c>
      <c r="AN424">
        <v>911</v>
      </c>
      <c r="AO424" t="s">
        <v>826</v>
      </c>
    </row>
    <row r="425" spans="1:41">
      <c r="A425">
        <v>417</v>
      </c>
      <c r="B425" s="2">
        <v>45296.6222222222</v>
      </c>
      <c r="C425">
        <v>609.604</v>
      </c>
      <c r="D425" t="s">
        <v>821</v>
      </c>
      <c r="E425" t="s">
        <v>822</v>
      </c>
      <c r="F425">
        <v>20</v>
      </c>
      <c r="G425">
        <f t="shared" si="6"/>
        <v>1</v>
      </c>
      <c r="H425">
        <v>1</v>
      </c>
      <c r="I425">
        <v>990</v>
      </c>
      <c r="J425">
        <v>4952</v>
      </c>
      <c r="K425">
        <v>27720</v>
      </c>
      <c r="L425" s="1">
        <v>-12496</v>
      </c>
      <c r="M425">
        <v>-12496</v>
      </c>
      <c r="N425">
        <v>45.2</v>
      </c>
      <c r="O425">
        <v>5</v>
      </c>
      <c r="P425">
        <v>65535</v>
      </c>
      <c r="Q425">
        <v>3437</v>
      </c>
      <c r="R425">
        <v>-32767</v>
      </c>
      <c r="S425">
        <v>40.2</v>
      </c>
      <c r="T425">
        <v>15</v>
      </c>
      <c r="U425">
        <v>100</v>
      </c>
      <c r="V425">
        <v>34000</v>
      </c>
      <c r="W425">
        <v>5000</v>
      </c>
      <c r="X425" t="s">
        <v>823</v>
      </c>
      <c r="Y425" t="s">
        <v>836</v>
      </c>
      <c r="Z425" t="s">
        <v>828</v>
      </c>
      <c r="AA425">
        <v>7</v>
      </c>
      <c r="AB425">
        <v>6</v>
      </c>
      <c r="AC425">
        <v>76</v>
      </c>
      <c r="AD425">
        <v>4</v>
      </c>
      <c r="AE425">
        <v>990</v>
      </c>
      <c r="AF425">
        <v>4952</v>
      </c>
      <c r="AG425">
        <v>601</v>
      </c>
      <c r="AH425">
        <v>3958</v>
      </c>
      <c r="AI425">
        <v>6</v>
      </c>
      <c r="AJ425">
        <v>87</v>
      </c>
      <c r="AK425">
        <v>1648</v>
      </c>
      <c r="AL425">
        <v>3443</v>
      </c>
      <c r="AM425">
        <v>13</v>
      </c>
      <c r="AN425">
        <v>903</v>
      </c>
      <c r="AO425" t="s">
        <v>826</v>
      </c>
    </row>
    <row r="426" spans="1:41">
      <c r="A426">
        <v>418</v>
      </c>
      <c r="B426" s="2">
        <v>45296.6222337963</v>
      </c>
      <c r="C426">
        <v>610.541</v>
      </c>
      <c r="D426" t="s">
        <v>821</v>
      </c>
      <c r="E426" t="s">
        <v>822</v>
      </c>
      <c r="F426">
        <v>20</v>
      </c>
      <c r="G426">
        <f t="shared" si="6"/>
        <v>0</v>
      </c>
      <c r="H426">
        <v>1</v>
      </c>
      <c r="I426">
        <v>986</v>
      </c>
      <c r="J426">
        <v>4952</v>
      </c>
      <c r="K426">
        <v>27712</v>
      </c>
      <c r="L426" s="1">
        <v>-12496</v>
      </c>
      <c r="M426">
        <v>-12496</v>
      </c>
      <c r="N426">
        <v>45.2</v>
      </c>
      <c r="O426">
        <v>5</v>
      </c>
      <c r="P426">
        <v>65535</v>
      </c>
      <c r="Q426">
        <v>3423</v>
      </c>
      <c r="R426">
        <v>-32767</v>
      </c>
      <c r="S426">
        <v>40.2</v>
      </c>
      <c r="T426">
        <v>15</v>
      </c>
      <c r="U426">
        <v>100</v>
      </c>
      <c r="V426">
        <v>34000</v>
      </c>
      <c r="W426">
        <v>5000</v>
      </c>
      <c r="X426" t="s">
        <v>823</v>
      </c>
      <c r="Y426" t="s">
        <v>836</v>
      </c>
      <c r="Z426" t="s">
        <v>828</v>
      </c>
      <c r="AA426">
        <v>7</v>
      </c>
      <c r="AB426">
        <v>6</v>
      </c>
      <c r="AC426">
        <v>76</v>
      </c>
      <c r="AD426">
        <v>4</v>
      </c>
      <c r="AE426">
        <v>986</v>
      </c>
      <c r="AF426">
        <v>4952</v>
      </c>
      <c r="AG426">
        <v>602</v>
      </c>
      <c r="AH426">
        <v>3962</v>
      </c>
      <c r="AI426">
        <v>6</v>
      </c>
      <c r="AJ426">
        <v>87</v>
      </c>
      <c r="AK426">
        <v>1648</v>
      </c>
      <c r="AL426">
        <v>3443</v>
      </c>
      <c r="AM426">
        <v>13</v>
      </c>
      <c r="AN426">
        <v>900</v>
      </c>
      <c r="AO426" t="s">
        <v>826</v>
      </c>
    </row>
    <row r="427" spans="1:41">
      <c r="A427">
        <v>419</v>
      </c>
      <c r="B427" s="2">
        <v>45296.6222685185</v>
      </c>
      <c r="C427">
        <v>612.927</v>
      </c>
      <c r="D427" t="s">
        <v>821</v>
      </c>
      <c r="E427" t="s">
        <v>822</v>
      </c>
      <c r="F427">
        <v>20</v>
      </c>
      <c r="G427">
        <f t="shared" si="6"/>
        <v>0</v>
      </c>
      <c r="H427">
        <v>1</v>
      </c>
      <c r="I427">
        <v>979</v>
      </c>
      <c r="J427">
        <v>4952</v>
      </c>
      <c r="K427">
        <v>27712</v>
      </c>
      <c r="L427" s="1">
        <v>-12495</v>
      </c>
      <c r="M427">
        <v>-12496</v>
      </c>
      <c r="N427">
        <v>45.2</v>
      </c>
      <c r="O427">
        <v>5</v>
      </c>
      <c r="P427">
        <v>65535</v>
      </c>
      <c r="Q427">
        <v>3388</v>
      </c>
      <c r="R427">
        <v>-32767</v>
      </c>
      <c r="S427">
        <v>40.2</v>
      </c>
      <c r="T427">
        <v>15</v>
      </c>
      <c r="U427">
        <v>100</v>
      </c>
      <c r="V427">
        <v>34000</v>
      </c>
      <c r="W427">
        <v>5000</v>
      </c>
      <c r="X427" t="s">
        <v>823</v>
      </c>
      <c r="Y427" t="s">
        <v>836</v>
      </c>
      <c r="Z427" t="s">
        <v>828</v>
      </c>
      <c r="AA427">
        <v>7</v>
      </c>
      <c r="AB427">
        <v>6</v>
      </c>
      <c r="AC427">
        <v>76</v>
      </c>
      <c r="AD427">
        <v>4</v>
      </c>
      <c r="AE427">
        <v>976</v>
      </c>
      <c r="AF427">
        <v>4952</v>
      </c>
      <c r="AG427">
        <v>605</v>
      </c>
      <c r="AH427">
        <v>3972</v>
      </c>
      <c r="AI427">
        <v>6</v>
      </c>
      <c r="AJ427">
        <v>87</v>
      </c>
      <c r="AK427">
        <v>1648</v>
      </c>
      <c r="AL427">
        <v>3453</v>
      </c>
      <c r="AM427">
        <v>13</v>
      </c>
      <c r="AN427">
        <v>906</v>
      </c>
      <c r="AO427" t="s">
        <v>826</v>
      </c>
    </row>
    <row r="428" spans="1:41">
      <c r="A428">
        <v>420</v>
      </c>
      <c r="B428" s="2">
        <v>45296.6222685185</v>
      </c>
      <c r="C428">
        <v>613.869</v>
      </c>
      <c r="D428" t="s">
        <v>821</v>
      </c>
      <c r="E428" t="s">
        <v>822</v>
      </c>
      <c r="F428">
        <v>20</v>
      </c>
      <c r="G428">
        <f t="shared" si="6"/>
        <v>0</v>
      </c>
      <c r="H428">
        <v>1</v>
      </c>
      <c r="I428">
        <v>976</v>
      </c>
      <c r="J428">
        <v>4952</v>
      </c>
      <c r="K428">
        <v>27704</v>
      </c>
      <c r="L428" s="1">
        <v>-12496</v>
      </c>
      <c r="M428">
        <v>-12496</v>
      </c>
      <c r="N428">
        <v>45.2</v>
      </c>
      <c r="O428">
        <v>5</v>
      </c>
      <c r="P428">
        <v>65535</v>
      </c>
      <c r="Q428">
        <v>3388</v>
      </c>
      <c r="R428">
        <v>-32767</v>
      </c>
      <c r="S428">
        <v>40.2</v>
      </c>
      <c r="T428">
        <v>15</v>
      </c>
      <c r="U428">
        <v>100</v>
      </c>
      <c r="V428">
        <v>34000</v>
      </c>
      <c r="W428">
        <v>5000</v>
      </c>
      <c r="X428" t="s">
        <v>823</v>
      </c>
      <c r="Y428" t="s">
        <v>836</v>
      </c>
      <c r="Z428" t="s">
        <v>828</v>
      </c>
      <c r="AA428">
        <v>7</v>
      </c>
      <c r="AB428">
        <v>6</v>
      </c>
      <c r="AC428">
        <v>76</v>
      </c>
      <c r="AD428">
        <v>4</v>
      </c>
      <c r="AE428">
        <v>972</v>
      </c>
      <c r="AF428">
        <v>4952</v>
      </c>
      <c r="AG428">
        <v>606</v>
      </c>
      <c r="AH428">
        <v>3976</v>
      </c>
      <c r="AI428">
        <v>6</v>
      </c>
      <c r="AJ428">
        <v>87</v>
      </c>
      <c r="AK428">
        <v>1648</v>
      </c>
      <c r="AL428">
        <v>3457</v>
      </c>
      <c r="AM428">
        <v>13</v>
      </c>
      <c r="AN428">
        <v>902</v>
      </c>
      <c r="AO428" t="s">
        <v>826</v>
      </c>
    </row>
    <row r="429" spans="1:41">
      <c r="A429">
        <v>421</v>
      </c>
      <c r="B429" s="2">
        <v>45296.6223032407</v>
      </c>
      <c r="C429">
        <v>616.219</v>
      </c>
      <c r="D429" t="s">
        <v>821</v>
      </c>
      <c r="E429" t="s">
        <v>822</v>
      </c>
      <c r="F429">
        <v>20</v>
      </c>
      <c r="G429">
        <f t="shared" si="6"/>
        <v>0</v>
      </c>
      <c r="H429">
        <v>1</v>
      </c>
      <c r="I429">
        <v>965</v>
      </c>
      <c r="J429">
        <v>4952</v>
      </c>
      <c r="K429">
        <v>27696</v>
      </c>
      <c r="L429" s="1">
        <v>-12496</v>
      </c>
      <c r="M429">
        <v>-12496</v>
      </c>
      <c r="N429">
        <v>45.2</v>
      </c>
      <c r="O429">
        <v>5</v>
      </c>
      <c r="P429">
        <v>65535</v>
      </c>
      <c r="Q429">
        <v>3350</v>
      </c>
      <c r="R429">
        <v>-32767</v>
      </c>
      <c r="S429">
        <v>40.2</v>
      </c>
      <c r="T429">
        <v>15</v>
      </c>
      <c r="U429">
        <v>100</v>
      </c>
      <c r="V429">
        <v>34000</v>
      </c>
      <c r="W429">
        <v>5000</v>
      </c>
      <c r="X429" t="s">
        <v>823</v>
      </c>
      <c r="Y429" t="s">
        <v>836</v>
      </c>
      <c r="Z429" t="s">
        <v>828</v>
      </c>
      <c r="AA429">
        <v>7</v>
      </c>
      <c r="AB429">
        <v>6</v>
      </c>
      <c r="AC429">
        <v>76</v>
      </c>
      <c r="AD429">
        <v>4</v>
      </c>
      <c r="AE429">
        <v>965</v>
      </c>
      <c r="AF429">
        <v>4952</v>
      </c>
      <c r="AG429">
        <v>608</v>
      </c>
      <c r="AH429">
        <v>3983</v>
      </c>
      <c r="AI429">
        <v>6</v>
      </c>
      <c r="AJ429">
        <v>87</v>
      </c>
      <c r="AK429">
        <v>1648</v>
      </c>
      <c r="AL429">
        <v>3464</v>
      </c>
      <c r="AM429">
        <v>13</v>
      </c>
      <c r="AN429">
        <v>909</v>
      </c>
      <c r="AO429" t="s">
        <v>826</v>
      </c>
    </row>
    <row r="430" spans="1:41">
      <c r="A430">
        <v>422</v>
      </c>
      <c r="B430" s="2">
        <v>45296.6223148148</v>
      </c>
      <c r="C430">
        <v>617.168</v>
      </c>
      <c r="D430" t="s">
        <v>821</v>
      </c>
      <c r="E430" t="s">
        <v>822</v>
      </c>
      <c r="F430">
        <v>20</v>
      </c>
      <c r="G430">
        <f t="shared" si="6"/>
        <v>0</v>
      </c>
      <c r="H430">
        <v>1</v>
      </c>
      <c r="I430">
        <v>962</v>
      </c>
      <c r="J430">
        <v>4952</v>
      </c>
      <c r="K430">
        <v>27696</v>
      </c>
      <c r="L430" s="1">
        <v>-12495</v>
      </c>
      <c r="M430">
        <v>-12496</v>
      </c>
      <c r="N430">
        <v>45.3</v>
      </c>
      <c r="O430">
        <v>5</v>
      </c>
      <c r="P430">
        <v>65535</v>
      </c>
      <c r="Q430">
        <v>3340</v>
      </c>
      <c r="R430">
        <v>-32767</v>
      </c>
      <c r="S430">
        <v>40.2</v>
      </c>
      <c r="T430">
        <v>15</v>
      </c>
      <c r="U430">
        <v>100</v>
      </c>
      <c r="V430">
        <v>34000</v>
      </c>
      <c r="W430">
        <v>5000</v>
      </c>
      <c r="X430" t="s">
        <v>823</v>
      </c>
      <c r="Y430" t="s">
        <v>836</v>
      </c>
      <c r="Z430" t="s">
        <v>828</v>
      </c>
      <c r="AA430">
        <v>7</v>
      </c>
      <c r="AB430">
        <v>6</v>
      </c>
      <c r="AC430">
        <v>76</v>
      </c>
      <c r="AD430">
        <v>4</v>
      </c>
      <c r="AE430">
        <v>962</v>
      </c>
      <c r="AF430">
        <v>4952</v>
      </c>
      <c r="AG430">
        <v>609</v>
      </c>
      <c r="AH430">
        <v>3986</v>
      </c>
      <c r="AI430">
        <v>6</v>
      </c>
      <c r="AJ430">
        <v>87</v>
      </c>
      <c r="AK430">
        <v>1648</v>
      </c>
      <c r="AL430">
        <v>3467</v>
      </c>
      <c r="AM430">
        <v>13</v>
      </c>
      <c r="AN430">
        <v>902</v>
      </c>
      <c r="AO430" t="s">
        <v>826</v>
      </c>
    </row>
    <row r="431" spans="1:41">
      <c r="A431">
        <v>423</v>
      </c>
      <c r="B431" s="2">
        <v>45296.6223263889</v>
      </c>
      <c r="C431">
        <v>618.105</v>
      </c>
      <c r="D431" t="s">
        <v>821</v>
      </c>
      <c r="E431" t="s">
        <v>822</v>
      </c>
      <c r="F431">
        <v>20</v>
      </c>
      <c r="G431">
        <f t="shared" si="6"/>
        <v>0</v>
      </c>
      <c r="H431">
        <v>1</v>
      </c>
      <c r="I431">
        <v>958</v>
      </c>
      <c r="J431">
        <v>4952</v>
      </c>
      <c r="K431">
        <v>27696</v>
      </c>
      <c r="L431" s="1">
        <v>-12496</v>
      </c>
      <c r="M431">
        <v>-12496</v>
      </c>
      <c r="N431">
        <v>45.3</v>
      </c>
      <c r="O431">
        <v>5</v>
      </c>
      <c r="P431">
        <v>65535</v>
      </c>
      <c r="Q431">
        <v>3326</v>
      </c>
      <c r="R431">
        <v>-32767</v>
      </c>
      <c r="S431">
        <v>40.2</v>
      </c>
      <c r="T431">
        <v>15</v>
      </c>
      <c r="U431">
        <v>100</v>
      </c>
      <c r="V431">
        <v>34000</v>
      </c>
      <c r="W431">
        <v>5000</v>
      </c>
      <c r="X431" t="s">
        <v>823</v>
      </c>
      <c r="Y431" t="s">
        <v>836</v>
      </c>
      <c r="Z431" t="s">
        <v>828</v>
      </c>
      <c r="AA431">
        <v>7</v>
      </c>
      <c r="AB431">
        <v>6</v>
      </c>
      <c r="AC431">
        <v>76</v>
      </c>
      <c r="AD431">
        <v>4</v>
      </c>
      <c r="AE431">
        <v>958</v>
      </c>
      <c r="AF431">
        <v>4952</v>
      </c>
      <c r="AG431">
        <v>610</v>
      </c>
      <c r="AH431">
        <v>3990</v>
      </c>
      <c r="AI431">
        <v>6</v>
      </c>
      <c r="AJ431">
        <v>87</v>
      </c>
      <c r="AK431">
        <v>1648</v>
      </c>
      <c r="AL431">
        <v>3471</v>
      </c>
      <c r="AM431">
        <v>13</v>
      </c>
      <c r="AN431">
        <v>900</v>
      </c>
      <c r="AO431" t="s">
        <v>826</v>
      </c>
    </row>
    <row r="432" spans="1:41">
      <c r="A432">
        <v>424</v>
      </c>
      <c r="B432" s="2">
        <v>45296.622349537</v>
      </c>
      <c r="C432">
        <v>620.499</v>
      </c>
      <c r="D432" t="s">
        <v>821</v>
      </c>
      <c r="E432" t="s">
        <v>822</v>
      </c>
      <c r="F432">
        <v>20</v>
      </c>
      <c r="G432">
        <f t="shared" si="6"/>
        <v>0</v>
      </c>
      <c r="H432">
        <v>1</v>
      </c>
      <c r="I432">
        <v>951</v>
      </c>
      <c r="J432">
        <v>4952</v>
      </c>
      <c r="K432">
        <v>27688</v>
      </c>
      <c r="L432" s="1">
        <v>-12495</v>
      </c>
      <c r="M432">
        <v>-12496</v>
      </c>
      <c r="N432">
        <v>45.3</v>
      </c>
      <c r="O432">
        <v>5</v>
      </c>
      <c r="P432">
        <v>65535</v>
      </c>
      <c r="Q432">
        <v>3302</v>
      </c>
      <c r="R432">
        <v>-32767</v>
      </c>
      <c r="S432">
        <v>40.2</v>
      </c>
      <c r="T432">
        <v>15</v>
      </c>
      <c r="U432">
        <v>100</v>
      </c>
      <c r="V432">
        <v>34000</v>
      </c>
      <c r="W432">
        <v>5000</v>
      </c>
      <c r="X432" t="s">
        <v>823</v>
      </c>
      <c r="Y432" t="s">
        <v>836</v>
      </c>
      <c r="Z432" t="s">
        <v>828</v>
      </c>
      <c r="AA432">
        <v>7</v>
      </c>
      <c r="AB432">
        <v>6</v>
      </c>
      <c r="AC432">
        <v>76</v>
      </c>
      <c r="AD432">
        <v>4</v>
      </c>
      <c r="AE432">
        <v>951</v>
      </c>
      <c r="AF432">
        <v>4952</v>
      </c>
      <c r="AG432">
        <v>612</v>
      </c>
      <c r="AH432">
        <v>3997</v>
      </c>
      <c r="AI432">
        <v>6</v>
      </c>
      <c r="AJ432">
        <v>87</v>
      </c>
      <c r="AK432">
        <v>1648</v>
      </c>
      <c r="AL432">
        <v>3478</v>
      </c>
      <c r="AM432">
        <v>13</v>
      </c>
      <c r="AN432">
        <v>908</v>
      </c>
      <c r="AO432" t="s">
        <v>826</v>
      </c>
    </row>
    <row r="433" spans="1:41">
      <c r="A433">
        <v>425</v>
      </c>
      <c r="B433" s="2">
        <v>45296.6223611111</v>
      </c>
      <c r="C433">
        <v>621.448</v>
      </c>
      <c r="D433" t="s">
        <v>821</v>
      </c>
      <c r="E433" t="s">
        <v>822</v>
      </c>
      <c r="F433">
        <v>20</v>
      </c>
      <c r="G433">
        <f t="shared" si="6"/>
        <v>0</v>
      </c>
      <c r="H433">
        <v>1</v>
      </c>
      <c r="I433">
        <v>948</v>
      </c>
      <c r="J433">
        <v>4952</v>
      </c>
      <c r="K433">
        <v>27688</v>
      </c>
      <c r="L433" s="1">
        <v>-12496</v>
      </c>
      <c r="M433">
        <v>-12496</v>
      </c>
      <c r="N433">
        <v>45.3</v>
      </c>
      <c r="O433">
        <v>5</v>
      </c>
      <c r="P433">
        <v>65535</v>
      </c>
      <c r="Q433">
        <v>3291</v>
      </c>
      <c r="R433">
        <v>-32767</v>
      </c>
      <c r="S433">
        <v>40.2</v>
      </c>
      <c r="T433">
        <v>15</v>
      </c>
      <c r="U433">
        <v>100</v>
      </c>
      <c r="V433">
        <v>34000</v>
      </c>
      <c r="W433">
        <v>5000</v>
      </c>
      <c r="X433" t="s">
        <v>823</v>
      </c>
      <c r="Y433" t="s">
        <v>836</v>
      </c>
      <c r="Z433" t="s">
        <v>828</v>
      </c>
      <c r="AA433">
        <v>7</v>
      </c>
      <c r="AB433">
        <v>6</v>
      </c>
      <c r="AC433">
        <v>76</v>
      </c>
      <c r="AD433">
        <v>4</v>
      </c>
      <c r="AE433">
        <v>948</v>
      </c>
      <c r="AF433">
        <v>4952</v>
      </c>
      <c r="AG433">
        <v>613</v>
      </c>
      <c r="AH433">
        <v>4000</v>
      </c>
      <c r="AI433">
        <v>6</v>
      </c>
      <c r="AJ433">
        <v>87</v>
      </c>
      <c r="AK433">
        <v>1648</v>
      </c>
      <c r="AL433">
        <v>3481</v>
      </c>
      <c r="AM433">
        <v>13</v>
      </c>
      <c r="AN433">
        <v>903</v>
      </c>
      <c r="AO433" t="s">
        <v>826</v>
      </c>
    </row>
    <row r="434" spans="1:41">
      <c r="A434">
        <v>426</v>
      </c>
      <c r="B434" s="2">
        <v>45296.6223726852</v>
      </c>
      <c r="C434">
        <v>622.386</v>
      </c>
      <c r="D434" t="s">
        <v>821</v>
      </c>
      <c r="E434" t="s">
        <v>822</v>
      </c>
      <c r="F434">
        <v>20</v>
      </c>
      <c r="G434">
        <f t="shared" si="6"/>
        <v>0</v>
      </c>
      <c r="H434">
        <v>1</v>
      </c>
      <c r="I434">
        <v>944</v>
      </c>
      <c r="J434">
        <v>4952</v>
      </c>
      <c r="K434">
        <v>27680</v>
      </c>
      <c r="L434" s="1">
        <v>-12496</v>
      </c>
      <c r="M434">
        <v>-12496</v>
      </c>
      <c r="N434">
        <v>45.4</v>
      </c>
      <c r="O434">
        <v>5</v>
      </c>
      <c r="P434">
        <v>65535</v>
      </c>
      <c r="Q434">
        <v>3277</v>
      </c>
      <c r="R434">
        <v>-32767</v>
      </c>
      <c r="S434">
        <v>40.2</v>
      </c>
      <c r="T434">
        <v>15</v>
      </c>
      <c r="U434">
        <v>100</v>
      </c>
      <c r="V434">
        <v>34000</v>
      </c>
      <c r="W434">
        <v>5000</v>
      </c>
      <c r="X434" t="s">
        <v>823</v>
      </c>
      <c r="Y434" t="s">
        <v>836</v>
      </c>
      <c r="Z434" t="s">
        <v>828</v>
      </c>
      <c r="AA434">
        <v>7</v>
      </c>
      <c r="AB434">
        <v>6</v>
      </c>
      <c r="AC434">
        <v>76</v>
      </c>
      <c r="AD434">
        <v>4</v>
      </c>
      <c r="AE434">
        <v>944</v>
      </c>
      <c r="AF434">
        <v>4952</v>
      </c>
      <c r="AG434">
        <v>614</v>
      </c>
      <c r="AH434">
        <v>4004</v>
      </c>
      <c r="AI434">
        <v>6</v>
      </c>
      <c r="AJ434">
        <v>87</v>
      </c>
      <c r="AK434">
        <v>1648</v>
      </c>
      <c r="AL434">
        <v>3485</v>
      </c>
      <c r="AM434">
        <v>13</v>
      </c>
      <c r="AN434">
        <v>915</v>
      </c>
      <c r="AO434" t="s">
        <v>826</v>
      </c>
    </row>
    <row r="435" spans="1:41">
      <c r="A435">
        <v>427</v>
      </c>
      <c r="B435" s="2">
        <v>45296.6223958333</v>
      </c>
      <c r="C435">
        <v>624.748</v>
      </c>
      <c r="D435" t="s">
        <v>821</v>
      </c>
      <c r="E435" t="s">
        <v>822</v>
      </c>
      <c r="F435">
        <v>19</v>
      </c>
      <c r="G435">
        <f t="shared" si="6"/>
        <v>1</v>
      </c>
      <c r="H435">
        <v>1</v>
      </c>
      <c r="I435">
        <v>938</v>
      </c>
      <c r="J435">
        <v>4952</v>
      </c>
      <c r="K435">
        <v>27672</v>
      </c>
      <c r="L435" s="1">
        <v>-12496</v>
      </c>
      <c r="M435">
        <v>-12496</v>
      </c>
      <c r="N435">
        <v>45.4</v>
      </c>
      <c r="O435">
        <v>5</v>
      </c>
      <c r="P435">
        <v>65535</v>
      </c>
      <c r="Q435">
        <v>3257</v>
      </c>
      <c r="R435">
        <v>-32767</v>
      </c>
      <c r="S435">
        <v>40.3</v>
      </c>
      <c r="T435">
        <v>15</v>
      </c>
      <c r="U435">
        <v>100</v>
      </c>
      <c r="V435">
        <v>34000</v>
      </c>
      <c r="W435">
        <v>5000</v>
      </c>
      <c r="X435" t="s">
        <v>823</v>
      </c>
      <c r="Y435" t="s">
        <v>836</v>
      </c>
      <c r="Z435" t="s">
        <v>828</v>
      </c>
      <c r="AA435">
        <v>7</v>
      </c>
      <c r="AB435">
        <v>6</v>
      </c>
      <c r="AC435">
        <v>76</v>
      </c>
      <c r="AD435">
        <v>4</v>
      </c>
      <c r="AE435">
        <v>934</v>
      </c>
      <c r="AF435">
        <v>4952</v>
      </c>
      <c r="AG435">
        <v>617</v>
      </c>
      <c r="AH435">
        <v>4014</v>
      </c>
      <c r="AI435">
        <v>6</v>
      </c>
      <c r="AJ435">
        <v>87</v>
      </c>
      <c r="AK435">
        <v>1648</v>
      </c>
      <c r="AL435">
        <v>3495</v>
      </c>
      <c r="AM435">
        <v>13</v>
      </c>
      <c r="AN435">
        <v>907</v>
      </c>
      <c r="AO435" t="s">
        <v>826</v>
      </c>
    </row>
    <row r="436" spans="1:41">
      <c r="A436">
        <v>428</v>
      </c>
      <c r="B436" s="2">
        <v>45296.6224074074</v>
      </c>
      <c r="C436">
        <v>625.698</v>
      </c>
      <c r="D436" t="s">
        <v>821</v>
      </c>
      <c r="E436" t="s">
        <v>822</v>
      </c>
      <c r="F436">
        <v>19</v>
      </c>
      <c r="G436">
        <f t="shared" si="6"/>
        <v>0</v>
      </c>
      <c r="H436">
        <v>1</v>
      </c>
      <c r="I436">
        <v>934</v>
      </c>
      <c r="J436">
        <v>4952</v>
      </c>
      <c r="K436">
        <v>27672</v>
      </c>
      <c r="L436" s="1">
        <v>-12495</v>
      </c>
      <c r="M436">
        <v>-12496</v>
      </c>
      <c r="N436">
        <v>45.4</v>
      </c>
      <c r="O436">
        <v>4</v>
      </c>
      <c r="P436">
        <v>65535</v>
      </c>
      <c r="Q436">
        <v>3243</v>
      </c>
      <c r="R436">
        <v>-32767</v>
      </c>
      <c r="S436">
        <v>40.3</v>
      </c>
      <c r="T436">
        <v>15</v>
      </c>
      <c r="U436">
        <v>100</v>
      </c>
      <c r="V436">
        <v>34000</v>
      </c>
      <c r="W436">
        <v>5000</v>
      </c>
      <c r="X436" t="s">
        <v>823</v>
      </c>
      <c r="Y436" t="s">
        <v>836</v>
      </c>
      <c r="Z436" t="s">
        <v>828</v>
      </c>
      <c r="AA436">
        <v>7</v>
      </c>
      <c r="AB436">
        <v>6</v>
      </c>
      <c r="AC436">
        <v>76</v>
      </c>
      <c r="AD436">
        <v>4</v>
      </c>
      <c r="AE436">
        <v>931</v>
      </c>
      <c r="AF436">
        <v>4952</v>
      </c>
      <c r="AG436">
        <v>618</v>
      </c>
      <c r="AH436">
        <v>4017</v>
      </c>
      <c r="AI436">
        <v>6</v>
      </c>
      <c r="AJ436">
        <v>87</v>
      </c>
      <c r="AK436">
        <v>1648</v>
      </c>
      <c r="AL436">
        <v>3498</v>
      </c>
      <c r="AM436">
        <v>13</v>
      </c>
      <c r="AN436">
        <v>903</v>
      </c>
      <c r="AO436" t="s">
        <v>826</v>
      </c>
    </row>
    <row r="437" spans="1:41">
      <c r="A437">
        <v>429</v>
      </c>
      <c r="B437" s="2">
        <v>45296.6224189815</v>
      </c>
      <c r="C437">
        <v>626.64</v>
      </c>
      <c r="D437" t="s">
        <v>821</v>
      </c>
      <c r="E437" t="s">
        <v>822</v>
      </c>
      <c r="F437">
        <v>19</v>
      </c>
      <c r="G437">
        <f t="shared" si="6"/>
        <v>0</v>
      </c>
      <c r="H437">
        <v>1</v>
      </c>
      <c r="I437">
        <v>931</v>
      </c>
      <c r="J437">
        <v>4952</v>
      </c>
      <c r="K437">
        <v>27664</v>
      </c>
      <c r="L437" s="1">
        <v>-12496</v>
      </c>
      <c r="M437">
        <v>-12496</v>
      </c>
      <c r="N437">
        <v>45.4</v>
      </c>
      <c r="O437">
        <v>4</v>
      </c>
      <c r="P437">
        <v>65535</v>
      </c>
      <c r="Q437">
        <v>3232</v>
      </c>
      <c r="R437">
        <v>-32767</v>
      </c>
      <c r="S437">
        <v>40.3</v>
      </c>
      <c r="T437">
        <v>15</v>
      </c>
      <c r="U437">
        <v>100</v>
      </c>
      <c r="V437">
        <v>34000</v>
      </c>
      <c r="W437">
        <v>5000</v>
      </c>
      <c r="X437" t="s">
        <v>823</v>
      </c>
      <c r="Y437" t="s">
        <v>836</v>
      </c>
      <c r="Z437" t="s">
        <v>828</v>
      </c>
      <c r="AA437">
        <v>7</v>
      </c>
      <c r="AB437">
        <v>6</v>
      </c>
      <c r="AC437">
        <v>76</v>
      </c>
      <c r="AD437">
        <v>4</v>
      </c>
      <c r="AE437">
        <v>931</v>
      </c>
      <c r="AF437">
        <v>4952</v>
      </c>
      <c r="AG437">
        <v>619</v>
      </c>
      <c r="AH437">
        <v>4021</v>
      </c>
      <c r="AI437">
        <v>6</v>
      </c>
      <c r="AJ437">
        <v>87</v>
      </c>
      <c r="AK437">
        <v>1648</v>
      </c>
      <c r="AL437">
        <v>3502</v>
      </c>
      <c r="AM437">
        <v>13</v>
      </c>
      <c r="AN437">
        <v>912</v>
      </c>
      <c r="AO437" t="s">
        <v>826</v>
      </c>
    </row>
    <row r="438" spans="1:41">
      <c r="A438">
        <v>430</v>
      </c>
      <c r="B438" s="2">
        <v>45296.6224537037</v>
      </c>
      <c r="C438">
        <v>629.015</v>
      </c>
      <c r="D438" t="s">
        <v>821</v>
      </c>
      <c r="E438" t="s">
        <v>822</v>
      </c>
      <c r="F438">
        <v>19</v>
      </c>
      <c r="G438">
        <f t="shared" si="6"/>
        <v>0</v>
      </c>
      <c r="H438">
        <v>1</v>
      </c>
      <c r="I438">
        <v>920</v>
      </c>
      <c r="J438">
        <v>4952</v>
      </c>
      <c r="K438">
        <v>27656</v>
      </c>
      <c r="L438" s="1">
        <v>-12496</v>
      </c>
      <c r="M438">
        <v>-12496</v>
      </c>
      <c r="N438">
        <v>45.5</v>
      </c>
      <c r="O438">
        <v>4</v>
      </c>
      <c r="P438">
        <v>65535</v>
      </c>
      <c r="Q438">
        <v>3194</v>
      </c>
      <c r="R438">
        <v>-32767</v>
      </c>
      <c r="S438">
        <v>40.3</v>
      </c>
      <c r="T438">
        <v>15</v>
      </c>
      <c r="U438">
        <v>100</v>
      </c>
      <c r="V438">
        <v>34000</v>
      </c>
      <c r="W438">
        <v>5000</v>
      </c>
      <c r="X438" t="s">
        <v>823</v>
      </c>
      <c r="Y438" t="s">
        <v>836</v>
      </c>
      <c r="Z438" t="s">
        <v>828</v>
      </c>
      <c r="AA438">
        <v>7</v>
      </c>
      <c r="AB438">
        <v>6</v>
      </c>
      <c r="AC438">
        <v>76</v>
      </c>
      <c r="AD438">
        <v>4</v>
      </c>
      <c r="AE438">
        <v>920</v>
      </c>
      <c r="AF438">
        <v>4952</v>
      </c>
      <c r="AG438">
        <v>621</v>
      </c>
      <c r="AH438">
        <v>4028</v>
      </c>
      <c r="AI438">
        <v>6</v>
      </c>
      <c r="AJ438">
        <v>87</v>
      </c>
      <c r="AK438">
        <v>1648</v>
      </c>
      <c r="AL438">
        <v>3509</v>
      </c>
      <c r="AM438">
        <v>13</v>
      </c>
      <c r="AN438">
        <v>910</v>
      </c>
      <c r="AO438" t="s">
        <v>826</v>
      </c>
    </row>
    <row r="439" spans="1:41">
      <c r="A439">
        <v>431</v>
      </c>
      <c r="B439" s="2">
        <v>45296.6224652778</v>
      </c>
      <c r="C439">
        <v>629.966</v>
      </c>
      <c r="D439" t="s">
        <v>821</v>
      </c>
      <c r="E439" t="s">
        <v>822</v>
      </c>
      <c r="F439">
        <v>19</v>
      </c>
      <c r="G439">
        <f t="shared" si="6"/>
        <v>0</v>
      </c>
      <c r="H439">
        <v>1</v>
      </c>
      <c r="I439">
        <v>920</v>
      </c>
      <c r="J439">
        <v>4952</v>
      </c>
      <c r="K439">
        <v>27656</v>
      </c>
      <c r="L439" s="1">
        <v>-12496</v>
      </c>
      <c r="M439">
        <v>-12496</v>
      </c>
      <c r="N439">
        <v>45.5</v>
      </c>
      <c r="O439">
        <v>4</v>
      </c>
      <c r="P439">
        <v>65535</v>
      </c>
      <c r="Q439">
        <v>3184</v>
      </c>
      <c r="R439">
        <v>-32767</v>
      </c>
      <c r="S439">
        <v>40.3</v>
      </c>
      <c r="T439">
        <v>15</v>
      </c>
      <c r="U439">
        <v>100</v>
      </c>
      <c r="V439">
        <v>34000</v>
      </c>
      <c r="W439">
        <v>5000</v>
      </c>
      <c r="X439" t="s">
        <v>823</v>
      </c>
      <c r="Y439" t="s">
        <v>836</v>
      </c>
      <c r="Z439" t="s">
        <v>828</v>
      </c>
      <c r="AA439">
        <v>7</v>
      </c>
      <c r="AB439">
        <v>6</v>
      </c>
      <c r="AC439">
        <v>76</v>
      </c>
      <c r="AD439">
        <v>4</v>
      </c>
      <c r="AE439">
        <v>917</v>
      </c>
      <c r="AF439">
        <v>4952</v>
      </c>
      <c r="AG439">
        <v>622</v>
      </c>
      <c r="AH439">
        <v>4031</v>
      </c>
      <c r="AI439">
        <v>6</v>
      </c>
      <c r="AJ439">
        <v>87</v>
      </c>
      <c r="AK439">
        <v>1648</v>
      </c>
      <c r="AL439">
        <v>3512</v>
      </c>
      <c r="AM439">
        <v>13</v>
      </c>
      <c r="AN439">
        <v>899</v>
      </c>
      <c r="AO439" t="s">
        <v>826</v>
      </c>
    </row>
    <row r="440" spans="1:41">
      <c r="A440">
        <v>432</v>
      </c>
      <c r="B440" s="2">
        <v>45296.6224884259</v>
      </c>
      <c r="C440">
        <v>632.332</v>
      </c>
      <c r="D440" t="s">
        <v>821</v>
      </c>
      <c r="E440" t="s">
        <v>822</v>
      </c>
      <c r="F440">
        <v>19</v>
      </c>
      <c r="G440">
        <f t="shared" si="6"/>
        <v>0</v>
      </c>
      <c r="H440">
        <v>1</v>
      </c>
      <c r="I440">
        <v>910</v>
      </c>
      <c r="J440">
        <v>4952</v>
      </c>
      <c r="K440">
        <v>27648</v>
      </c>
      <c r="L440" s="1">
        <v>-12495</v>
      </c>
      <c r="M440">
        <v>-12496</v>
      </c>
      <c r="N440">
        <v>45.5</v>
      </c>
      <c r="O440">
        <v>4</v>
      </c>
      <c r="P440">
        <v>65535</v>
      </c>
      <c r="Q440">
        <v>3160</v>
      </c>
      <c r="R440">
        <v>-32767</v>
      </c>
      <c r="S440">
        <v>40.3</v>
      </c>
      <c r="T440">
        <v>15</v>
      </c>
      <c r="U440">
        <v>100</v>
      </c>
      <c r="V440">
        <v>34000</v>
      </c>
      <c r="W440">
        <v>5000</v>
      </c>
      <c r="X440" t="s">
        <v>823</v>
      </c>
      <c r="Y440" t="s">
        <v>836</v>
      </c>
      <c r="Z440" t="s">
        <v>828</v>
      </c>
      <c r="AA440">
        <v>7</v>
      </c>
      <c r="AB440">
        <v>6</v>
      </c>
      <c r="AC440">
        <v>76</v>
      </c>
      <c r="AD440">
        <v>4</v>
      </c>
      <c r="AE440">
        <v>910</v>
      </c>
      <c r="AF440">
        <v>4952</v>
      </c>
      <c r="AG440">
        <v>624</v>
      </c>
      <c r="AH440">
        <v>4038</v>
      </c>
      <c r="AI440">
        <v>6</v>
      </c>
      <c r="AJ440">
        <v>87</v>
      </c>
      <c r="AK440">
        <v>1648</v>
      </c>
      <c r="AL440">
        <v>3519</v>
      </c>
      <c r="AM440">
        <v>13</v>
      </c>
      <c r="AN440">
        <v>908</v>
      </c>
      <c r="AO440" t="s">
        <v>826</v>
      </c>
    </row>
    <row r="441" spans="1:41">
      <c r="A441">
        <v>433</v>
      </c>
      <c r="B441" s="2">
        <v>45296.6225</v>
      </c>
      <c r="C441">
        <v>633.277</v>
      </c>
      <c r="D441" t="s">
        <v>821</v>
      </c>
      <c r="E441" t="s">
        <v>822</v>
      </c>
      <c r="F441">
        <v>19</v>
      </c>
      <c r="G441">
        <f t="shared" si="6"/>
        <v>0</v>
      </c>
      <c r="H441">
        <v>1</v>
      </c>
      <c r="I441">
        <v>906</v>
      </c>
      <c r="J441">
        <v>4952</v>
      </c>
      <c r="K441">
        <v>27648</v>
      </c>
      <c r="L441" s="1">
        <v>-12496</v>
      </c>
      <c r="M441">
        <v>-12496</v>
      </c>
      <c r="N441">
        <v>45.6</v>
      </c>
      <c r="O441">
        <v>4</v>
      </c>
      <c r="P441">
        <v>65535</v>
      </c>
      <c r="Q441">
        <v>3146</v>
      </c>
      <c r="R441">
        <v>-32767</v>
      </c>
      <c r="S441">
        <v>40.3</v>
      </c>
      <c r="T441">
        <v>15</v>
      </c>
      <c r="U441">
        <v>100</v>
      </c>
      <c r="V441">
        <v>34000</v>
      </c>
      <c r="W441">
        <v>5000</v>
      </c>
      <c r="X441" t="s">
        <v>823</v>
      </c>
      <c r="Y441" t="s">
        <v>836</v>
      </c>
      <c r="Z441" t="s">
        <v>828</v>
      </c>
      <c r="AA441">
        <v>7</v>
      </c>
      <c r="AB441">
        <v>6</v>
      </c>
      <c r="AC441">
        <v>76</v>
      </c>
      <c r="AD441">
        <v>4</v>
      </c>
      <c r="AE441">
        <v>906</v>
      </c>
      <c r="AF441">
        <v>4952</v>
      </c>
      <c r="AG441">
        <v>625</v>
      </c>
      <c r="AH441">
        <v>4042</v>
      </c>
      <c r="AI441">
        <v>6</v>
      </c>
      <c r="AJ441">
        <v>87</v>
      </c>
      <c r="AK441">
        <v>1648</v>
      </c>
      <c r="AL441">
        <v>3523</v>
      </c>
      <c r="AM441">
        <v>13</v>
      </c>
      <c r="AN441">
        <v>964</v>
      </c>
      <c r="AO441" t="s">
        <v>826</v>
      </c>
    </row>
    <row r="442" spans="1:41">
      <c r="A442">
        <v>434</v>
      </c>
      <c r="B442" s="2">
        <v>45296.6225115741</v>
      </c>
      <c r="C442">
        <v>634.269</v>
      </c>
      <c r="D442" t="s">
        <v>821</v>
      </c>
      <c r="E442" t="s">
        <v>822</v>
      </c>
      <c r="F442">
        <v>19</v>
      </c>
      <c r="G442">
        <f t="shared" si="6"/>
        <v>0</v>
      </c>
      <c r="H442">
        <v>1</v>
      </c>
      <c r="I442">
        <v>903</v>
      </c>
      <c r="J442">
        <v>4952</v>
      </c>
      <c r="K442">
        <v>27640</v>
      </c>
      <c r="L442" s="1">
        <v>-12496</v>
      </c>
      <c r="M442">
        <v>-12496</v>
      </c>
      <c r="N442">
        <v>45.6</v>
      </c>
      <c r="O442">
        <v>4</v>
      </c>
      <c r="P442">
        <v>65535</v>
      </c>
      <c r="Q442">
        <v>3136</v>
      </c>
      <c r="R442">
        <v>-32767</v>
      </c>
      <c r="S442">
        <v>40.3</v>
      </c>
      <c r="T442">
        <v>15</v>
      </c>
      <c r="U442">
        <v>100</v>
      </c>
      <c r="V442">
        <v>34000</v>
      </c>
      <c r="W442">
        <v>5000</v>
      </c>
      <c r="X442" t="s">
        <v>823</v>
      </c>
      <c r="Y442" t="s">
        <v>836</v>
      </c>
      <c r="Z442" t="s">
        <v>828</v>
      </c>
      <c r="AA442">
        <v>7</v>
      </c>
      <c r="AB442">
        <v>6</v>
      </c>
      <c r="AC442">
        <v>76</v>
      </c>
      <c r="AD442">
        <v>4</v>
      </c>
      <c r="AE442">
        <v>903</v>
      </c>
      <c r="AF442">
        <v>4952</v>
      </c>
      <c r="AG442">
        <v>626</v>
      </c>
      <c r="AH442">
        <v>4045</v>
      </c>
      <c r="AI442">
        <v>6</v>
      </c>
      <c r="AJ442">
        <v>87</v>
      </c>
      <c r="AK442">
        <v>1648</v>
      </c>
      <c r="AL442">
        <v>3526</v>
      </c>
      <c r="AM442">
        <v>13</v>
      </c>
      <c r="AN442">
        <v>903</v>
      </c>
      <c r="AO442" t="s">
        <v>826</v>
      </c>
    </row>
    <row r="443" spans="1:41">
      <c r="A443">
        <v>435</v>
      </c>
      <c r="B443" s="2">
        <v>45296.6225347222</v>
      </c>
      <c r="C443">
        <v>636.626</v>
      </c>
      <c r="D443" t="s">
        <v>821</v>
      </c>
      <c r="E443" t="s">
        <v>822</v>
      </c>
      <c r="F443">
        <v>19</v>
      </c>
      <c r="G443">
        <f t="shared" si="6"/>
        <v>0</v>
      </c>
      <c r="H443">
        <v>1</v>
      </c>
      <c r="I443">
        <v>896</v>
      </c>
      <c r="J443">
        <v>4952</v>
      </c>
      <c r="K443">
        <v>27640</v>
      </c>
      <c r="L443" s="1">
        <v>-12495</v>
      </c>
      <c r="M443">
        <v>-12496</v>
      </c>
      <c r="N443">
        <v>45.6</v>
      </c>
      <c r="O443">
        <v>4</v>
      </c>
      <c r="P443">
        <v>65535</v>
      </c>
      <c r="Q443">
        <v>3111</v>
      </c>
      <c r="R443">
        <v>-32767</v>
      </c>
      <c r="S443">
        <v>40.3</v>
      </c>
      <c r="T443">
        <v>15</v>
      </c>
      <c r="U443">
        <v>100</v>
      </c>
      <c r="V443">
        <v>34000</v>
      </c>
      <c r="W443">
        <v>5000</v>
      </c>
      <c r="X443" t="s">
        <v>823</v>
      </c>
      <c r="Y443" t="s">
        <v>836</v>
      </c>
      <c r="Z443" t="s">
        <v>828</v>
      </c>
      <c r="AA443">
        <v>7</v>
      </c>
      <c r="AB443">
        <v>6</v>
      </c>
      <c r="AC443">
        <v>76</v>
      </c>
      <c r="AD443">
        <v>4</v>
      </c>
      <c r="AE443">
        <v>896</v>
      </c>
      <c r="AF443">
        <v>4952</v>
      </c>
      <c r="AG443">
        <v>629</v>
      </c>
      <c r="AH443">
        <v>4056</v>
      </c>
      <c r="AI443">
        <v>6</v>
      </c>
      <c r="AJ443">
        <v>87</v>
      </c>
      <c r="AK443">
        <v>1648</v>
      </c>
      <c r="AL443">
        <v>3537</v>
      </c>
      <c r="AM443">
        <v>13</v>
      </c>
      <c r="AN443">
        <v>909</v>
      </c>
      <c r="AO443" t="s">
        <v>826</v>
      </c>
    </row>
    <row r="444" spans="1:41">
      <c r="A444">
        <v>436</v>
      </c>
      <c r="B444" s="2">
        <v>45296.6225462963</v>
      </c>
      <c r="C444">
        <v>637.575</v>
      </c>
      <c r="D444" t="s">
        <v>821</v>
      </c>
      <c r="E444" t="s">
        <v>822</v>
      </c>
      <c r="F444">
        <v>19</v>
      </c>
      <c r="G444">
        <f t="shared" si="6"/>
        <v>0</v>
      </c>
      <c r="H444">
        <v>1</v>
      </c>
      <c r="I444">
        <v>892</v>
      </c>
      <c r="J444">
        <v>4952</v>
      </c>
      <c r="K444">
        <v>27632</v>
      </c>
      <c r="L444" s="1">
        <v>-12496</v>
      </c>
      <c r="M444">
        <v>-12496</v>
      </c>
      <c r="N444">
        <v>45.6</v>
      </c>
      <c r="O444">
        <v>4</v>
      </c>
      <c r="P444">
        <v>65535</v>
      </c>
      <c r="Q444">
        <v>3098</v>
      </c>
      <c r="R444">
        <v>-32767</v>
      </c>
      <c r="S444">
        <v>40.3</v>
      </c>
      <c r="T444">
        <v>15</v>
      </c>
      <c r="U444">
        <v>100</v>
      </c>
      <c r="V444">
        <v>34000</v>
      </c>
      <c r="W444">
        <v>5000</v>
      </c>
      <c r="X444" t="s">
        <v>823</v>
      </c>
      <c r="Y444" t="s">
        <v>836</v>
      </c>
      <c r="Z444" t="s">
        <v>828</v>
      </c>
      <c r="AA444">
        <v>7</v>
      </c>
      <c r="AB444">
        <v>6</v>
      </c>
      <c r="AC444">
        <v>76</v>
      </c>
      <c r="AD444">
        <v>4</v>
      </c>
      <c r="AE444">
        <v>892</v>
      </c>
      <c r="AF444">
        <v>4952</v>
      </c>
      <c r="AG444">
        <v>629</v>
      </c>
      <c r="AH444">
        <v>4059</v>
      </c>
      <c r="AI444">
        <v>6</v>
      </c>
      <c r="AJ444">
        <v>87</v>
      </c>
      <c r="AK444">
        <v>1648</v>
      </c>
      <c r="AL444">
        <v>3540</v>
      </c>
      <c r="AM444">
        <v>13</v>
      </c>
      <c r="AN444">
        <v>949</v>
      </c>
      <c r="AO444" t="s">
        <v>826</v>
      </c>
    </row>
    <row r="445" spans="1:41">
      <c r="A445">
        <v>437</v>
      </c>
      <c r="B445" s="2">
        <v>45296.6225578704</v>
      </c>
      <c r="C445">
        <v>638.558</v>
      </c>
      <c r="D445" t="s">
        <v>821</v>
      </c>
      <c r="E445" t="s">
        <v>822</v>
      </c>
      <c r="F445">
        <v>18</v>
      </c>
      <c r="G445">
        <f t="shared" si="6"/>
        <v>1</v>
      </c>
      <c r="H445">
        <v>1</v>
      </c>
      <c r="I445">
        <v>889</v>
      </c>
      <c r="J445">
        <v>4952</v>
      </c>
      <c r="K445">
        <v>27632</v>
      </c>
      <c r="L445" s="1">
        <v>-12496</v>
      </c>
      <c r="M445">
        <v>-12496</v>
      </c>
      <c r="N445">
        <v>45.6</v>
      </c>
      <c r="O445">
        <v>4</v>
      </c>
      <c r="P445">
        <v>65535</v>
      </c>
      <c r="Q445">
        <v>3087</v>
      </c>
      <c r="R445">
        <v>-32767</v>
      </c>
      <c r="S445">
        <v>40.3</v>
      </c>
      <c r="T445">
        <v>15</v>
      </c>
      <c r="U445">
        <v>100</v>
      </c>
      <c r="V445">
        <v>34000</v>
      </c>
      <c r="W445">
        <v>5000</v>
      </c>
      <c r="X445" t="s">
        <v>823</v>
      </c>
      <c r="Y445" t="s">
        <v>836</v>
      </c>
      <c r="Z445" t="s">
        <v>828</v>
      </c>
      <c r="AA445">
        <v>7</v>
      </c>
      <c r="AB445">
        <v>6</v>
      </c>
      <c r="AC445">
        <v>76</v>
      </c>
      <c r="AD445">
        <v>4</v>
      </c>
      <c r="AE445">
        <v>889</v>
      </c>
      <c r="AF445">
        <v>4952</v>
      </c>
      <c r="AG445">
        <v>630</v>
      </c>
      <c r="AH445">
        <v>4059</v>
      </c>
      <c r="AI445">
        <v>6</v>
      </c>
      <c r="AJ445">
        <v>87</v>
      </c>
      <c r="AK445">
        <v>1648</v>
      </c>
      <c r="AL445">
        <v>3544</v>
      </c>
      <c r="AM445">
        <v>13</v>
      </c>
      <c r="AN445">
        <v>902</v>
      </c>
      <c r="AO445" t="s">
        <v>826</v>
      </c>
    </row>
    <row r="446" spans="1:41">
      <c r="A446">
        <v>438</v>
      </c>
      <c r="B446" s="2">
        <v>45296.6225925926</v>
      </c>
      <c r="C446">
        <v>640.92</v>
      </c>
      <c r="D446" t="s">
        <v>821</v>
      </c>
      <c r="E446" t="s">
        <v>822</v>
      </c>
      <c r="F446">
        <v>18</v>
      </c>
      <c r="G446">
        <f t="shared" si="6"/>
        <v>0</v>
      </c>
      <c r="H446">
        <v>1</v>
      </c>
      <c r="I446">
        <v>882</v>
      </c>
      <c r="J446">
        <v>4952</v>
      </c>
      <c r="K446">
        <v>27624</v>
      </c>
      <c r="L446" s="1">
        <v>-12496</v>
      </c>
      <c r="M446">
        <v>-12496</v>
      </c>
      <c r="N446">
        <v>45.7</v>
      </c>
      <c r="O446">
        <v>4</v>
      </c>
      <c r="P446">
        <v>65535</v>
      </c>
      <c r="Q446">
        <v>3053</v>
      </c>
      <c r="R446">
        <v>-32767</v>
      </c>
      <c r="S446">
        <v>40.3</v>
      </c>
      <c r="T446">
        <v>15</v>
      </c>
      <c r="U446">
        <v>100</v>
      </c>
      <c r="V446">
        <v>34000</v>
      </c>
      <c r="W446">
        <v>5000</v>
      </c>
      <c r="X446" t="s">
        <v>823</v>
      </c>
      <c r="Y446" t="s">
        <v>836</v>
      </c>
      <c r="Z446" t="s">
        <v>828</v>
      </c>
      <c r="AA446">
        <v>7</v>
      </c>
      <c r="AB446">
        <v>6</v>
      </c>
      <c r="AC446">
        <v>76</v>
      </c>
      <c r="AD446">
        <v>4</v>
      </c>
      <c r="AE446">
        <v>879</v>
      </c>
      <c r="AF446">
        <v>4952</v>
      </c>
      <c r="AG446">
        <v>633</v>
      </c>
      <c r="AH446">
        <v>4069</v>
      </c>
      <c r="AI446">
        <v>6</v>
      </c>
      <c r="AJ446">
        <v>87</v>
      </c>
      <c r="AK446">
        <v>1648</v>
      </c>
      <c r="AL446">
        <v>3550</v>
      </c>
      <c r="AM446">
        <v>13</v>
      </c>
      <c r="AN446">
        <v>912</v>
      </c>
      <c r="AO446" t="s">
        <v>826</v>
      </c>
    </row>
    <row r="447" spans="1:41">
      <c r="A447">
        <v>439</v>
      </c>
      <c r="B447" s="2">
        <v>45296.6225925926</v>
      </c>
      <c r="C447">
        <v>641.869</v>
      </c>
      <c r="D447" t="s">
        <v>821</v>
      </c>
      <c r="E447" t="s">
        <v>822</v>
      </c>
      <c r="F447">
        <v>18</v>
      </c>
      <c r="G447">
        <f t="shared" si="6"/>
        <v>0</v>
      </c>
      <c r="H447">
        <v>1</v>
      </c>
      <c r="I447">
        <v>879</v>
      </c>
      <c r="J447">
        <v>4952</v>
      </c>
      <c r="K447">
        <v>27624</v>
      </c>
      <c r="L447" s="1">
        <v>-12496</v>
      </c>
      <c r="M447">
        <v>-12496</v>
      </c>
      <c r="N447">
        <v>45.7</v>
      </c>
      <c r="O447">
        <v>4</v>
      </c>
      <c r="P447">
        <v>65535</v>
      </c>
      <c r="Q447">
        <v>3039</v>
      </c>
      <c r="R447">
        <v>-32767</v>
      </c>
      <c r="S447">
        <v>40.3</v>
      </c>
      <c r="T447">
        <v>15</v>
      </c>
      <c r="U447">
        <v>100</v>
      </c>
      <c r="V447">
        <v>34000</v>
      </c>
      <c r="W447">
        <v>5000</v>
      </c>
      <c r="X447" t="s">
        <v>823</v>
      </c>
      <c r="Y447" t="s">
        <v>836</v>
      </c>
      <c r="Z447" t="s">
        <v>828</v>
      </c>
      <c r="AA447">
        <v>7</v>
      </c>
      <c r="AB447">
        <v>6</v>
      </c>
      <c r="AC447">
        <v>76</v>
      </c>
      <c r="AD447">
        <v>4</v>
      </c>
      <c r="AE447">
        <v>875</v>
      </c>
      <c r="AF447">
        <v>4952</v>
      </c>
      <c r="AG447">
        <v>634</v>
      </c>
      <c r="AH447">
        <v>4073</v>
      </c>
      <c r="AI447">
        <v>6</v>
      </c>
      <c r="AJ447">
        <v>87</v>
      </c>
      <c r="AK447">
        <v>1648</v>
      </c>
      <c r="AL447">
        <v>3554</v>
      </c>
      <c r="AM447">
        <v>13</v>
      </c>
      <c r="AN447">
        <v>902</v>
      </c>
      <c r="AO447" t="s">
        <v>826</v>
      </c>
    </row>
    <row r="448" spans="1:41">
      <c r="A448">
        <v>440</v>
      </c>
      <c r="B448" s="2">
        <v>45296.6226041667</v>
      </c>
      <c r="C448">
        <v>642.808</v>
      </c>
      <c r="D448" t="s">
        <v>821</v>
      </c>
      <c r="E448" t="s">
        <v>822</v>
      </c>
      <c r="F448">
        <v>18</v>
      </c>
      <c r="G448">
        <f t="shared" si="6"/>
        <v>0</v>
      </c>
      <c r="H448">
        <v>1</v>
      </c>
      <c r="I448">
        <v>875</v>
      </c>
      <c r="J448">
        <v>4952</v>
      </c>
      <c r="K448">
        <v>27616</v>
      </c>
      <c r="L448" s="1">
        <v>-12496</v>
      </c>
      <c r="M448">
        <v>-12496</v>
      </c>
      <c r="N448">
        <v>45.7</v>
      </c>
      <c r="O448">
        <v>4</v>
      </c>
      <c r="P448">
        <v>65535</v>
      </c>
      <c r="Q448">
        <v>3039</v>
      </c>
      <c r="R448">
        <v>-32767</v>
      </c>
      <c r="S448">
        <v>40.3</v>
      </c>
      <c r="T448">
        <v>15</v>
      </c>
      <c r="U448">
        <v>100</v>
      </c>
      <c r="V448">
        <v>34000</v>
      </c>
      <c r="W448">
        <v>5000</v>
      </c>
      <c r="X448" t="s">
        <v>823</v>
      </c>
      <c r="Y448" t="s">
        <v>836</v>
      </c>
      <c r="Z448" t="s">
        <v>828</v>
      </c>
      <c r="AA448">
        <v>7</v>
      </c>
      <c r="AB448">
        <v>6</v>
      </c>
      <c r="AC448">
        <v>76</v>
      </c>
      <c r="AD448">
        <v>4</v>
      </c>
      <c r="AE448">
        <v>872</v>
      </c>
      <c r="AF448">
        <v>4952</v>
      </c>
      <c r="AG448">
        <v>635</v>
      </c>
      <c r="AH448">
        <v>4076</v>
      </c>
      <c r="AI448">
        <v>6</v>
      </c>
      <c r="AJ448">
        <v>87</v>
      </c>
      <c r="AK448">
        <v>1648</v>
      </c>
      <c r="AL448">
        <v>3557</v>
      </c>
      <c r="AM448">
        <v>13</v>
      </c>
      <c r="AN448">
        <v>900</v>
      </c>
      <c r="AO448" t="s">
        <v>826</v>
      </c>
    </row>
    <row r="449" spans="1:41">
      <c r="A449">
        <v>441</v>
      </c>
      <c r="B449" s="2">
        <v>45296.6226388889</v>
      </c>
      <c r="C449">
        <v>645.213</v>
      </c>
      <c r="D449" t="s">
        <v>821</v>
      </c>
      <c r="E449" t="s">
        <v>822</v>
      </c>
      <c r="F449">
        <v>18</v>
      </c>
      <c r="G449">
        <f t="shared" si="6"/>
        <v>0</v>
      </c>
      <c r="H449">
        <v>1</v>
      </c>
      <c r="I449">
        <v>865</v>
      </c>
      <c r="J449">
        <v>4952</v>
      </c>
      <c r="K449">
        <v>27592</v>
      </c>
      <c r="L449" s="1">
        <v>-12496</v>
      </c>
      <c r="M449">
        <v>-12496</v>
      </c>
      <c r="N449">
        <v>45.7</v>
      </c>
      <c r="O449">
        <v>4</v>
      </c>
      <c r="P449">
        <v>65535</v>
      </c>
      <c r="Q449">
        <v>3004</v>
      </c>
      <c r="R449">
        <v>-32767</v>
      </c>
      <c r="S449">
        <v>40.4</v>
      </c>
      <c r="T449">
        <v>15</v>
      </c>
      <c r="U449">
        <v>100</v>
      </c>
      <c r="V449">
        <v>34000</v>
      </c>
      <c r="W449">
        <v>5000</v>
      </c>
      <c r="X449" t="s">
        <v>823</v>
      </c>
      <c r="Y449" t="s">
        <v>836</v>
      </c>
      <c r="Z449" t="s">
        <v>828</v>
      </c>
      <c r="AA449">
        <v>7</v>
      </c>
      <c r="AB449">
        <v>6</v>
      </c>
      <c r="AC449">
        <v>76</v>
      </c>
      <c r="AD449">
        <v>4</v>
      </c>
      <c r="AE449">
        <v>865</v>
      </c>
      <c r="AF449">
        <v>4952</v>
      </c>
      <c r="AG449">
        <v>637</v>
      </c>
      <c r="AH449">
        <v>4083</v>
      </c>
      <c r="AI449">
        <v>6</v>
      </c>
      <c r="AJ449">
        <v>87</v>
      </c>
      <c r="AK449">
        <v>1648</v>
      </c>
      <c r="AL449">
        <v>3564</v>
      </c>
      <c r="AM449">
        <v>13</v>
      </c>
      <c r="AN449">
        <v>900</v>
      </c>
      <c r="AO449" t="s">
        <v>826</v>
      </c>
    </row>
    <row r="450" spans="1:41">
      <c r="A450">
        <v>442</v>
      </c>
      <c r="B450" s="2">
        <v>45296.622650463</v>
      </c>
      <c r="C450">
        <v>646.162</v>
      </c>
      <c r="D450" t="s">
        <v>821</v>
      </c>
      <c r="E450" t="s">
        <v>822</v>
      </c>
      <c r="F450">
        <v>18</v>
      </c>
      <c r="G450">
        <f t="shared" si="6"/>
        <v>0</v>
      </c>
      <c r="H450">
        <v>1</v>
      </c>
      <c r="I450">
        <v>861</v>
      </c>
      <c r="J450">
        <v>4952</v>
      </c>
      <c r="K450">
        <v>27608</v>
      </c>
      <c r="L450" s="1">
        <v>-12496</v>
      </c>
      <c r="M450">
        <v>-12496</v>
      </c>
      <c r="N450">
        <v>45.8</v>
      </c>
      <c r="O450">
        <v>4</v>
      </c>
      <c r="P450">
        <v>65535</v>
      </c>
      <c r="Q450">
        <v>2991</v>
      </c>
      <c r="R450">
        <v>-32767</v>
      </c>
      <c r="S450">
        <v>40.4</v>
      </c>
      <c r="T450">
        <v>15</v>
      </c>
      <c r="U450">
        <v>100</v>
      </c>
      <c r="V450">
        <v>34000</v>
      </c>
      <c r="W450">
        <v>5000</v>
      </c>
      <c r="X450" t="s">
        <v>823</v>
      </c>
      <c r="Y450" t="s">
        <v>836</v>
      </c>
      <c r="Z450" t="s">
        <v>828</v>
      </c>
      <c r="AA450">
        <v>7</v>
      </c>
      <c r="AB450">
        <v>6</v>
      </c>
      <c r="AC450">
        <v>76</v>
      </c>
      <c r="AD450">
        <v>4</v>
      </c>
      <c r="AE450">
        <v>861</v>
      </c>
      <c r="AF450">
        <v>4952</v>
      </c>
      <c r="AG450">
        <v>638</v>
      </c>
      <c r="AH450">
        <v>4087</v>
      </c>
      <c r="AI450">
        <v>6</v>
      </c>
      <c r="AJ450">
        <v>87</v>
      </c>
      <c r="AK450">
        <v>1648</v>
      </c>
      <c r="AL450">
        <v>3568</v>
      </c>
      <c r="AM450">
        <v>13</v>
      </c>
      <c r="AN450">
        <v>907</v>
      </c>
      <c r="AO450" t="s">
        <v>826</v>
      </c>
    </row>
    <row r="451" spans="1:41">
      <c r="A451">
        <v>443</v>
      </c>
      <c r="B451" s="2">
        <v>45296.6226736111</v>
      </c>
      <c r="C451">
        <v>648.529</v>
      </c>
      <c r="D451" t="s">
        <v>821</v>
      </c>
      <c r="E451" t="s">
        <v>822</v>
      </c>
      <c r="F451">
        <v>18</v>
      </c>
      <c r="G451">
        <f t="shared" si="6"/>
        <v>0</v>
      </c>
      <c r="H451">
        <v>1</v>
      </c>
      <c r="I451">
        <v>854</v>
      </c>
      <c r="J451">
        <v>4952</v>
      </c>
      <c r="K451">
        <v>27600</v>
      </c>
      <c r="L451" s="1">
        <v>-12496</v>
      </c>
      <c r="M451">
        <v>-12496</v>
      </c>
      <c r="N451">
        <v>45.8</v>
      </c>
      <c r="O451">
        <v>4</v>
      </c>
      <c r="P451">
        <v>65535</v>
      </c>
      <c r="Q451">
        <v>2966</v>
      </c>
      <c r="R451">
        <v>-32767</v>
      </c>
      <c r="S451">
        <v>40.4</v>
      </c>
      <c r="T451">
        <v>15</v>
      </c>
      <c r="U451">
        <v>100</v>
      </c>
      <c r="V451">
        <v>34000</v>
      </c>
      <c r="W451">
        <v>5000</v>
      </c>
      <c r="X451" t="s">
        <v>823</v>
      </c>
      <c r="Y451" t="s">
        <v>836</v>
      </c>
      <c r="Z451" t="s">
        <v>828</v>
      </c>
      <c r="AA451">
        <v>7</v>
      </c>
      <c r="AB451">
        <v>6</v>
      </c>
      <c r="AC451">
        <v>76</v>
      </c>
      <c r="AD451">
        <v>4</v>
      </c>
      <c r="AE451">
        <v>854</v>
      </c>
      <c r="AF451">
        <v>4952</v>
      </c>
      <c r="AG451">
        <v>640</v>
      </c>
      <c r="AH451">
        <v>4094</v>
      </c>
      <c r="AI451">
        <v>6</v>
      </c>
      <c r="AJ451">
        <v>87</v>
      </c>
      <c r="AK451">
        <v>1648</v>
      </c>
      <c r="AL451">
        <v>3578</v>
      </c>
      <c r="AM451">
        <v>13</v>
      </c>
      <c r="AN451">
        <v>913</v>
      </c>
      <c r="AO451" t="s">
        <v>826</v>
      </c>
    </row>
    <row r="452" spans="1:41">
      <c r="A452">
        <v>444</v>
      </c>
      <c r="B452" s="2">
        <v>45296.6226851852</v>
      </c>
      <c r="C452">
        <v>649.48</v>
      </c>
      <c r="D452" t="s">
        <v>821</v>
      </c>
      <c r="E452" t="s">
        <v>822</v>
      </c>
      <c r="F452">
        <v>18</v>
      </c>
      <c r="G452">
        <f t="shared" si="6"/>
        <v>0</v>
      </c>
      <c r="H452">
        <v>1</v>
      </c>
      <c r="I452">
        <v>851</v>
      </c>
      <c r="J452">
        <v>4952</v>
      </c>
      <c r="K452">
        <v>27600</v>
      </c>
      <c r="L452" s="1">
        <v>-12495</v>
      </c>
      <c r="M452">
        <v>-12496</v>
      </c>
      <c r="N452">
        <v>45.8</v>
      </c>
      <c r="O452">
        <v>4</v>
      </c>
      <c r="P452">
        <v>65535</v>
      </c>
      <c r="Q452">
        <v>2956</v>
      </c>
      <c r="R452">
        <v>-32767</v>
      </c>
      <c r="S452">
        <v>40.4</v>
      </c>
      <c r="T452">
        <v>15</v>
      </c>
      <c r="U452">
        <v>100</v>
      </c>
      <c r="V452">
        <v>34000</v>
      </c>
      <c r="W452">
        <v>5000</v>
      </c>
      <c r="X452" t="s">
        <v>823</v>
      </c>
      <c r="Y452" t="s">
        <v>836</v>
      </c>
      <c r="Z452" t="s">
        <v>828</v>
      </c>
      <c r="AA452">
        <v>7</v>
      </c>
      <c r="AB452">
        <v>6</v>
      </c>
      <c r="AC452">
        <v>76</v>
      </c>
      <c r="AD452">
        <v>4</v>
      </c>
      <c r="AE452">
        <v>851</v>
      </c>
      <c r="AF452">
        <v>4952</v>
      </c>
      <c r="AG452">
        <v>641</v>
      </c>
      <c r="AH452">
        <v>4097</v>
      </c>
      <c r="AI452">
        <v>6</v>
      </c>
      <c r="AJ452">
        <v>87</v>
      </c>
      <c r="AK452">
        <v>1648</v>
      </c>
      <c r="AL452">
        <v>3578</v>
      </c>
      <c r="AM452">
        <v>13</v>
      </c>
      <c r="AN452">
        <v>902</v>
      </c>
      <c r="AO452" t="s">
        <v>826</v>
      </c>
    </row>
    <row r="453" spans="1:41">
      <c r="A453">
        <v>445</v>
      </c>
      <c r="B453" s="2">
        <v>45296.6226967593</v>
      </c>
      <c r="C453">
        <v>650.418</v>
      </c>
      <c r="D453" t="s">
        <v>821</v>
      </c>
      <c r="E453" t="s">
        <v>822</v>
      </c>
      <c r="F453">
        <v>18</v>
      </c>
      <c r="G453">
        <f t="shared" si="6"/>
        <v>0</v>
      </c>
      <c r="H453">
        <v>1</v>
      </c>
      <c r="I453">
        <v>847</v>
      </c>
      <c r="J453">
        <v>4952</v>
      </c>
      <c r="K453">
        <v>27592</v>
      </c>
      <c r="L453" s="1">
        <v>-12496</v>
      </c>
      <c r="M453">
        <v>-12496</v>
      </c>
      <c r="N453">
        <v>45.8</v>
      </c>
      <c r="O453">
        <v>4</v>
      </c>
      <c r="P453">
        <v>65535</v>
      </c>
      <c r="Q453">
        <v>2942</v>
      </c>
      <c r="R453">
        <v>-32767</v>
      </c>
      <c r="S453">
        <v>40.3</v>
      </c>
      <c r="T453">
        <v>15</v>
      </c>
      <c r="U453">
        <v>100</v>
      </c>
      <c r="V453">
        <v>34000</v>
      </c>
      <c r="W453">
        <v>5000</v>
      </c>
      <c r="X453" t="s">
        <v>823</v>
      </c>
      <c r="Y453" t="s">
        <v>836</v>
      </c>
      <c r="Z453" t="s">
        <v>828</v>
      </c>
      <c r="AA453">
        <v>7</v>
      </c>
      <c r="AB453">
        <v>6</v>
      </c>
      <c r="AC453">
        <v>76</v>
      </c>
      <c r="AD453">
        <v>4</v>
      </c>
      <c r="AE453">
        <v>847</v>
      </c>
      <c r="AF453">
        <v>4952</v>
      </c>
      <c r="AG453">
        <v>642</v>
      </c>
      <c r="AH453">
        <v>4101</v>
      </c>
      <c r="AI453">
        <v>6</v>
      </c>
      <c r="AJ453">
        <v>87</v>
      </c>
      <c r="AK453">
        <v>1648</v>
      </c>
      <c r="AL453">
        <v>3582</v>
      </c>
      <c r="AM453">
        <v>13</v>
      </c>
      <c r="AN453">
        <v>900</v>
      </c>
      <c r="AO453" t="s">
        <v>826</v>
      </c>
    </row>
    <row r="454" spans="1:41">
      <c r="A454">
        <v>446</v>
      </c>
      <c r="B454" s="2">
        <v>45296.6227199074</v>
      </c>
      <c r="C454">
        <v>652.782</v>
      </c>
      <c r="D454" t="s">
        <v>821</v>
      </c>
      <c r="E454" t="s">
        <v>822</v>
      </c>
      <c r="F454">
        <v>17</v>
      </c>
      <c r="G454">
        <f t="shared" si="6"/>
        <v>1</v>
      </c>
      <c r="H454">
        <v>1</v>
      </c>
      <c r="I454">
        <v>840</v>
      </c>
      <c r="J454">
        <v>4952</v>
      </c>
      <c r="K454">
        <v>27592</v>
      </c>
      <c r="L454" s="1">
        <v>-12496</v>
      </c>
      <c r="M454">
        <v>-12496</v>
      </c>
      <c r="N454">
        <v>45.9</v>
      </c>
      <c r="O454">
        <v>4</v>
      </c>
      <c r="P454">
        <v>65535</v>
      </c>
      <c r="Q454">
        <v>2918</v>
      </c>
      <c r="R454">
        <v>-32767</v>
      </c>
      <c r="S454">
        <v>40.4</v>
      </c>
      <c r="T454">
        <v>15</v>
      </c>
      <c r="U454">
        <v>100</v>
      </c>
      <c r="V454">
        <v>34000</v>
      </c>
      <c r="W454">
        <v>5000</v>
      </c>
      <c r="X454" t="s">
        <v>823</v>
      </c>
      <c r="Y454" t="s">
        <v>836</v>
      </c>
      <c r="Z454" t="s">
        <v>828</v>
      </c>
      <c r="AA454">
        <v>7</v>
      </c>
      <c r="AB454">
        <v>6</v>
      </c>
      <c r="AC454">
        <v>76</v>
      </c>
      <c r="AD454">
        <v>4</v>
      </c>
      <c r="AE454">
        <v>837</v>
      </c>
      <c r="AF454">
        <v>4952</v>
      </c>
      <c r="AG454">
        <v>645</v>
      </c>
      <c r="AH454">
        <v>4111</v>
      </c>
      <c r="AI454">
        <v>6</v>
      </c>
      <c r="AJ454">
        <v>87</v>
      </c>
      <c r="AK454">
        <v>1648</v>
      </c>
      <c r="AL454">
        <v>3592</v>
      </c>
      <c r="AM454">
        <v>13</v>
      </c>
      <c r="AN454">
        <v>911</v>
      </c>
      <c r="AO454" t="s">
        <v>826</v>
      </c>
    </row>
    <row r="455" spans="1:41">
      <c r="A455">
        <v>447</v>
      </c>
      <c r="B455" s="2">
        <v>45296.6227314815</v>
      </c>
      <c r="C455">
        <v>653.726</v>
      </c>
      <c r="D455" t="s">
        <v>821</v>
      </c>
      <c r="E455" t="s">
        <v>822</v>
      </c>
      <c r="F455">
        <v>17</v>
      </c>
      <c r="G455">
        <f t="shared" si="6"/>
        <v>0</v>
      </c>
      <c r="H455">
        <v>1</v>
      </c>
      <c r="I455">
        <v>837</v>
      </c>
      <c r="J455">
        <v>4952</v>
      </c>
      <c r="K455">
        <v>27584</v>
      </c>
      <c r="L455" s="1">
        <v>-12495</v>
      </c>
      <c r="M455">
        <v>-12496</v>
      </c>
      <c r="N455">
        <v>45.9</v>
      </c>
      <c r="O455">
        <v>4</v>
      </c>
      <c r="P455">
        <v>65535</v>
      </c>
      <c r="Q455">
        <v>2908</v>
      </c>
      <c r="R455">
        <v>-32767</v>
      </c>
      <c r="S455">
        <v>40.4</v>
      </c>
      <c r="T455">
        <v>15</v>
      </c>
      <c r="U455">
        <v>100</v>
      </c>
      <c r="V455">
        <v>34000</v>
      </c>
      <c r="W455">
        <v>5000</v>
      </c>
      <c r="X455" t="s">
        <v>823</v>
      </c>
      <c r="Y455" t="s">
        <v>836</v>
      </c>
      <c r="Z455" t="s">
        <v>828</v>
      </c>
      <c r="AA455">
        <v>7</v>
      </c>
      <c r="AB455">
        <v>6</v>
      </c>
      <c r="AC455">
        <v>76</v>
      </c>
      <c r="AD455">
        <v>4</v>
      </c>
      <c r="AE455">
        <v>833</v>
      </c>
      <c r="AF455">
        <v>4952</v>
      </c>
      <c r="AG455">
        <v>646</v>
      </c>
      <c r="AH455">
        <v>4115</v>
      </c>
      <c r="AI455">
        <v>6</v>
      </c>
      <c r="AJ455">
        <v>87</v>
      </c>
      <c r="AK455">
        <v>1648</v>
      </c>
      <c r="AL455">
        <v>3596</v>
      </c>
      <c r="AM455">
        <v>13</v>
      </c>
      <c r="AN455">
        <v>905</v>
      </c>
      <c r="AO455" t="s">
        <v>826</v>
      </c>
    </row>
    <row r="456" spans="1:41">
      <c r="A456">
        <v>448</v>
      </c>
      <c r="B456" s="2">
        <v>45296.6227430556</v>
      </c>
      <c r="C456">
        <v>654.664</v>
      </c>
      <c r="D456" t="s">
        <v>821</v>
      </c>
      <c r="E456" t="s">
        <v>822</v>
      </c>
      <c r="F456">
        <v>17</v>
      </c>
      <c r="G456">
        <f t="shared" si="6"/>
        <v>0</v>
      </c>
      <c r="H456">
        <v>1</v>
      </c>
      <c r="I456">
        <v>833</v>
      </c>
      <c r="J456">
        <v>4952</v>
      </c>
      <c r="K456">
        <v>27584</v>
      </c>
      <c r="L456" s="1">
        <v>-12496</v>
      </c>
      <c r="M456">
        <v>-12496</v>
      </c>
      <c r="N456">
        <v>45.9</v>
      </c>
      <c r="O456">
        <v>4</v>
      </c>
      <c r="P456">
        <v>65535</v>
      </c>
      <c r="Q456">
        <v>2894</v>
      </c>
      <c r="R456">
        <v>-32767</v>
      </c>
      <c r="S456">
        <v>40.4</v>
      </c>
      <c r="T456">
        <v>15</v>
      </c>
      <c r="U456">
        <v>100</v>
      </c>
      <c r="V456">
        <v>34000</v>
      </c>
      <c r="W456">
        <v>5000</v>
      </c>
      <c r="X456" t="s">
        <v>823</v>
      </c>
      <c r="Y456" t="s">
        <v>836</v>
      </c>
      <c r="Z456" t="s">
        <v>828</v>
      </c>
      <c r="AA456">
        <v>7</v>
      </c>
      <c r="AB456">
        <v>6</v>
      </c>
      <c r="AC456">
        <v>76</v>
      </c>
      <c r="AD456">
        <v>4</v>
      </c>
      <c r="AE456">
        <v>830</v>
      </c>
      <c r="AF456">
        <v>4952</v>
      </c>
      <c r="AG456">
        <v>647</v>
      </c>
      <c r="AH456">
        <v>4118</v>
      </c>
      <c r="AI456">
        <v>6</v>
      </c>
      <c r="AJ456">
        <v>87</v>
      </c>
      <c r="AK456">
        <v>1648</v>
      </c>
      <c r="AL456">
        <v>3599</v>
      </c>
      <c r="AM456">
        <v>13</v>
      </c>
      <c r="AN456">
        <v>903</v>
      </c>
      <c r="AO456" t="s">
        <v>826</v>
      </c>
    </row>
    <row r="457" spans="1:41">
      <c r="A457">
        <v>449</v>
      </c>
      <c r="B457" s="2">
        <v>45296.6227777778</v>
      </c>
      <c r="C457">
        <v>657.021</v>
      </c>
      <c r="D457" t="s">
        <v>821</v>
      </c>
      <c r="E457" t="s">
        <v>822</v>
      </c>
      <c r="F457">
        <v>17</v>
      </c>
      <c r="G457">
        <f t="shared" ref="G457:G514" si="7">F456-F457</f>
        <v>0</v>
      </c>
      <c r="H457">
        <v>1</v>
      </c>
      <c r="I457">
        <v>823</v>
      </c>
      <c r="J457">
        <v>4952</v>
      </c>
      <c r="K457">
        <v>27568</v>
      </c>
      <c r="L457" s="1">
        <v>-12496</v>
      </c>
      <c r="M457">
        <v>-12496</v>
      </c>
      <c r="N457">
        <v>46</v>
      </c>
      <c r="O457">
        <v>4</v>
      </c>
      <c r="P457">
        <v>65535</v>
      </c>
      <c r="Q457">
        <v>2859</v>
      </c>
      <c r="R457">
        <v>-32767</v>
      </c>
      <c r="S457">
        <v>40.4</v>
      </c>
      <c r="T457">
        <v>15</v>
      </c>
      <c r="U457">
        <v>100</v>
      </c>
      <c r="V457">
        <v>34000</v>
      </c>
      <c r="W457">
        <v>5000</v>
      </c>
      <c r="X457" t="s">
        <v>823</v>
      </c>
      <c r="Y457" t="s">
        <v>836</v>
      </c>
      <c r="Z457" t="s">
        <v>828</v>
      </c>
      <c r="AA457">
        <v>7</v>
      </c>
      <c r="AB457">
        <v>6</v>
      </c>
      <c r="AC457">
        <v>76</v>
      </c>
      <c r="AD457">
        <v>4</v>
      </c>
      <c r="AE457">
        <v>823</v>
      </c>
      <c r="AF457">
        <v>4952</v>
      </c>
      <c r="AG457">
        <v>649</v>
      </c>
      <c r="AH457">
        <v>4125</v>
      </c>
      <c r="AI457">
        <v>6</v>
      </c>
      <c r="AJ457">
        <v>87</v>
      </c>
      <c r="AK457">
        <v>1648</v>
      </c>
      <c r="AL457">
        <v>3606</v>
      </c>
      <c r="AM457">
        <v>13</v>
      </c>
      <c r="AN457">
        <v>902</v>
      </c>
      <c r="AO457" t="s">
        <v>826</v>
      </c>
    </row>
    <row r="458" spans="1:41">
      <c r="A458">
        <v>450</v>
      </c>
      <c r="B458" s="2">
        <v>45296.6227893519</v>
      </c>
      <c r="C458">
        <v>657.961</v>
      </c>
      <c r="D458" t="s">
        <v>821</v>
      </c>
      <c r="E458" t="s">
        <v>822</v>
      </c>
      <c r="F458">
        <v>17</v>
      </c>
      <c r="G458">
        <f t="shared" si="7"/>
        <v>0</v>
      </c>
      <c r="H458">
        <v>1</v>
      </c>
      <c r="I458">
        <v>823</v>
      </c>
      <c r="J458">
        <v>4952</v>
      </c>
      <c r="K458">
        <v>27568</v>
      </c>
      <c r="L458" s="1">
        <v>-12495</v>
      </c>
      <c r="M458">
        <v>-12496</v>
      </c>
      <c r="N458">
        <v>46</v>
      </c>
      <c r="O458">
        <v>4</v>
      </c>
      <c r="P458">
        <v>65535</v>
      </c>
      <c r="Q458">
        <v>2849</v>
      </c>
      <c r="R458">
        <v>-32767</v>
      </c>
      <c r="S458">
        <v>40.4</v>
      </c>
      <c r="T458">
        <v>15</v>
      </c>
      <c r="U458">
        <v>100</v>
      </c>
      <c r="V458">
        <v>34000</v>
      </c>
      <c r="W458">
        <v>5000</v>
      </c>
      <c r="X458" t="s">
        <v>823</v>
      </c>
      <c r="Y458" t="s">
        <v>836</v>
      </c>
      <c r="Z458" t="s">
        <v>828</v>
      </c>
      <c r="AA458">
        <v>7</v>
      </c>
      <c r="AB458">
        <v>6</v>
      </c>
      <c r="AC458">
        <v>76</v>
      </c>
      <c r="AD458">
        <v>4</v>
      </c>
      <c r="AE458">
        <v>820</v>
      </c>
      <c r="AF458">
        <v>4952</v>
      </c>
      <c r="AG458">
        <v>650</v>
      </c>
      <c r="AH458">
        <v>4128</v>
      </c>
      <c r="AI458">
        <v>6</v>
      </c>
      <c r="AJ458">
        <v>87</v>
      </c>
      <c r="AK458">
        <v>1648</v>
      </c>
      <c r="AL458">
        <v>3609</v>
      </c>
      <c r="AM458">
        <v>13</v>
      </c>
      <c r="AN458">
        <v>904</v>
      </c>
      <c r="AO458" t="s">
        <v>826</v>
      </c>
    </row>
    <row r="459" spans="1:41">
      <c r="A459">
        <v>451</v>
      </c>
      <c r="B459" s="2">
        <v>45296.6228125</v>
      </c>
      <c r="C459">
        <v>660.311</v>
      </c>
      <c r="D459" t="s">
        <v>821</v>
      </c>
      <c r="E459" t="s">
        <v>822</v>
      </c>
      <c r="F459">
        <v>17</v>
      </c>
      <c r="G459">
        <f t="shared" si="7"/>
        <v>0</v>
      </c>
      <c r="H459">
        <v>1</v>
      </c>
      <c r="I459">
        <v>813</v>
      </c>
      <c r="J459">
        <v>4952</v>
      </c>
      <c r="K459">
        <v>27560</v>
      </c>
      <c r="L459" s="1">
        <v>-12495</v>
      </c>
      <c r="M459">
        <v>-12496</v>
      </c>
      <c r="N459">
        <v>46</v>
      </c>
      <c r="O459">
        <v>4</v>
      </c>
      <c r="P459">
        <v>65535</v>
      </c>
      <c r="Q459">
        <v>2825</v>
      </c>
      <c r="R459">
        <v>-32767</v>
      </c>
      <c r="S459">
        <v>40.4</v>
      </c>
      <c r="T459">
        <v>15</v>
      </c>
      <c r="U459">
        <v>100</v>
      </c>
      <c r="V459">
        <v>34000</v>
      </c>
      <c r="W459">
        <v>5000</v>
      </c>
      <c r="X459" t="s">
        <v>823</v>
      </c>
      <c r="Y459" t="s">
        <v>836</v>
      </c>
      <c r="Z459" t="s">
        <v>828</v>
      </c>
      <c r="AA459">
        <v>7</v>
      </c>
      <c r="AB459">
        <v>6</v>
      </c>
      <c r="AC459">
        <v>76</v>
      </c>
      <c r="AD459">
        <v>4</v>
      </c>
      <c r="AE459">
        <v>813</v>
      </c>
      <c r="AF459">
        <v>4952</v>
      </c>
      <c r="AG459">
        <v>652</v>
      </c>
      <c r="AH459">
        <v>4135</v>
      </c>
      <c r="AI459">
        <v>6</v>
      </c>
      <c r="AJ459">
        <v>87</v>
      </c>
      <c r="AK459">
        <v>1648</v>
      </c>
      <c r="AL459">
        <v>3616</v>
      </c>
      <c r="AM459">
        <v>13</v>
      </c>
      <c r="AN459">
        <v>910</v>
      </c>
      <c r="AO459" t="s">
        <v>826</v>
      </c>
    </row>
    <row r="460" spans="1:41">
      <c r="A460">
        <v>452</v>
      </c>
      <c r="B460" s="2">
        <v>45296.6228240741</v>
      </c>
      <c r="C460">
        <v>661.261</v>
      </c>
      <c r="D460" t="s">
        <v>821</v>
      </c>
      <c r="E460" t="s">
        <v>822</v>
      </c>
      <c r="F460">
        <v>17</v>
      </c>
      <c r="G460">
        <f t="shared" si="7"/>
        <v>0</v>
      </c>
      <c r="H460">
        <v>1</v>
      </c>
      <c r="I460">
        <v>809</v>
      </c>
      <c r="J460">
        <v>4952</v>
      </c>
      <c r="K460">
        <v>27560</v>
      </c>
      <c r="L460" s="1">
        <v>-12496</v>
      </c>
      <c r="M460">
        <v>-12496</v>
      </c>
      <c r="N460">
        <v>46</v>
      </c>
      <c r="O460">
        <v>4</v>
      </c>
      <c r="P460">
        <v>65535</v>
      </c>
      <c r="Q460">
        <v>2811</v>
      </c>
      <c r="R460">
        <v>-32767</v>
      </c>
      <c r="S460">
        <v>40.4</v>
      </c>
      <c r="T460">
        <v>15</v>
      </c>
      <c r="U460">
        <v>100</v>
      </c>
      <c r="V460">
        <v>34000</v>
      </c>
      <c r="W460">
        <v>5000</v>
      </c>
      <c r="X460" t="s">
        <v>823</v>
      </c>
      <c r="Y460" t="s">
        <v>836</v>
      </c>
      <c r="Z460" t="s">
        <v>828</v>
      </c>
      <c r="AA460">
        <v>7</v>
      </c>
      <c r="AB460">
        <v>6</v>
      </c>
      <c r="AC460">
        <v>76</v>
      </c>
      <c r="AD460">
        <v>4</v>
      </c>
      <c r="AE460">
        <v>809</v>
      </c>
      <c r="AF460">
        <v>4952</v>
      </c>
      <c r="AG460">
        <v>653</v>
      </c>
      <c r="AH460">
        <v>4139</v>
      </c>
      <c r="AI460">
        <v>6</v>
      </c>
      <c r="AJ460">
        <v>87</v>
      </c>
      <c r="AK460">
        <v>1648</v>
      </c>
      <c r="AL460">
        <v>3620</v>
      </c>
      <c r="AM460">
        <v>13</v>
      </c>
      <c r="AN460">
        <v>905</v>
      </c>
      <c r="AO460" t="s">
        <v>826</v>
      </c>
    </row>
    <row r="461" spans="1:41">
      <c r="A461">
        <v>453</v>
      </c>
      <c r="B461" s="2">
        <v>45296.6228356482</v>
      </c>
      <c r="C461">
        <v>662.219</v>
      </c>
      <c r="D461" t="s">
        <v>821</v>
      </c>
      <c r="E461" t="s">
        <v>822</v>
      </c>
      <c r="F461">
        <v>17</v>
      </c>
      <c r="G461">
        <f t="shared" si="7"/>
        <v>0</v>
      </c>
      <c r="H461">
        <v>1</v>
      </c>
      <c r="I461">
        <v>806</v>
      </c>
      <c r="J461">
        <v>4952</v>
      </c>
      <c r="K461">
        <v>27552</v>
      </c>
      <c r="L461" s="1">
        <v>-12496</v>
      </c>
      <c r="M461">
        <v>-12496</v>
      </c>
      <c r="N461">
        <v>46</v>
      </c>
      <c r="O461">
        <v>4</v>
      </c>
      <c r="P461">
        <v>65535</v>
      </c>
      <c r="Q461">
        <v>2801</v>
      </c>
      <c r="R461">
        <v>-32767</v>
      </c>
      <c r="S461">
        <v>40.4</v>
      </c>
      <c r="T461">
        <v>15</v>
      </c>
      <c r="U461">
        <v>100</v>
      </c>
      <c r="V461">
        <v>34000</v>
      </c>
      <c r="W461">
        <v>5000</v>
      </c>
      <c r="X461" t="s">
        <v>823</v>
      </c>
      <c r="Y461" t="s">
        <v>836</v>
      </c>
      <c r="Z461" t="s">
        <v>828</v>
      </c>
      <c r="AA461">
        <v>7</v>
      </c>
      <c r="AB461">
        <v>6</v>
      </c>
      <c r="AC461">
        <v>76</v>
      </c>
      <c r="AD461">
        <v>4</v>
      </c>
      <c r="AE461">
        <v>806</v>
      </c>
      <c r="AF461">
        <v>4952</v>
      </c>
      <c r="AG461">
        <v>654</v>
      </c>
      <c r="AH461">
        <v>4142</v>
      </c>
      <c r="AI461">
        <v>6</v>
      </c>
      <c r="AJ461">
        <v>87</v>
      </c>
      <c r="AK461">
        <v>1648</v>
      </c>
      <c r="AL461">
        <v>3623</v>
      </c>
      <c r="AM461">
        <v>13</v>
      </c>
      <c r="AN461">
        <v>911</v>
      </c>
      <c r="AO461" t="s">
        <v>826</v>
      </c>
    </row>
    <row r="462" spans="1:41">
      <c r="A462">
        <v>454</v>
      </c>
      <c r="B462" s="2">
        <v>45296.6228587963</v>
      </c>
      <c r="C462">
        <v>664.595</v>
      </c>
      <c r="D462" t="s">
        <v>821</v>
      </c>
      <c r="E462" t="s">
        <v>822</v>
      </c>
      <c r="F462">
        <v>17</v>
      </c>
      <c r="G462">
        <f t="shared" si="7"/>
        <v>0</v>
      </c>
      <c r="H462">
        <v>1</v>
      </c>
      <c r="I462">
        <v>799</v>
      </c>
      <c r="J462">
        <v>4952</v>
      </c>
      <c r="K462">
        <v>27552</v>
      </c>
      <c r="L462" s="1">
        <v>-12496</v>
      </c>
      <c r="M462">
        <v>-12496</v>
      </c>
      <c r="N462">
        <v>46.1</v>
      </c>
      <c r="O462">
        <v>4</v>
      </c>
      <c r="P462">
        <v>65535</v>
      </c>
      <c r="Q462">
        <v>2777</v>
      </c>
      <c r="R462">
        <v>-32767</v>
      </c>
      <c r="S462">
        <v>40.4</v>
      </c>
      <c r="T462">
        <v>15</v>
      </c>
      <c r="U462">
        <v>100</v>
      </c>
      <c r="V462">
        <v>34000</v>
      </c>
      <c r="W462">
        <v>5000</v>
      </c>
      <c r="X462" t="s">
        <v>823</v>
      </c>
      <c r="Y462" t="s">
        <v>836</v>
      </c>
      <c r="Z462" t="s">
        <v>828</v>
      </c>
      <c r="AA462">
        <v>7</v>
      </c>
      <c r="AB462">
        <v>6</v>
      </c>
      <c r="AC462">
        <v>76</v>
      </c>
      <c r="AD462">
        <v>4</v>
      </c>
      <c r="AE462">
        <v>799</v>
      </c>
      <c r="AF462">
        <v>4952</v>
      </c>
      <c r="AG462">
        <v>657</v>
      </c>
      <c r="AH462">
        <v>4153</v>
      </c>
      <c r="AI462">
        <v>6</v>
      </c>
      <c r="AJ462">
        <v>87</v>
      </c>
      <c r="AK462">
        <v>1648</v>
      </c>
      <c r="AL462">
        <v>3634</v>
      </c>
      <c r="AM462">
        <v>13</v>
      </c>
      <c r="AN462">
        <v>908</v>
      </c>
      <c r="AO462" t="s">
        <v>826</v>
      </c>
    </row>
    <row r="463" spans="1:41">
      <c r="A463">
        <v>455</v>
      </c>
      <c r="B463" s="2">
        <v>45296.6228703704</v>
      </c>
      <c r="C463">
        <v>665.544</v>
      </c>
      <c r="D463" t="s">
        <v>821</v>
      </c>
      <c r="E463" t="s">
        <v>822</v>
      </c>
      <c r="F463">
        <v>17</v>
      </c>
      <c r="G463">
        <f t="shared" si="7"/>
        <v>0</v>
      </c>
      <c r="H463">
        <v>1</v>
      </c>
      <c r="I463">
        <v>795</v>
      </c>
      <c r="J463">
        <v>4952</v>
      </c>
      <c r="K463">
        <v>27544</v>
      </c>
      <c r="L463" s="1">
        <v>-12496</v>
      </c>
      <c r="M463">
        <v>-12496</v>
      </c>
      <c r="N463">
        <v>46.1</v>
      </c>
      <c r="O463">
        <v>4</v>
      </c>
      <c r="P463">
        <v>65535</v>
      </c>
      <c r="Q463">
        <v>2763</v>
      </c>
      <c r="R463">
        <v>-32767</v>
      </c>
      <c r="S463">
        <v>40.4</v>
      </c>
      <c r="T463">
        <v>15</v>
      </c>
      <c r="U463">
        <v>100</v>
      </c>
      <c r="V463">
        <v>34000</v>
      </c>
      <c r="W463">
        <v>5000</v>
      </c>
      <c r="X463" t="s">
        <v>823</v>
      </c>
      <c r="Y463" t="s">
        <v>836</v>
      </c>
      <c r="Z463" t="s">
        <v>828</v>
      </c>
      <c r="AA463">
        <v>7</v>
      </c>
      <c r="AB463">
        <v>6</v>
      </c>
      <c r="AC463">
        <v>76</v>
      </c>
      <c r="AD463">
        <v>4</v>
      </c>
      <c r="AE463">
        <v>795</v>
      </c>
      <c r="AF463">
        <v>4952</v>
      </c>
      <c r="AG463">
        <v>657</v>
      </c>
      <c r="AH463">
        <v>4153</v>
      </c>
      <c r="AI463">
        <v>6</v>
      </c>
      <c r="AJ463">
        <v>87</v>
      </c>
      <c r="AK463">
        <v>1648</v>
      </c>
      <c r="AL463">
        <v>3637</v>
      </c>
      <c r="AM463">
        <v>13</v>
      </c>
      <c r="AN463">
        <v>931</v>
      </c>
      <c r="AO463" t="s">
        <v>826</v>
      </c>
    </row>
    <row r="464" spans="1:41">
      <c r="A464">
        <v>456</v>
      </c>
      <c r="B464" s="2">
        <v>45296.6228819444</v>
      </c>
      <c r="C464">
        <v>666.509</v>
      </c>
      <c r="D464" t="s">
        <v>821</v>
      </c>
      <c r="E464" t="s">
        <v>822</v>
      </c>
      <c r="F464">
        <v>16</v>
      </c>
      <c r="G464">
        <f t="shared" si="7"/>
        <v>1</v>
      </c>
      <c r="H464">
        <v>1</v>
      </c>
      <c r="I464">
        <v>792</v>
      </c>
      <c r="J464">
        <v>4952</v>
      </c>
      <c r="K464">
        <v>27544</v>
      </c>
      <c r="L464" s="1">
        <v>-12495</v>
      </c>
      <c r="M464">
        <v>-12496</v>
      </c>
      <c r="N464">
        <v>46.1</v>
      </c>
      <c r="O464">
        <v>4</v>
      </c>
      <c r="P464">
        <v>65535</v>
      </c>
      <c r="Q464">
        <v>2753</v>
      </c>
      <c r="R464">
        <v>-32767</v>
      </c>
      <c r="S464">
        <v>40.4</v>
      </c>
      <c r="T464">
        <v>15</v>
      </c>
      <c r="U464">
        <v>100</v>
      </c>
      <c r="V464">
        <v>34000</v>
      </c>
      <c r="W464">
        <v>5000</v>
      </c>
      <c r="X464" t="s">
        <v>823</v>
      </c>
      <c r="Y464" t="s">
        <v>836</v>
      </c>
      <c r="Z464" t="s">
        <v>828</v>
      </c>
      <c r="AA464">
        <v>7</v>
      </c>
      <c r="AB464">
        <v>6</v>
      </c>
      <c r="AC464">
        <v>76</v>
      </c>
      <c r="AD464">
        <v>4</v>
      </c>
      <c r="AE464">
        <v>792</v>
      </c>
      <c r="AF464">
        <v>4952</v>
      </c>
      <c r="AG464">
        <v>658</v>
      </c>
      <c r="AH464">
        <v>4156</v>
      </c>
      <c r="AI464">
        <v>6</v>
      </c>
      <c r="AJ464">
        <v>87</v>
      </c>
      <c r="AK464">
        <v>1648</v>
      </c>
      <c r="AL464">
        <v>3641</v>
      </c>
      <c r="AM464">
        <v>13</v>
      </c>
      <c r="AN464">
        <v>918</v>
      </c>
      <c r="AO464" t="s">
        <v>826</v>
      </c>
    </row>
    <row r="465" spans="1:41">
      <c r="A465">
        <v>457</v>
      </c>
      <c r="B465" s="2">
        <v>45296.6229050926</v>
      </c>
      <c r="C465">
        <v>668.882</v>
      </c>
      <c r="D465" t="s">
        <v>821</v>
      </c>
      <c r="E465" t="s">
        <v>822</v>
      </c>
      <c r="F465">
        <v>16</v>
      </c>
      <c r="G465">
        <f t="shared" si="7"/>
        <v>0</v>
      </c>
      <c r="H465">
        <v>1</v>
      </c>
      <c r="I465">
        <v>785</v>
      </c>
      <c r="J465">
        <v>4952</v>
      </c>
      <c r="K465">
        <v>27536</v>
      </c>
      <c r="L465" s="1">
        <v>-12495</v>
      </c>
      <c r="M465">
        <v>-12496</v>
      </c>
      <c r="N465">
        <v>46.1</v>
      </c>
      <c r="O465">
        <v>4</v>
      </c>
      <c r="P465">
        <v>65535</v>
      </c>
      <c r="Q465">
        <v>2715</v>
      </c>
      <c r="R465">
        <v>-32767</v>
      </c>
      <c r="S465">
        <v>40.5</v>
      </c>
      <c r="T465">
        <v>15</v>
      </c>
      <c r="U465">
        <v>100</v>
      </c>
      <c r="V465">
        <v>34000</v>
      </c>
      <c r="W465">
        <v>5000</v>
      </c>
      <c r="X465" t="s">
        <v>823</v>
      </c>
      <c r="Y465" t="s">
        <v>836</v>
      </c>
      <c r="Z465" t="s">
        <v>828</v>
      </c>
      <c r="AA465">
        <v>7</v>
      </c>
      <c r="AB465">
        <v>6</v>
      </c>
      <c r="AC465">
        <v>76</v>
      </c>
      <c r="AD465">
        <v>4</v>
      </c>
      <c r="AE465">
        <v>781</v>
      </c>
      <c r="AF465">
        <v>4952</v>
      </c>
      <c r="AG465">
        <v>661</v>
      </c>
      <c r="AH465">
        <v>4167</v>
      </c>
      <c r="AI465">
        <v>6</v>
      </c>
      <c r="AJ465">
        <v>87</v>
      </c>
      <c r="AK465">
        <v>1648</v>
      </c>
      <c r="AL465">
        <v>3648</v>
      </c>
      <c r="AM465">
        <v>13</v>
      </c>
      <c r="AN465">
        <v>907</v>
      </c>
      <c r="AO465" t="s">
        <v>826</v>
      </c>
    </row>
    <row r="466" spans="1:41">
      <c r="A466">
        <v>458</v>
      </c>
      <c r="B466" s="2">
        <v>45296.6229166667</v>
      </c>
      <c r="C466">
        <v>669.824</v>
      </c>
      <c r="D466" t="s">
        <v>821</v>
      </c>
      <c r="E466" t="s">
        <v>822</v>
      </c>
      <c r="F466">
        <v>16</v>
      </c>
      <c r="G466">
        <f t="shared" si="7"/>
        <v>0</v>
      </c>
      <c r="H466">
        <v>1</v>
      </c>
      <c r="I466">
        <v>781</v>
      </c>
      <c r="J466">
        <v>4952</v>
      </c>
      <c r="K466">
        <v>27528</v>
      </c>
      <c r="L466" s="1">
        <v>-12496</v>
      </c>
      <c r="M466">
        <v>-12496</v>
      </c>
      <c r="N466">
        <v>46.1</v>
      </c>
      <c r="O466">
        <v>4</v>
      </c>
      <c r="P466">
        <v>65535</v>
      </c>
      <c r="Q466">
        <v>2715</v>
      </c>
      <c r="R466">
        <v>-32767</v>
      </c>
      <c r="S466">
        <v>40.5</v>
      </c>
      <c r="T466">
        <v>15</v>
      </c>
      <c r="U466">
        <v>100</v>
      </c>
      <c r="V466">
        <v>34000</v>
      </c>
      <c r="W466">
        <v>5000</v>
      </c>
      <c r="X466" t="s">
        <v>823</v>
      </c>
      <c r="Y466" t="s">
        <v>836</v>
      </c>
      <c r="Z466" t="s">
        <v>828</v>
      </c>
      <c r="AA466">
        <v>7</v>
      </c>
      <c r="AB466">
        <v>6</v>
      </c>
      <c r="AC466">
        <v>76</v>
      </c>
      <c r="AD466">
        <v>4</v>
      </c>
      <c r="AE466">
        <v>778</v>
      </c>
      <c r="AF466">
        <v>4952</v>
      </c>
      <c r="AG466">
        <v>662</v>
      </c>
      <c r="AH466">
        <v>4170</v>
      </c>
      <c r="AI466">
        <v>6</v>
      </c>
      <c r="AJ466">
        <v>87</v>
      </c>
      <c r="AK466">
        <v>1648</v>
      </c>
      <c r="AL466">
        <v>3651</v>
      </c>
      <c r="AM466">
        <v>13</v>
      </c>
      <c r="AN466">
        <v>901</v>
      </c>
      <c r="AO466" t="s">
        <v>826</v>
      </c>
    </row>
    <row r="467" spans="1:41">
      <c r="A467">
        <v>459</v>
      </c>
      <c r="B467" s="2">
        <v>45296.6229282407</v>
      </c>
      <c r="C467">
        <v>670.764</v>
      </c>
      <c r="D467" t="s">
        <v>821</v>
      </c>
      <c r="E467" t="s">
        <v>822</v>
      </c>
      <c r="F467">
        <v>16</v>
      </c>
      <c r="G467">
        <f t="shared" si="7"/>
        <v>0</v>
      </c>
      <c r="H467">
        <v>1</v>
      </c>
      <c r="I467">
        <v>778</v>
      </c>
      <c r="J467">
        <v>4952</v>
      </c>
      <c r="K467">
        <v>27528</v>
      </c>
      <c r="L467" s="1">
        <v>-12496</v>
      </c>
      <c r="M467">
        <v>-12496</v>
      </c>
      <c r="N467">
        <v>46.1</v>
      </c>
      <c r="O467">
        <v>4</v>
      </c>
      <c r="P467">
        <v>65535</v>
      </c>
      <c r="Q467">
        <v>2705</v>
      </c>
      <c r="R467">
        <v>-32767</v>
      </c>
      <c r="S467">
        <v>40.5</v>
      </c>
      <c r="T467">
        <v>15</v>
      </c>
      <c r="U467">
        <v>100</v>
      </c>
      <c r="V467">
        <v>34000</v>
      </c>
      <c r="W467">
        <v>5000</v>
      </c>
      <c r="X467" t="s">
        <v>823</v>
      </c>
      <c r="Y467" t="s">
        <v>836</v>
      </c>
      <c r="Z467" t="s">
        <v>828</v>
      </c>
      <c r="AA467">
        <v>7</v>
      </c>
      <c r="AB467">
        <v>6</v>
      </c>
      <c r="AC467">
        <v>76</v>
      </c>
      <c r="AD467">
        <v>4</v>
      </c>
      <c r="AE467">
        <v>774</v>
      </c>
      <c r="AF467">
        <v>4952</v>
      </c>
      <c r="AG467">
        <v>663</v>
      </c>
      <c r="AH467">
        <v>4174</v>
      </c>
      <c r="AI467">
        <v>6</v>
      </c>
      <c r="AJ467">
        <v>87</v>
      </c>
      <c r="AK467">
        <v>1648</v>
      </c>
      <c r="AL467">
        <v>3655</v>
      </c>
      <c r="AM467">
        <v>13</v>
      </c>
      <c r="AN467">
        <v>930</v>
      </c>
      <c r="AO467" t="s">
        <v>826</v>
      </c>
    </row>
    <row r="468" spans="1:41">
      <c r="A468">
        <v>460</v>
      </c>
      <c r="B468" s="2">
        <v>45296.622962963</v>
      </c>
      <c r="C468">
        <v>673.154</v>
      </c>
      <c r="D468" t="s">
        <v>821</v>
      </c>
      <c r="E468" t="s">
        <v>822</v>
      </c>
      <c r="F468">
        <v>16</v>
      </c>
      <c r="G468">
        <f t="shared" si="7"/>
        <v>0</v>
      </c>
      <c r="H468">
        <v>1</v>
      </c>
      <c r="I468">
        <v>767</v>
      </c>
      <c r="J468">
        <v>4952</v>
      </c>
      <c r="K468">
        <v>27520</v>
      </c>
      <c r="L468" s="1">
        <v>-12496</v>
      </c>
      <c r="M468">
        <v>-12496</v>
      </c>
      <c r="N468">
        <v>46.2</v>
      </c>
      <c r="O468">
        <v>4</v>
      </c>
      <c r="P468">
        <v>65535</v>
      </c>
      <c r="Q468">
        <v>2667</v>
      </c>
      <c r="R468">
        <v>-32767</v>
      </c>
      <c r="S468">
        <v>40.5</v>
      </c>
      <c r="T468">
        <v>15</v>
      </c>
      <c r="U468">
        <v>100</v>
      </c>
      <c r="V468">
        <v>34000</v>
      </c>
      <c r="W468">
        <v>5000</v>
      </c>
      <c r="X468" t="s">
        <v>823</v>
      </c>
      <c r="Y468" t="s">
        <v>836</v>
      </c>
      <c r="Z468" t="s">
        <v>828</v>
      </c>
      <c r="AA468">
        <v>7</v>
      </c>
      <c r="AB468">
        <v>6</v>
      </c>
      <c r="AC468">
        <v>76</v>
      </c>
      <c r="AD468">
        <v>4</v>
      </c>
      <c r="AE468">
        <v>767</v>
      </c>
      <c r="AF468">
        <v>4952</v>
      </c>
      <c r="AG468">
        <v>665</v>
      </c>
      <c r="AH468">
        <v>4181</v>
      </c>
      <c r="AI468">
        <v>6</v>
      </c>
      <c r="AJ468">
        <v>87</v>
      </c>
      <c r="AK468">
        <v>1648</v>
      </c>
      <c r="AL468">
        <v>3662</v>
      </c>
      <c r="AM468">
        <v>13</v>
      </c>
      <c r="AN468">
        <v>913</v>
      </c>
      <c r="AO468" t="s">
        <v>826</v>
      </c>
    </row>
    <row r="469" spans="1:41">
      <c r="A469">
        <v>461</v>
      </c>
      <c r="B469" s="2">
        <v>45296.622974537</v>
      </c>
      <c r="C469">
        <v>674.104</v>
      </c>
      <c r="D469" t="s">
        <v>821</v>
      </c>
      <c r="E469" t="s">
        <v>822</v>
      </c>
      <c r="F469">
        <v>16</v>
      </c>
      <c r="G469">
        <f t="shared" si="7"/>
        <v>0</v>
      </c>
      <c r="H469">
        <v>1</v>
      </c>
      <c r="I469">
        <v>764</v>
      </c>
      <c r="J469">
        <v>4952</v>
      </c>
      <c r="K469">
        <v>27512</v>
      </c>
      <c r="L469" s="1">
        <v>-12496</v>
      </c>
      <c r="M469">
        <v>-12496</v>
      </c>
      <c r="N469">
        <v>46.2</v>
      </c>
      <c r="O469">
        <v>4</v>
      </c>
      <c r="P469">
        <v>65535</v>
      </c>
      <c r="Q469">
        <v>2656</v>
      </c>
      <c r="R469">
        <v>-32767</v>
      </c>
      <c r="S469">
        <v>40.5</v>
      </c>
      <c r="T469">
        <v>15</v>
      </c>
      <c r="U469">
        <v>100</v>
      </c>
      <c r="V469">
        <v>34000</v>
      </c>
      <c r="W469">
        <v>5000</v>
      </c>
      <c r="X469" t="s">
        <v>823</v>
      </c>
      <c r="Y469" t="s">
        <v>836</v>
      </c>
      <c r="Z469" t="s">
        <v>828</v>
      </c>
      <c r="AA469">
        <v>7</v>
      </c>
      <c r="AB469">
        <v>6</v>
      </c>
      <c r="AC469">
        <v>76</v>
      </c>
      <c r="AD469">
        <v>4</v>
      </c>
      <c r="AE469">
        <v>764</v>
      </c>
      <c r="AF469">
        <v>4952</v>
      </c>
      <c r="AG469">
        <v>666</v>
      </c>
      <c r="AH469">
        <v>4184</v>
      </c>
      <c r="AI469">
        <v>6</v>
      </c>
      <c r="AJ469">
        <v>87</v>
      </c>
      <c r="AK469">
        <v>1648</v>
      </c>
      <c r="AL469">
        <v>3665</v>
      </c>
      <c r="AM469">
        <v>13</v>
      </c>
      <c r="AN469">
        <v>902</v>
      </c>
      <c r="AO469" t="s">
        <v>826</v>
      </c>
    </row>
    <row r="470" spans="1:41">
      <c r="A470">
        <v>462</v>
      </c>
      <c r="B470" s="2">
        <v>45296.6229976852</v>
      </c>
      <c r="C470">
        <v>676.449</v>
      </c>
      <c r="D470" t="s">
        <v>821</v>
      </c>
      <c r="E470" t="s">
        <v>822</v>
      </c>
      <c r="F470">
        <v>16</v>
      </c>
      <c r="G470">
        <f t="shared" si="7"/>
        <v>0</v>
      </c>
      <c r="H470">
        <v>1</v>
      </c>
      <c r="I470">
        <v>757</v>
      </c>
      <c r="J470">
        <v>4952</v>
      </c>
      <c r="K470">
        <v>27504</v>
      </c>
      <c r="L470" s="1">
        <v>-12496</v>
      </c>
      <c r="M470">
        <v>-12496</v>
      </c>
      <c r="N470">
        <v>46.2</v>
      </c>
      <c r="O470">
        <v>4</v>
      </c>
      <c r="P470">
        <v>65535</v>
      </c>
      <c r="Q470">
        <v>2632</v>
      </c>
      <c r="R470">
        <v>-32767</v>
      </c>
      <c r="S470">
        <v>40.6</v>
      </c>
      <c r="T470">
        <v>15</v>
      </c>
      <c r="U470">
        <v>100</v>
      </c>
      <c r="V470">
        <v>34000</v>
      </c>
      <c r="W470">
        <v>5000</v>
      </c>
      <c r="X470" t="s">
        <v>823</v>
      </c>
      <c r="Y470" t="s">
        <v>836</v>
      </c>
      <c r="Z470" t="s">
        <v>828</v>
      </c>
      <c r="AA470">
        <v>7</v>
      </c>
      <c r="AB470">
        <v>6</v>
      </c>
      <c r="AC470">
        <v>76</v>
      </c>
      <c r="AD470">
        <v>4</v>
      </c>
      <c r="AE470">
        <v>757</v>
      </c>
      <c r="AF470">
        <v>4952</v>
      </c>
      <c r="AG470">
        <v>668</v>
      </c>
      <c r="AH470">
        <v>4191</v>
      </c>
      <c r="AI470">
        <v>6</v>
      </c>
      <c r="AJ470">
        <v>87</v>
      </c>
      <c r="AK470">
        <v>1648</v>
      </c>
      <c r="AL470">
        <v>3672</v>
      </c>
      <c r="AM470">
        <v>13</v>
      </c>
      <c r="AN470">
        <v>900</v>
      </c>
      <c r="AO470" t="s">
        <v>826</v>
      </c>
    </row>
    <row r="471" spans="1:41">
      <c r="A471">
        <v>463</v>
      </c>
      <c r="B471" s="2">
        <v>45296.6230092593</v>
      </c>
      <c r="C471">
        <v>677.393</v>
      </c>
      <c r="D471" t="s">
        <v>821</v>
      </c>
      <c r="E471" t="s">
        <v>822</v>
      </c>
      <c r="F471">
        <v>16</v>
      </c>
      <c r="G471">
        <f t="shared" si="7"/>
        <v>0</v>
      </c>
      <c r="H471">
        <v>1</v>
      </c>
      <c r="I471">
        <v>754</v>
      </c>
      <c r="J471">
        <v>4952</v>
      </c>
      <c r="K471">
        <v>27504</v>
      </c>
      <c r="L471" s="1">
        <v>-12496</v>
      </c>
      <c r="M471">
        <v>-12496</v>
      </c>
      <c r="N471">
        <v>46.2</v>
      </c>
      <c r="O471">
        <v>4</v>
      </c>
      <c r="P471">
        <v>65535</v>
      </c>
      <c r="Q471">
        <v>2622</v>
      </c>
      <c r="R471">
        <v>-32767</v>
      </c>
      <c r="S471">
        <v>40.6</v>
      </c>
      <c r="T471">
        <v>15</v>
      </c>
      <c r="U471">
        <v>100</v>
      </c>
      <c r="V471">
        <v>34000</v>
      </c>
      <c r="W471">
        <v>5000</v>
      </c>
      <c r="X471" t="s">
        <v>823</v>
      </c>
      <c r="Y471" t="s">
        <v>836</v>
      </c>
      <c r="Z471" t="s">
        <v>828</v>
      </c>
      <c r="AA471">
        <v>7</v>
      </c>
      <c r="AB471">
        <v>6</v>
      </c>
      <c r="AC471">
        <v>76</v>
      </c>
      <c r="AD471">
        <v>4</v>
      </c>
      <c r="AE471">
        <v>754</v>
      </c>
      <c r="AF471">
        <v>4952</v>
      </c>
      <c r="AG471">
        <v>669</v>
      </c>
      <c r="AH471">
        <v>4194</v>
      </c>
      <c r="AI471">
        <v>6</v>
      </c>
      <c r="AJ471">
        <v>87</v>
      </c>
      <c r="AK471">
        <v>1648</v>
      </c>
      <c r="AL471">
        <v>3675</v>
      </c>
      <c r="AM471">
        <v>13</v>
      </c>
      <c r="AN471">
        <v>909</v>
      </c>
      <c r="AO471" t="s">
        <v>826</v>
      </c>
    </row>
    <row r="472" spans="1:41">
      <c r="A472">
        <v>464</v>
      </c>
      <c r="B472" s="2">
        <v>45296.6230208333</v>
      </c>
      <c r="C472">
        <v>678.345</v>
      </c>
      <c r="D472" t="s">
        <v>821</v>
      </c>
      <c r="E472" t="s">
        <v>822</v>
      </c>
      <c r="F472">
        <v>16</v>
      </c>
      <c r="G472">
        <f t="shared" si="7"/>
        <v>0</v>
      </c>
      <c r="H472">
        <v>1</v>
      </c>
      <c r="I472">
        <v>750</v>
      </c>
      <c r="J472">
        <v>4952</v>
      </c>
      <c r="K472">
        <v>27504</v>
      </c>
      <c r="L472" s="1">
        <v>-12496</v>
      </c>
      <c r="M472">
        <v>-12496</v>
      </c>
      <c r="N472">
        <v>46.2</v>
      </c>
      <c r="O472">
        <v>4</v>
      </c>
      <c r="P472">
        <v>65535</v>
      </c>
      <c r="Q472">
        <v>2608</v>
      </c>
      <c r="R472">
        <v>-32767</v>
      </c>
      <c r="S472">
        <v>40.6</v>
      </c>
      <c r="T472">
        <v>15</v>
      </c>
      <c r="U472">
        <v>100</v>
      </c>
      <c r="V472">
        <v>34000</v>
      </c>
      <c r="W472">
        <v>5000</v>
      </c>
      <c r="X472" t="s">
        <v>823</v>
      </c>
      <c r="Y472" t="s">
        <v>836</v>
      </c>
      <c r="Z472" t="s">
        <v>828</v>
      </c>
      <c r="AA472">
        <v>8</v>
      </c>
      <c r="AB472">
        <v>6</v>
      </c>
      <c r="AC472">
        <v>76</v>
      </c>
      <c r="AD472">
        <v>4</v>
      </c>
      <c r="AE472">
        <v>750</v>
      </c>
      <c r="AF472">
        <v>4952</v>
      </c>
      <c r="AG472">
        <v>670</v>
      </c>
      <c r="AH472">
        <v>4198</v>
      </c>
      <c r="AI472">
        <v>6</v>
      </c>
      <c r="AJ472">
        <v>87</v>
      </c>
      <c r="AK472">
        <v>1648</v>
      </c>
      <c r="AL472">
        <v>3679</v>
      </c>
      <c r="AM472">
        <v>13</v>
      </c>
      <c r="AN472">
        <v>912</v>
      </c>
      <c r="AO472" t="s">
        <v>826</v>
      </c>
    </row>
    <row r="473" spans="1:41">
      <c r="A473">
        <v>465</v>
      </c>
      <c r="B473" s="2">
        <v>45296.6230439815</v>
      </c>
      <c r="C473">
        <v>680.703</v>
      </c>
      <c r="D473" t="s">
        <v>821</v>
      </c>
      <c r="E473" t="s">
        <v>822</v>
      </c>
      <c r="F473">
        <v>16</v>
      </c>
      <c r="G473">
        <f t="shared" si="7"/>
        <v>0</v>
      </c>
      <c r="H473">
        <v>1</v>
      </c>
      <c r="I473">
        <v>747</v>
      </c>
      <c r="J473">
        <v>4956</v>
      </c>
      <c r="K473">
        <v>27496</v>
      </c>
      <c r="L473" s="1">
        <v>-12496</v>
      </c>
      <c r="M473">
        <v>-12496</v>
      </c>
      <c r="N473">
        <v>46.2</v>
      </c>
      <c r="O473">
        <v>4</v>
      </c>
      <c r="P473">
        <v>65535</v>
      </c>
      <c r="Q473">
        <v>2536</v>
      </c>
      <c r="R473">
        <v>-32767</v>
      </c>
      <c r="S473">
        <v>40.6</v>
      </c>
      <c r="T473">
        <v>15</v>
      </c>
      <c r="U473">
        <v>100</v>
      </c>
      <c r="V473">
        <v>34000</v>
      </c>
      <c r="W473">
        <v>5000</v>
      </c>
      <c r="X473" t="s">
        <v>823</v>
      </c>
      <c r="Y473" t="s">
        <v>836</v>
      </c>
      <c r="Z473" t="s">
        <v>828</v>
      </c>
      <c r="AA473">
        <v>8</v>
      </c>
      <c r="AB473">
        <v>6</v>
      </c>
      <c r="AC473">
        <v>76</v>
      </c>
      <c r="AD473">
        <v>4</v>
      </c>
      <c r="AE473">
        <v>744</v>
      </c>
      <c r="AF473">
        <v>4956</v>
      </c>
      <c r="AG473">
        <v>673</v>
      </c>
      <c r="AH473">
        <v>4208</v>
      </c>
      <c r="AI473">
        <v>6</v>
      </c>
      <c r="AJ473">
        <v>87</v>
      </c>
      <c r="AK473">
        <v>1648</v>
      </c>
      <c r="AL473">
        <v>3689</v>
      </c>
      <c r="AM473">
        <v>13</v>
      </c>
      <c r="AN473">
        <v>909</v>
      </c>
      <c r="AO473" t="s">
        <v>826</v>
      </c>
    </row>
    <row r="474" spans="1:41">
      <c r="A474">
        <v>466</v>
      </c>
      <c r="B474" s="2">
        <v>45296.6230555556</v>
      </c>
      <c r="C474">
        <v>681.652</v>
      </c>
      <c r="D474" t="s">
        <v>821</v>
      </c>
      <c r="E474" t="s">
        <v>822</v>
      </c>
      <c r="F474">
        <v>16</v>
      </c>
      <c r="G474">
        <f t="shared" si="7"/>
        <v>0</v>
      </c>
      <c r="H474">
        <v>1</v>
      </c>
      <c r="I474">
        <v>744</v>
      </c>
      <c r="J474">
        <v>4956</v>
      </c>
      <c r="K474">
        <v>27496</v>
      </c>
      <c r="L474" s="1">
        <v>-12496</v>
      </c>
      <c r="M474">
        <v>-12496</v>
      </c>
      <c r="N474">
        <v>46.3</v>
      </c>
      <c r="O474">
        <v>4</v>
      </c>
      <c r="P474">
        <v>65535</v>
      </c>
      <c r="Q474">
        <v>2526</v>
      </c>
      <c r="R474">
        <v>-32767</v>
      </c>
      <c r="S474">
        <v>40.6</v>
      </c>
      <c r="T474">
        <v>15</v>
      </c>
      <c r="U474">
        <v>100</v>
      </c>
      <c r="V474">
        <v>34000</v>
      </c>
      <c r="W474">
        <v>5000</v>
      </c>
      <c r="X474" t="s">
        <v>823</v>
      </c>
      <c r="Y474" t="s">
        <v>836</v>
      </c>
      <c r="Z474" t="s">
        <v>828</v>
      </c>
      <c r="AA474">
        <v>8</v>
      </c>
      <c r="AB474">
        <v>6</v>
      </c>
      <c r="AC474">
        <v>76</v>
      </c>
      <c r="AD474">
        <v>4</v>
      </c>
      <c r="AE474">
        <v>740</v>
      </c>
      <c r="AF474">
        <v>4956</v>
      </c>
      <c r="AG474">
        <v>674</v>
      </c>
      <c r="AH474">
        <v>4212</v>
      </c>
      <c r="AI474">
        <v>6</v>
      </c>
      <c r="AJ474">
        <v>87</v>
      </c>
      <c r="AK474">
        <v>1648</v>
      </c>
      <c r="AL474">
        <v>3693</v>
      </c>
      <c r="AM474">
        <v>13</v>
      </c>
      <c r="AN474">
        <v>917</v>
      </c>
      <c r="AO474" t="s">
        <v>826</v>
      </c>
    </row>
    <row r="475" spans="1:41">
      <c r="A475">
        <v>467</v>
      </c>
      <c r="B475" s="2">
        <v>45296.6230671296</v>
      </c>
      <c r="C475">
        <v>682.603</v>
      </c>
      <c r="D475" t="s">
        <v>821</v>
      </c>
      <c r="E475" t="s">
        <v>822</v>
      </c>
      <c r="F475">
        <v>15</v>
      </c>
      <c r="G475">
        <f t="shared" si="7"/>
        <v>1</v>
      </c>
      <c r="H475">
        <v>1</v>
      </c>
      <c r="I475">
        <v>740</v>
      </c>
      <c r="J475">
        <v>4956</v>
      </c>
      <c r="K475">
        <v>27488</v>
      </c>
      <c r="L475" s="1">
        <v>-12496</v>
      </c>
      <c r="M475">
        <v>-12496</v>
      </c>
      <c r="N475">
        <v>46.3</v>
      </c>
      <c r="O475">
        <v>4</v>
      </c>
      <c r="P475">
        <v>65535</v>
      </c>
      <c r="Q475">
        <v>2512</v>
      </c>
      <c r="R475">
        <v>-32767</v>
      </c>
      <c r="S475">
        <v>40.7</v>
      </c>
      <c r="T475">
        <v>15</v>
      </c>
      <c r="U475">
        <v>100</v>
      </c>
      <c r="V475">
        <v>34000</v>
      </c>
      <c r="W475">
        <v>5000</v>
      </c>
      <c r="X475" t="s">
        <v>823</v>
      </c>
      <c r="Y475" t="s">
        <v>836</v>
      </c>
      <c r="Z475" t="s">
        <v>828</v>
      </c>
      <c r="AA475">
        <v>8</v>
      </c>
      <c r="AB475">
        <v>6</v>
      </c>
      <c r="AC475">
        <v>76</v>
      </c>
      <c r="AD475">
        <v>4</v>
      </c>
      <c r="AE475">
        <v>737</v>
      </c>
      <c r="AF475">
        <v>4956</v>
      </c>
      <c r="AG475">
        <v>675</v>
      </c>
      <c r="AH475">
        <v>4215</v>
      </c>
      <c r="AI475">
        <v>6</v>
      </c>
      <c r="AJ475">
        <v>87</v>
      </c>
      <c r="AK475">
        <v>1648</v>
      </c>
      <c r="AL475">
        <v>3696</v>
      </c>
      <c r="AM475">
        <v>13</v>
      </c>
      <c r="AN475">
        <v>903</v>
      </c>
      <c r="AO475" t="s">
        <v>826</v>
      </c>
    </row>
    <row r="476" spans="1:41">
      <c r="A476">
        <v>468</v>
      </c>
      <c r="B476" s="2">
        <v>45296.6231018519</v>
      </c>
      <c r="C476">
        <v>684.958</v>
      </c>
      <c r="D476" t="s">
        <v>821</v>
      </c>
      <c r="E476" t="s">
        <v>822</v>
      </c>
      <c r="F476">
        <v>15</v>
      </c>
      <c r="G476">
        <f t="shared" si="7"/>
        <v>0</v>
      </c>
      <c r="H476">
        <v>1</v>
      </c>
      <c r="I476">
        <v>730</v>
      </c>
      <c r="J476">
        <v>4956</v>
      </c>
      <c r="K476">
        <v>27480</v>
      </c>
      <c r="L476" s="1">
        <v>-12496</v>
      </c>
      <c r="M476">
        <v>-12496</v>
      </c>
      <c r="N476">
        <v>46.3</v>
      </c>
      <c r="O476">
        <v>4</v>
      </c>
      <c r="P476">
        <v>65535</v>
      </c>
      <c r="Q476">
        <v>2478</v>
      </c>
      <c r="R476">
        <v>-32767</v>
      </c>
      <c r="S476">
        <v>40.7</v>
      </c>
      <c r="T476">
        <v>15</v>
      </c>
      <c r="U476">
        <v>100</v>
      </c>
      <c r="V476">
        <v>34000</v>
      </c>
      <c r="W476">
        <v>5000</v>
      </c>
      <c r="X476" t="s">
        <v>823</v>
      </c>
      <c r="Y476" t="s">
        <v>836</v>
      </c>
      <c r="Z476" t="s">
        <v>828</v>
      </c>
      <c r="AA476">
        <v>8</v>
      </c>
      <c r="AB476">
        <v>6</v>
      </c>
      <c r="AC476">
        <v>76</v>
      </c>
      <c r="AD476">
        <v>4</v>
      </c>
      <c r="AE476">
        <v>730</v>
      </c>
      <c r="AF476">
        <v>4956</v>
      </c>
      <c r="AG476">
        <v>677</v>
      </c>
      <c r="AH476">
        <v>4222</v>
      </c>
      <c r="AI476">
        <v>6</v>
      </c>
      <c r="AJ476">
        <v>87</v>
      </c>
      <c r="AK476">
        <v>1648</v>
      </c>
      <c r="AL476">
        <v>3703</v>
      </c>
      <c r="AM476">
        <v>13</v>
      </c>
      <c r="AN476">
        <v>903</v>
      </c>
      <c r="AO476" t="s">
        <v>826</v>
      </c>
    </row>
    <row r="477" spans="1:41">
      <c r="A477">
        <v>469</v>
      </c>
      <c r="B477" s="2">
        <v>45296.6231018519</v>
      </c>
      <c r="C477">
        <v>685.903</v>
      </c>
      <c r="D477" t="s">
        <v>821</v>
      </c>
      <c r="E477" t="s">
        <v>822</v>
      </c>
      <c r="F477">
        <v>15</v>
      </c>
      <c r="G477">
        <f t="shared" si="7"/>
        <v>0</v>
      </c>
      <c r="H477">
        <v>1</v>
      </c>
      <c r="I477">
        <v>730</v>
      </c>
      <c r="J477">
        <v>4956</v>
      </c>
      <c r="K477">
        <v>27480</v>
      </c>
      <c r="L477" s="1">
        <v>-12495</v>
      </c>
      <c r="M477">
        <v>-12496</v>
      </c>
      <c r="N477">
        <v>46.3</v>
      </c>
      <c r="O477">
        <v>3</v>
      </c>
      <c r="P477">
        <v>65535</v>
      </c>
      <c r="Q477">
        <v>2464</v>
      </c>
      <c r="R477">
        <v>-32767</v>
      </c>
      <c r="S477">
        <v>40.7</v>
      </c>
      <c r="T477">
        <v>15</v>
      </c>
      <c r="U477">
        <v>100</v>
      </c>
      <c r="V477">
        <v>34000</v>
      </c>
      <c r="W477">
        <v>5000</v>
      </c>
      <c r="X477" t="s">
        <v>823</v>
      </c>
      <c r="Y477" t="s">
        <v>836</v>
      </c>
      <c r="Z477" t="s">
        <v>828</v>
      </c>
      <c r="AA477">
        <v>8</v>
      </c>
      <c r="AB477">
        <v>6</v>
      </c>
      <c r="AC477">
        <v>76</v>
      </c>
      <c r="AD477">
        <v>4</v>
      </c>
      <c r="AE477">
        <v>726</v>
      </c>
      <c r="AF477">
        <v>4956</v>
      </c>
      <c r="AG477">
        <v>678</v>
      </c>
      <c r="AH477">
        <v>4226</v>
      </c>
      <c r="AI477">
        <v>6</v>
      </c>
      <c r="AJ477">
        <v>87</v>
      </c>
      <c r="AK477">
        <v>1648</v>
      </c>
      <c r="AL477">
        <v>3707</v>
      </c>
      <c r="AM477">
        <v>13</v>
      </c>
      <c r="AN477">
        <v>899</v>
      </c>
      <c r="AO477" t="s">
        <v>826</v>
      </c>
    </row>
    <row r="478" spans="1:41">
      <c r="A478">
        <v>470</v>
      </c>
      <c r="B478" s="2">
        <v>45296.6231134259</v>
      </c>
      <c r="C478">
        <v>686.856</v>
      </c>
      <c r="D478" t="s">
        <v>821</v>
      </c>
      <c r="E478" t="s">
        <v>822</v>
      </c>
      <c r="F478">
        <v>15</v>
      </c>
      <c r="G478">
        <f t="shared" si="7"/>
        <v>0</v>
      </c>
      <c r="H478">
        <v>1</v>
      </c>
      <c r="I478">
        <v>726</v>
      </c>
      <c r="J478">
        <v>4956</v>
      </c>
      <c r="K478">
        <v>27472</v>
      </c>
      <c r="L478" s="1">
        <v>-12495</v>
      </c>
      <c r="M478">
        <v>-12496</v>
      </c>
      <c r="N478">
        <v>46.3</v>
      </c>
      <c r="O478">
        <v>3</v>
      </c>
      <c r="P478">
        <v>65535</v>
      </c>
      <c r="Q478">
        <v>2454</v>
      </c>
      <c r="R478">
        <v>-32767</v>
      </c>
      <c r="S478">
        <v>40.7</v>
      </c>
      <c r="T478">
        <v>15</v>
      </c>
      <c r="U478">
        <v>100</v>
      </c>
      <c r="V478">
        <v>34000</v>
      </c>
      <c r="W478">
        <v>5000</v>
      </c>
      <c r="X478" t="s">
        <v>823</v>
      </c>
      <c r="Y478" t="s">
        <v>836</v>
      </c>
      <c r="Z478" t="s">
        <v>828</v>
      </c>
      <c r="AA478">
        <v>8</v>
      </c>
      <c r="AB478">
        <v>6</v>
      </c>
      <c r="AC478">
        <v>76</v>
      </c>
      <c r="AD478">
        <v>4</v>
      </c>
      <c r="AE478">
        <v>723</v>
      </c>
      <c r="AF478">
        <v>4956</v>
      </c>
      <c r="AG478">
        <v>679</v>
      </c>
      <c r="AH478">
        <v>4229</v>
      </c>
      <c r="AI478">
        <v>6</v>
      </c>
      <c r="AJ478">
        <v>87</v>
      </c>
      <c r="AK478">
        <v>1648</v>
      </c>
      <c r="AL478">
        <v>3710</v>
      </c>
      <c r="AM478">
        <v>13</v>
      </c>
      <c r="AN478">
        <v>915</v>
      </c>
      <c r="AO478" t="s">
        <v>826</v>
      </c>
    </row>
    <row r="479" spans="1:41">
      <c r="A479">
        <v>471</v>
      </c>
      <c r="B479" s="2">
        <v>45296.6231481481</v>
      </c>
      <c r="C479">
        <v>689.231</v>
      </c>
      <c r="D479" t="s">
        <v>821</v>
      </c>
      <c r="E479" t="s">
        <v>822</v>
      </c>
      <c r="F479">
        <v>15</v>
      </c>
      <c r="G479">
        <f t="shared" si="7"/>
        <v>0</v>
      </c>
      <c r="H479">
        <v>1</v>
      </c>
      <c r="I479">
        <v>701</v>
      </c>
      <c r="J479">
        <v>4941</v>
      </c>
      <c r="K479">
        <v>27464</v>
      </c>
      <c r="L479" s="1">
        <v>-12496</v>
      </c>
      <c r="M479">
        <v>-12496</v>
      </c>
      <c r="N479">
        <v>46.4</v>
      </c>
      <c r="O479">
        <v>3</v>
      </c>
      <c r="P479">
        <v>65535</v>
      </c>
      <c r="Q479">
        <v>2383</v>
      </c>
      <c r="R479">
        <v>-32767</v>
      </c>
      <c r="S479">
        <v>40.7</v>
      </c>
      <c r="T479">
        <v>15</v>
      </c>
      <c r="U479">
        <v>100</v>
      </c>
      <c r="V479">
        <v>34000</v>
      </c>
      <c r="W479">
        <v>5000</v>
      </c>
      <c r="X479" t="s">
        <v>823</v>
      </c>
      <c r="Y479" t="s">
        <v>836</v>
      </c>
      <c r="Z479" t="s">
        <v>828</v>
      </c>
      <c r="AA479">
        <v>8</v>
      </c>
      <c r="AB479">
        <v>6</v>
      </c>
      <c r="AC479">
        <v>76</v>
      </c>
      <c r="AD479">
        <v>4</v>
      </c>
      <c r="AE479">
        <v>701</v>
      </c>
      <c r="AF479">
        <v>4941</v>
      </c>
      <c r="AG479">
        <v>681</v>
      </c>
      <c r="AH479">
        <v>4236</v>
      </c>
      <c r="AI479">
        <v>6</v>
      </c>
      <c r="AJ479">
        <v>87</v>
      </c>
      <c r="AK479">
        <v>1648</v>
      </c>
      <c r="AL479">
        <v>3717</v>
      </c>
      <c r="AM479">
        <v>13</v>
      </c>
      <c r="AN479">
        <v>915</v>
      </c>
      <c r="AO479" t="s">
        <v>826</v>
      </c>
    </row>
    <row r="480" spans="1:41">
      <c r="A480">
        <v>472</v>
      </c>
      <c r="B480" s="2">
        <v>45296.6231597222</v>
      </c>
      <c r="C480">
        <v>690.182</v>
      </c>
      <c r="D480" t="s">
        <v>821</v>
      </c>
      <c r="E480" t="s">
        <v>822</v>
      </c>
      <c r="F480">
        <v>15</v>
      </c>
      <c r="G480">
        <f t="shared" si="7"/>
        <v>0</v>
      </c>
      <c r="H480">
        <v>1</v>
      </c>
      <c r="I480">
        <v>697</v>
      </c>
      <c r="J480">
        <v>4941</v>
      </c>
      <c r="K480">
        <v>27464</v>
      </c>
      <c r="L480" s="1">
        <v>-12496</v>
      </c>
      <c r="M480">
        <v>-12496</v>
      </c>
      <c r="N480">
        <v>46.4</v>
      </c>
      <c r="O480">
        <v>3</v>
      </c>
      <c r="P480">
        <v>65535</v>
      </c>
      <c r="Q480">
        <v>2369</v>
      </c>
      <c r="R480">
        <v>-32767</v>
      </c>
      <c r="S480">
        <v>40.8</v>
      </c>
      <c r="T480">
        <v>15</v>
      </c>
      <c r="U480">
        <v>100</v>
      </c>
      <c r="V480">
        <v>34000</v>
      </c>
      <c r="W480">
        <v>5000</v>
      </c>
      <c r="X480" t="s">
        <v>823</v>
      </c>
      <c r="Y480" t="s">
        <v>836</v>
      </c>
      <c r="Z480" t="s">
        <v>828</v>
      </c>
      <c r="AA480">
        <v>8</v>
      </c>
      <c r="AB480">
        <v>6</v>
      </c>
      <c r="AC480">
        <v>76</v>
      </c>
      <c r="AD480">
        <v>4</v>
      </c>
      <c r="AE480">
        <v>697</v>
      </c>
      <c r="AF480">
        <v>4941</v>
      </c>
      <c r="AG480">
        <v>682</v>
      </c>
      <c r="AH480">
        <v>4240</v>
      </c>
      <c r="AI480">
        <v>6</v>
      </c>
      <c r="AJ480">
        <v>87</v>
      </c>
      <c r="AK480">
        <v>1648</v>
      </c>
      <c r="AL480">
        <v>3721</v>
      </c>
      <c r="AM480">
        <v>13</v>
      </c>
      <c r="AN480">
        <v>901</v>
      </c>
      <c r="AO480" t="s">
        <v>826</v>
      </c>
    </row>
    <row r="481" spans="1:41">
      <c r="A481">
        <v>473</v>
      </c>
      <c r="B481" s="2">
        <v>45296.6231828704</v>
      </c>
      <c r="C481">
        <v>692.55</v>
      </c>
      <c r="D481" t="s">
        <v>821</v>
      </c>
      <c r="E481" t="s">
        <v>822</v>
      </c>
      <c r="F481">
        <v>14</v>
      </c>
      <c r="G481">
        <f t="shared" si="7"/>
        <v>1</v>
      </c>
      <c r="H481">
        <v>1</v>
      </c>
      <c r="I481">
        <v>691</v>
      </c>
      <c r="J481">
        <v>4941</v>
      </c>
      <c r="K481">
        <v>27456</v>
      </c>
      <c r="L481" s="1">
        <v>-12496</v>
      </c>
      <c r="M481">
        <v>-12496</v>
      </c>
      <c r="N481">
        <v>46.4</v>
      </c>
      <c r="O481">
        <v>3</v>
      </c>
      <c r="P481">
        <v>65535</v>
      </c>
      <c r="Q481">
        <v>2348</v>
      </c>
      <c r="R481">
        <v>-32767</v>
      </c>
      <c r="S481">
        <v>40.8</v>
      </c>
      <c r="T481">
        <v>15</v>
      </c>
      <c r="U481">
        <v>100</v>
      </c>
      <c r="V481">
        <v>34000</v>
      </c>
      <c r="W481">
        <v>5000</v>
      </c>
      <c r="X481" t="s">
        <v>823</v>
      </c>
      <c r="Y481" t="s">
        <v>836</v>
      </c>
      <c r="Z481" t="s">
        <v>828</v>
      </c>
      <c r="AA481">
        <v>8</v>
      </c>
      <c r="AB481">
        <v>6</v>
      </c>
      <c r="AC481">
        <v>76</v>
      </c>
      <c r="AD481">
        <v>4</v>
      </c>
      <c r="AE481">
        <v>691</v>
      </c>
      <c r="AF481">
        <v>4941</v>
      </c>
      <c r="AG481">
        <v>684</v>
      </c>
      <c r="AH481">
        <v>4250</v>
      </c>
      <c r="AI481">
        <v>6</v>
      </c>
      <c r="AJ481">
        <v>87</v>
      </c>
      <c r="AK481">
        <v>1648</v>
      </c>
      <c r="AL481">
        <v>3731</v>
      </c>
      <c r="AM481">
        <v>13</v>
      </c>
      <c r="AN481">
        <v>906</v>
      </c>
      <c r="AO481" t="s">
        <v>826</v>
      </c>
    </row>
    <row r="482" spans="1:41">
      <c r="A482">
        <v>474</v>
      </c>
      <c r="B482" s="2">
        <v>45296.6231944444</v>
      </c>
      <c r="C482">
        <v>693.493</v>
      </c>
      <c r="D482" t="s">
        <v>821</v>
      </c>
      <c r="E482" t="s">
        <v>822</v>
      </c>
      <c r="F482">
        <v>14</v>
      </c>
      <c r="G482">
        <f t="shared" si="7"/>
        <v>0</v>
      </c>
      <c r="H482">
        <v>1</v>
      </c>
      <c r="I482">
        <v>687</v>
      </c>
      <c r="J482">
        <v>4941</v>
      </c>
      <c r="K482">
        <v>27448</v>
      </c>
      <c r="L482" s="1">
        <v>-12495</v>
      </c>
      <c r="M482">
        <v>-12496</v>
      </c>
      <c r="N482">
        <v>46.4</v>
      </c>
      <c r="O482">
        <v>3</v>
      </c>
      <c r="P482">
        <v>65535</v>
      </c>
      <c r="Q482">
        <v>2335</v>
      </c>
      <c r="R482">
        <v>-32767</v>
      </c>
      <c r="S482">
        <v>40.8</v>
      </c>
      <c r="T482">
        <v>15</v>
      </c>
      <c r="U482">
        <v>100</v>
      </c>
      <c r="V482">
        <v>34000</v>
      </c>
      <c r="W482">
        <v>5000</v>
      </c>
      <c r="X482" t="s">
        <v>823</v>
      </c>
      <c r="Y482" t="s">
        <v>836</v>
      </c>
      <c r="Z482" t="s">
        <v>828</v>
      </c>
      <c r="AA482">
        <v>8</v>
      </c>
      <c r="AB482">
        <v>6</v>
      </c>
      <c r="AC482">
        <v>76</v>
      </c>
      <c r="AD482">
        <v>4</v>
      </c>
      <c r="AE482">
        <v>687</v>
      </c>
      <c r="AF482">
        <v>4941</v>
      </c>
      <c r="AG482">
        <v>685</v>
      </c>
      <c r="AH482">
        <v>4250</v>
      </c>
      <c r="AI482">
        <v>6</v>
      </c>
      <c r="AJ482">
        <v>87</v>
      </c>
      <c r="AK482">
        <v>1648</v>
      </c>
      <c r="AL482">
        <v>3734</v>
      </c>
      <c r="AM482">
        <v>13</v>
      </c>
      <c r="AN482">
        <v>903</v>
      </c>
      <c r="AO482" t="s">
        <v>826</v>
      </c>
    </row>
    <row r="483" spans="1:41">
      <c r="A483">
        <v>475</v>
      </c>
      <c r="B483" s="2">
        <v>45296.6232060185</v>
      </c>
      <c r="C483">
        <v>694.434</v>
      </c>
      <c r="D483" t="s">
        <v>821</v>
      </c>
      <c r="E483" t="s">
        <v>822</v>
      </c>
      <c r="F483">
        <v>14</v>
      </c>
      <c r="G483">
        <f t="shared" si="7"/>
        <v>0</v>
      </c>
      <c r="H483">
        <v>1</v>
      </c>
      <c r="I483">
        <v>684</v>
      </c>
      <c r="J483">
        <v>4941</v>
      </c>
      <c r="K483">
        <v>27448</v>
      </c>
      <c r="L483" s="1">
        <v>-12496</v>
      </c>
      <c r="M483">
        <v>-12496</v>
      </c>
      <c r="N483">
        <v>46.4</v>
      </c>
      <c r="O483">
        <v>3</v>
      </c>
      <c r="P483">
        <v>65535</v>
      </c>
      <c r="Q483">
        <v>2324</v>
      </c>
      <c r="R483">
        <v>-32767</v>
      </c>
      <c r="S483">
        <v>40.8</v>
      </c>
      <c r="T483">
        <v>15</v>
      </c>
      <c r="U483">
        <v>100</v>
      </c>
      <c r="V483">
        <v>34000</v>
      </c>
      <c r="W483">
        <v>5000</v>
      </c>
      <c r="X483" t="s">
        <v>823</v>
      </c>
      <c r="Y483" t="s">
        <v>836</v>
      </c>
      <c r="Z483" t="s">
        <v>828</v>
      </c>
      <c r="AA483">
        <v>8</v>
      </c>
      <c r="AB483">
        <v>6</v>
      </c>
      <c r="AC483">
        <v>76</v>
      </c>
      <c r="AD483">
        <v>4</v>
      </c>
      <c r="AE483">
        <v>684</v>
      </c>
      <c r="AF483">
        <v>4941</v>
      </c>
      <c r="AG483">
        <v>686</v>
      </c>
      <c r="AH483">
        <v>4253</v>
      </c>
      <c r="AI483">
        <v>6</v>
      </c>
      <c r="AJ483">
        <v>87</v>
      </c>
      <c r="AK483">
        <v>1648</v>
      </c>
      <c r="AL483">
        <v>3734</v>
      </c>
      <c r="AM483">
        <v>13</v>
      </c>
      <c r="AN483">
        <v>901</v>
      </c>
      <c r="AO483" t="s">
        <v>826</v>
      </c>
    </row>
    <row r="484" spans="1:41">
      <c r="A484">
        <v>476</v>
      </c>
      <c r="B484" s="2">
        <v>45296.6232291667</v>
      </c>
      <c r="C484">
        <v>696.778</v>
      </c>
      <c r="D484" t="s">
        <v>821</v>
      </c>
      <c r="E484" t="s">
        <v>822</v>
      </c>
      <c r="F484">
        <v>14</v>
      </c>
      <c r="G484">
        <f t="shared" si="7"/>
        <v>0</v>
      </c>
      <c r="H484">
        <v>1</v>
      </c>
      <c r="I484">
        <v>677</v>
      </c>
      <c r="J484">
        <v>4941</v>
      </c>
      <c r="K484">
        <v>27440</v>
      </c>
      <c r="L484" s="1">
        <v>-12496</v>
      </c>
      <c r="M484">
        <v>-12496</v>
      </c>
      <c r="N484">
        <v>46.5</v>
      </c>
      <c r="O484">
        <v>3</v>
      </c>
      <c r="P484">
        <v>65535</v>
      </c>
      <c r="Q484">
        <v>2300</v>
      </c>
      <c r="R484">
        <v>-32767</v>
      </c>
      <c r="S484">
        <v>40.8</v>
      </c>
      <c r="T484">
        <v>15</v>
      </c>
      <c r="U484">
        <v>100</v>
      </c>
      <c r="V484">
        <v>34000</v>
      </c>
      <c r="W484">
        <v>5000</v>
      </c>
      <c r="X484" t="s">
        <v>823</v>
      </c>
      <c r="Y484" t="s">
        <v>836</v>
      </c>
      <c r="Z484" t="s">
        <v>828</v>
      </c>
      <c r="AA484">
        <v>8</v>
      </c>
      <c r="AB484">
        <v>6</v>
      </c>
      <c r="AC484">
        <v>76</v>
      </c>
      <c r="AD484">
        <v>4</v>
      </c>
      <c r="AE484">
        <v>673</v>
      </c>
      <c r="AF484">
        <v>4941</v>
      </c>
      <c r="AG484">
        <v>689</v>
      </c>
      <c r="AH484">
        <v>4264</v>
      </c>
      <c r="AI484">
        <v>6</v>
      </c>
      <c r="AJ484">
        <v>87</v>
      </c>
      <c r="AK484">
        <v>1648</v>
      </c>
      <c r="AL484">
        <v>3745</v>
      </c>
      <c r="AM484">
        <v>13</v>
      </c>
      <c r="AN484">
        <v>913</v>
      </c>
      <c r="AO484" t="s">
        <v>826</v>
      </c>
    </row>
    <row r="485" spans="1:41">
      <c r="A485">
        <v>477</v>
      </c>
      <c r="B485" s="2">
        <v>45296.6232407407</v>
      </c>
      <c r="C485">
        <v>697.727</v>
      </c>
      <c r="D485" t="s">
        <v>821</v>
      </c>
      <c r="E485" t="s">
        <v>822</v>
      </c>
      <c r="F485">
        <v>14</v>
      </c>
      <c r="G485">
        <f t="shared" si="7"/>
        <v>0</v>
      </c>
      <c r="H485">
        <v>1</v>
      </c>
      <c r="I485">
        <v>673</v>
      </c>
      <c r="J485">
        <v>4941</v>
      </c>
      <c r="K485">
        <v>27440</v>
      </c>
      <c r="L485" s="1">
        <v>-12496</v>
      </c>
      <c r="M485">
        <v>-12496</v>
      </c>
      <c r="N485">
        <v>46.5</v>
      </c>
      <c r="O485">
        <v>3</v>
      </c>
      <c r="P485">
        <v>65535</v>
      </c>
      <c r="Q485">
        <v>2287</v>
      </c>
      <c r="R485">
        <v>-32767</v>
      </c>
      <c r="S485">
        <v>40.8</v>
      </c>
      <c r="T485">
        <v>15</v>
      </c>
      <c r="U485">
        <v>100</v>
      </c>
      <c r="V485">
        <v>34000</v>
      </c>
      <c r="W485">
        <v>5000</v>
      </c>
      <c r="X485" t="s">
        <v>823</v>
      </c>
      <c r="Y485" t="s">
        <v>836</v>
      </c>
      <c r="Z485" t="s">
        <v>828</v>
      </c>
      <c r="AA485">
        <v>8</v>
      </c>
      <c r="AB485">
        <v>6</v>
      </c>
      <c r="AC485">
        <v>76</v>
      </c>
      <c r="AD485">
        <v>4</v>
      </c>
      <c r="AE485">
        <v>670</v>
      </c>
      <c r="AF485">
        <v>4941</v>
      </c>
      <c r="AG485">
        <v>690</v>
      </c>
      <c r="AH485">
        <v>4267</v>
      </c>
      <c r="AI485">
        <v>6</v>
      </c>
      <c r="AJ485">
        <v>87</v>
      </c>
      <c r="AK485">
        <v>1648</v>
      </c>
      <c r="AL485">
        <v>3748</v>
      </c>
      <c r="AM485">
        <v>13</v>
      </c>
      <c r="AN485">
        <v>902</v>
      </c>
      <c r="AO485" t="s">
        <v>826</v>
      </c>
    </row>
    <row r="486" spans="1:41">
      <c r="A486">
        <v>478</v>
      </c>
      <c r="B486" s="2">
        <v>45296.6232523148</v>
      </c>
      <c r="C486">
        <v>698.666</v>
      </c>
      <c r="D486" t="s">
        <v>821</v>
      </c>
      <c r="E486" t="s">
        <v>822</v>
      </c>
      <c r="F486">
        <v>14</v>
      </c>
      <c r="G486">
        <f t="shared" si="7"/>
        <v>0</v>
      </c>
      <c r="H486">
        <v>1</v>
      </c>
      <c r="I486">
        <v>670</v>
      </c>
      <c r="J486">
        <v>4941</v>
      </c>
      <c r="K486">
        <v>27432</v>
      </c>
      <c r="L486" s="1">
        <v>-12495</v>
      </c>
      <c r="M486">
        <v>-12496</v>
      </c>
      <c r="N486">
        <v>46.5</v>
      </c>
      <c r="O486">
        <v>3</v>
      </c>
      <c r="P486">
        <v>65535</v>
      </c>
      <c r="Q486">
        <v>2276</v>
      </c>
      <c r="R486">
        <v>-32767</v>
      </c>
      <c r="S486">
        <v>40.9</v>
      </c>
      <c r="T486">
        <v>15</v>
      </c>
      <c r="U486">
        <v>100</v>
      </c>
      <c r="V486">
        <v>34000</v>
      </c>
      <c r="W486">
        <v>5000</v>
      </c>
      <c r="X486" t="s">
        <v>823</v>
      </c>
      <c r="Y486" t="s">
        <v>836</v>
      </c>
      <c r="Z486" t="s">
        <v>828</v>
      </c>
      <c r="AA486">
        <v>8</v>
      </c>
      <c r="AB486">
        <v>6</v>
      </c>
      <c r="AC486">
        <v>76</v>
      </c>
      <c r="AD486">
        <v>4</v>
      </c>
      <c r="AE486">
        <v>666</v>
      </c>
      <c r="AF486">
        <v>4941</v>
      </c>
      <c r="AG486">
        <v>691</v>
      </c>
      <c r="AH486">
        <v>4271</v>
      </c>
      <c r="AI486">
        <v>6</v>
      </c>
      <c r="AJ486">
        <v>87</v>
      </c>
      <c r="AK486">
        <v>1648</v>
      </c>
      <c r="AL486">
        <v>3752</v>
      </c>
      <c r="AM486">
        <v>13</v>
      </c>
      <c r="AN486">
        <v>902</v>
      </c>
      <c r="AO486" t="s">
        <v>826</v>
      </c>
    </row>
    <row r="487" spans="1:41">
      <c r="A487">
        <v>479</v>
      </c>
      <c r="B487" s="2">
        <v>45296.623287037</v>
      </c>
      <c r="C487">
        <v>701.014</v>
      </c>
      <c r="D487" t="s">
        <v>821</v>
      </c>
      <c r="E487" t="s">
        <v>822</v>
      </c>
      <c r="F487">
        <v>14</v>
      </c>
      <c r="G487">
        <f t="shared" si="7"/>
        <v>0</v>
      </c>
      <c r="H487">
        <v>1</v>
      </c>
      <c r="I487">
        <v>659</v>
      </c>
      <c r="J487">
        <v>4941</v>
      </c>
      <c r="K487">
        <v>27424</v>
      </c>
      <c r="L487" s="1">
        <v>-12496</v>
      </c>
      <c r="M487">
        <v>-12496</v>
      </c>
      <c r="N487">
        <v>46.6</v>
      </c>
      <c r="O487">
        <v>3</v>
      </c>
      <c r="P487">
        <v>65535</v>
      </c>
      <c r="Q487">
        <v>2239</v>
      </c>
      <c r="R487">
        <v>-32767</v>
      </c>
      <c r="S487">
        <v>40.9</v>
      </c>
      <c r="T487">
        <v>15</v>
      </c>
      <c r="U487">
        <v>100</v>
      </c>
      <c r="V487">
        <v>34000</v>
      </c>
      <c r="W487">
        <v>5000</v>
      </c>
      <c r="X487" t="s">
        <v>823</v>
      </c>
      <c r="Y487" t="s">
        <v>836</v>
      </c>
      <c r="Z487" t="s">
        <v>828</v>
      </c>
      <c r="AA487">
        <v>8</v>
      </c>
      <c r="AB487">
        <v>6</v>
      </c>
      <c r="AC487">
        <v>76</v>
      </c>
      <c r="AD487">
        <v>4</v>
      </c>
      <c r="AE487">
        <v>659</v>
      </c>
      <c r="AF487">
        <v>4941</v>
      </c>
      <c r="AG487">
        <v>693</v>
      </c>
      <c r="AH487">
        <v>4278</v>
      </c>
      <c r="AI487">
        <v>6</v>
      </c>
      <c r="AJ487">
        <v>87</v>
      </c>
      <c r="AK487">
        <v>1648</v>
      </c>
      <c r="AL487">
        <v>3759</v>
      </c>
      <c r="AM487">
        <v>13</v>
      </c>
      <c r="AN487">
        <v>911</v>
      </c>
      <c r="AO487" t="s">
        <v>826</v>
      </c>
    </row>
    <row r="488" spans="1:41">
      <c r="A488">
        <v>480</v>
      </c>
      <c r="B488" s="2">
        <v>45296.6232986111</v>
      </c>
      <c r="C488">
        <v>701.966</v>
      </c>
      <c r="D488" t="s">
        <v>821</v>
      </c>
      <c r="E488" t="s">
        <v>822</v>
      </c>
      <c r="F488">
        <v>14</v>
      </c>
      <c r="G488">
        <f t="shared" si="7"/>
        <v>0</v>
      </c>
      <c r="H488">
        <v>1</v>
      </c>
      <c r="I488">
        <v>656</v>
      </c>
      <c r="J488">
        <v>4941</v>
      </c>
      <c r="K488">
        <v>27416</v>
      </c>
      <c r="L488" s="1">
        <v>-12495</v>
      </c>
      <c r="M488">
        <v>-12496</v>
      </c>
      <c r="N488">
        <v>46.6</v>
      </c>
      <c r="O488">
        <v>3</v>
      </c>
      <c r="P488">
        <v>65535</v>
      </c>
      <c r="Q488">
        <v>2228</v>
      </c>
      <c r="R488">
        <v>-32767</v>
      </c>
      <c r="S488">
        <v>40.9</v>
      </c>
      <c r="T488">
        <v>15</v>
      </c>
      <c r="U488">
        <v>100</v>
      </c>
      <c r="V488">
        <v>34000</v>
      </c>
      <c r="W488">
        <v>5000</v>
      </c>
      <c r="X488" t="s">
        <v>823</v>
      </c>
      <c r="Y488" t="s">
        <v>836</v>
      </c>
      <c r="Z488" t="s">
        <v>828</v>
      </c>
      <c r="AA488">
        <v>8</v>
      </c>
      <c r="AB488">
        <v>6</v>
      </c>
      <c r="AC488">
        <v>76</v>
      </c>
      <c r="AD488">
        <v>4</v>
      </c>
      <c r="AE488">
        <v>656</v>
      </c>
      <c r="AF488">
        <v>4941</v>
      </c>
      <c r="AG488">
        <v>694</v>
      </c>
      <c r="AH488">
        <v>4281</v>
      </c>
      <c r="AI488">
        <v>6</v>
      </c>
      <c r="AJ488">
        <v>87</v>
      </c>
      <c r="AK488">
        <v>1648</v>
      </c>
      <c r="AL488">
        <v>3762</v>
      </c>
      <c r="AM488">
        <v>13</v>
      </c>
      <c r="AN488">
        <v>902</v>
      </c>
      <c r="AO488" t="s">
        <v>826</v>
      </c>
    </row>
    <row r="489" spans="1:41">
      <c r="A489">
        <v>481</v>
      </c>
      <c r="B489" s="2">
        <v>45296.6232986111</v>
      </c>
      <c r="C489">
        <v>702.902</v>
      </c>
      <c r="D489" t="s">
        <v>821</v>
      </c>
      <c r="E489" t="s">
        <v>822</v>
      </c>
      <c r="F489">
        <v>14</v>
      </c>
      <c r="G489">
        <f t="shared" si="7"/>
        <v>0</v>
      </c>
      <c r="H489">
        <v>1</v>
      </c>
      <c r="I489">
        <v>656</v>
      </c>
      <c r="J489">
        <v>4941</v>
      </c>
      <c r="K489">
        <v>27416</v>
      </c>
      <c r="L489" s="1">
        <v>-12496</v>
      </c>
      <c r="M489">
        <v>-12496</v>
      </c>
      <c r="N489">
        <v>46.6</v>
      </c>
      <c r="O489">
        <v>3</v>
      </c>
      <c r="P489">
        <v>65535</v>
      </c>
      <c r="Q489">
        <v>2215</v>
      </c>
      <c r="R489">
        <v>-32767</v>
      </c>
      <c r="S489">
        <v>40.9</v>
      </c>
      <c r="T489">
        <v>15</v>
      </c>
      <c r="U489">
        <v>100</v>
      </c>
      <c r="V489">
        <v>34000</v>
      </c>
      <c r="W489">
        <v>5000</v>
      </c>
      <c r="X489" t="s">
        <v>823</v>
      </c>
      <c r="Y489" t="s">
        <v>836</v>
      </c>
      <c r="Z489" t="s">
        <v>828</v>
      </c>
      <c r="AA489">
        <v>8</v>
      </c>
      <c r="AB489">
        <v>6</v>
      </c>
      <c r="AC489">
        <v>76</v>
      </c>
      <c r="AD489">
        <v>4</v>
      </c>
      <c r="AE489">
        <v>652</v>
      </c>
      <c r="AF489">
        <v>4941</v>
      </c>
      <c r="AG489">
        <v>695</v>
      </c>
      <c r="AH489">
        <v>4285</v>
      </c>
      <c r="AI489">
        <v>6</v>
      </c>
      <c r="AJ489">
        <v>87</v>
      </c>
      <c r="AK489">
        <v>1648</v>
      </c>
      <c r="AL489">
        <v>3766</v>
      </c>
      <c r="AM489">
        <v>13</v>
      </c>
      <c r="AN489">
        <v>948</v>
      </c>
      <c r="AO489" t="s">
        <v>826</v>
      </c>
    </row>
    <row r="490" spans="1:41">
      <c r="A490">
        <v>482</v>
      </c>
      <c r="B490" s="2">
        <v>45296.6233333333</v>
      </c>
      <c r="C490">
        <v>705.313</v>
      </c>
      <c r="D490" t="s">
        <v>821</v>
      </c>
      <c r="E490" t="s">
        <v>822</v>
      </c>
      <c r="F490">
        <v>14</v>
      </c>
      <c r="G490">
        <f t="shared" si="7"/>
        <v>0</v>
      </c>
      <c r="H490">
        <v>1</v>
      </c>
      <c r="I490">
        <v>645</v>
      </c>
      <c r="J490">
        <v>4941</v>
      </c>
      <c r="K490">
        <v>27408</v>
      </c>
      <c r="L490" s="1">
        <v>-12496</v>
      </c>
      <c r="M490">
        <v>-12496</v>
      </c>
      <c r="N490">
        <v>46.7</v>
      </c>
      <c r="O490">
        <v>3</v>
      </c>
      <c r="P490">
        <v>65535</v>
      </c>
      <c r="Q490">
        <v>2191</v>
      </c>
      <c r="R490">
        <v>-32767</v>
      </c>
      <c r="S490">
        <v>40.9</v>
      </c>
      <c r="T490">
        <v>15</v>
      </c>
      <c r="U490">
        <v>100</v>
      </c>
      <c r="V490">
        <v>34000</v>
      </c>
      <c r="W490">
        <v>5000</v>
      </c>
      <c r="X490" t="s">
        <v>823</v>
      </c>
      <c r="Y490" t="s">
        <v>836</v>
      </c>
      <c r="Z490" t="s">
        <v>828</v>
      </c>
      <c r="AA490">
        <v>8</v>
      </c>
      <c r="AB490">
        <v>6</v>
      </c>
      <c r="AC490">
        <v>76</v>
      </c>
      <c r="AD490">
        <v>4</v>
      </c>
      <c r="AE490">
        <v>645</v>
      </c>
      <c r="AF490">
        <v>4941</v>
      </c>
      <c r="AG490">
        <v>697</v>
      </c>
      <c r="AH490">
        <v>4292</v>
      </c>
      <c r="AI490">
        <v>6</v>
      </c>
      <c r="AJ490">
        <v>87</v>
      </c>
      <c r="AK490">
        <v>1648</v>
      </c>
      <c r="AL490">
        <v>3773</v>
      </c>
      <c r="AM490">
        <v>13</v>
      </c>
      <c r="AN490">
        <v>907</v>
      </c>
      <c r="AO490" t="s">
        <v>826</v>
      </c>
    </row>
    <row r="491" spans="1:41">
      <c r="A491">
        <v>483</v>
      </c>
      <c r="B491" s="2">
        <v>45296.6233449074</v>
      </c>
      <c r="C491">
        <v>706.259</v>
      </c>
      <c r="D491" t="s">
        <v>821</v>
      </c>
      <c r="E491" t="s">
        <v>822</v>
      </c>
      <c r="F491">
        <v>13</v>
      </c>
      <c r="G491">
        <f t="shared" si="7"/>
        <v>1</v>
      </c>
      <c r="H491">
        <v>1</v>
      </c>
      <c r="I491">
        <v>642</v>
      </c>
      <c r="J491">
        <v>4941</v>
      </c>
      <c r="K491">
        <v>27408</v>
      </c>
      <c r="L491" s="1">
        <v>-12495</v>
      </c>
      <c r="M491">
        <v>-12496</v>
      </c>
      <c r="N491">
        <v>46.7</v>
      </c>
      <c r="O491">
        <v>3</v>
      </c>
      <c r="P491">
        <v>65535</v>
      </c>
      <c r="Q491">
        <v>2180</v>
      </c>
      <c r="R491">
        <v>-32767</v>
      </c>
      <c r="S491">
        <v>40.9</v>
      </c>
      <c r="T491">
        <v>15</v>
      </c>
      <c r="U491">
        <v>100</v>
      </c>
      <c r="V491">
        <v>34000</v>
      </c>
      <c r="W491">
        <v>5000</v>
      </c>
      <c r="X491" t="s">
        <v>823</v>
      </c>
      <c r="Y491" t="s">
        <v>836</v>
      </c>
      <c r="Z491" t="s">
        <v>828</v>
      </c>
      <c r="AA491">
        <v>8</v>
      </c>
      <c r="AB491">
        <v>6</v>
      </c>
      <c r="AC491">
        <v>76</v>
      </c>
      <c r="AD491">
        <v>4</v>
      </c>
      <c r="AE491">
        <v>642</v>
      </c>
      <c r="AF491">
        <v>4941</v>
      </c>
      <c r="AG491">
        <v>698</v>
      </c>
      <c r="AH491">
        <v>4295</v>
      </c>
      <c r="AI491">
        <v>6</v>
      </c>
      <c r="AJ491">
        <v>87</v>
      </c>
      <c r="AK491">
        <v>1648</v>
      </c>
      <c r="AL491">
        <v>3776</v>
      </c>
      <c r="AM491">
        <v>13</v>
      </c>
      <c r="AN491">
        <v>905</v>
      </c>
      <c r="AO491" t="s">
        <v>826</v>
      </c>
    </row>
    <row r="492" spans="1:41">
      <c r="A492">
        <v>484</v>
      </c>
      <c r="B492" s="2">
        <v>45296.6233680556</v>
      </c>
      <c r="C492">
        <v>708.633</v>
      </c>
      <c r="D492" t="s">
        <v>821</v>
      </c>
      <c r="E492" t="s">
        <v>822</v>
      </c>
      <c r="F492">
        <v>13</v>
      </c>
      <c r="G492">
        <f t="shared" si="7"/>
        <v>0</v>
      </c>
      <c r="H492">
        <v>1</v>
      </c>
      <c r="I492">
        <v>635</v>
      </c>
      <c r="J492">
        <v>4941</v>
      </c>
      <c r="K492">
        <v>27400</v>
      </c>
      <c r="L492" s="1">
        <v>-12496</v>
      </c>
      <c r="M492">
        <v>-12496</v>
      </c>
      <c r="N492">
        <v>46.8</v>
      </c>
      <c r="O492">
        <v>3</v>
      </c>
      <c r="P492">
        <v>65535</v>
      </c>
      <c r="Q492">
        <v>2156</v>
      </c>
      <c r="R492">
        <v>-32767</v>
      </c>
      <c r="S492">
        <v>40.9</v>
      </c>
      <c r="T492">
        <v>15</v>
      </c>
      <c r="U492">
        <v>100</v>
      </c>
      <c r="V492">
        <v>34000</v>
      </c>
      <c r="W492">
        <v>5000</v>
      </c>
      <c r="X492" t="s">
        <v>823</v>
      </c>
      <c r="Y492" t="s">
        <v>836</v>
      </c>
      <c r="Z492" t="s">
        <v>828</v>
      </c>
      <c r="AA492">
        <v>8</v>
      </c>
      <c r="AB492">
        <v>6</v>
      </c>
      <c r="AC492">
        <v>76</v>
      </c>
      <c r="AD492">
        <v>4</v>
      </c>
      <c r="AE492">
        <v>632</v>
      </c>
      <c r="AF492">
        <v>4941</v>
      </c>
      <c r="AG492">
        <v>701</v>
      </c>
      <c r="AH492">
        <v>4305</v>
      </c>
      <c r="AI492">
        <v>6</v>
      </c>
      <c r="AJ492">
        <v>87</v>
      </c>
      <c r="AK492">
        <v>1648</v>
      </c>
      <c r="AL492">
        <v>3786</v>
      </c>
      <c r="AM492">
        <v>13</v>
      </c>
      <c r="AN492">
        <v>901</v>
      </c>
      <c r="AO492" t="s">
        <v>826</v>
      </c>
    </row>
    <row r="493" spans="1:41">
      <c r="A493">
        <v>485</v>
      </c>
      <c r="B493" s="2">
        <v>45296.6233796296</v>
      </c>
      <c r="C493">
        <v>709.578</v>
      </c>
      <c r="D493" t="s">
        <v>821</v>
      </c>
      <c r="E493" t="s">
        <v>822</v>
      </c>
      <c r="F493">
        <v>13</v>
      </c>
      <c r="G493">
        <f t="shared" si="7"/>
        <v>0</v>
      </c>
      <c r="H493">
        <v>1</v>
      </c>
      <c r="I493">
        <v>632</v>
      </c>
      <c r="J493">
        <v>4941</v>
      </c>
      <c r="K493">
        <v>27392</v>
      </c>
      <c r="L493" s="1">
        <v>-12496</v>
      </c>
      <c r="M493">
        <v>-12496</v>
      </c>
      <c r="N493">
        <v>46.7</v>
      </c>
      <c r="O493">
        <v>3</v>
      </c>
      <c r="P493">
        <v>65535</v>
      </c>
      <c r="Q493">
        <v>2146</v>
      </c>
      <c r="R493">
        <v>-32767</v>
      </c>
      <c r="S493">
        <v>41</v>
      </c>
      <c r="T493">
        <v>15</v>
      </c>
      <c r="U493">
        <v>100</v>
      </c>
      <c r="V493">
        <v>34000</v>
      </c>
      <c r="W493">
        <v>5000</v>
      </c>
      <c r="X493" t="s">
        <v>823</v>
      </c>
      <c r="Y493" t="s">
        <v>836</v>
      </c>
      <c r="Z493" t="s">
        <v>828</v>
      </c>
      <c r="AA493">
        <v>8</v>
      </c>
      <c r="AB493">
        <v>6</v>
      </c>
      <c r="AC493">
        <v>76</v>
      </c>
      <c r="AD493">
        <v>4</v>
      </c>
      <c r="AE493">
        <v>628</v>
      </c>
      <c r="AF493">
        <v>4941</v>
      </c>
      <c r="AG493">
        <v>702</v>
      </c>
      <c r="AH493">
        <v>4309</v>
      </c>
      <c r="AI493">
        <v>6</v>
      </c>
      <c r="AJ493">
        <v>87</v>
      </c>
      <c r="AK493">
        <v>1648</v>
      </c>
      <c r="AL493">
        <v>3790</v>
      </c>
      <c r="AM493">
        <v>13</v>
      </c>
      <c r="AN493">
        <v>912</v>
      </c>
      <c r="AO493" t="s">
        <v>826</v>
      </c>
    </row>
    <row r="494" spans="1:41">
      <c r="A494">
        <v>486</v>
      </c>
      <c r="B494" s="2">
        <v>45296.6233912037</v>
      </c>
      <c r="C494">
        <v>710.526</v>
      </c>
      <c r="D494" t="s">
        <v>821</v>
      </c>
      <c r="E494" t="s">
        <v>822</v>
      </c>
      <c r="F494">
        <v>13</v>
      </c>
      <c r="G494">
        <f t="shared" si="7"/>
        <v>0</v>
      </c>
      <c r="H494">
        <v>1</v>
      </c>
      <c r="I494">
        <v>628</v>
      </c>
      <c r="J494">
        <v>4941</v>
      </c>
      <c r="K494">
        <v>27392</v>
      </c>
      <c r="L494" s="1">
        <v>-12496</v>
      </c>
      <c r="M494">
        <v>-12496</v>
      </c>
      <c r="N494">
        <v>46.8</v>
      </c>
      <c r="O494">
        <v>3</v>
      </c>
      <c r="P494">
        <v>65535</v>
      </c>
      <c r="Q494">
        <v>2132</v>
      </c>
      <c r="R494">
        <v>-32767</v>
      </c>
      <c r="S494">
        <v>41</v>
      </c>
      <c r="T494">
        <v>15</v>
      </c>
      <c r="U494">
        <v>100</v>
      </c>
      <c r="V494">
        <v>34000</v>
      </c>
      <c r="W494">
        <v>5000</v>
      </c>
      <c r="X494" t="s">
        <v>823</v>
      </c>
      <c r="Y494" t="s">
        <v>836</v>
      </c>
      <c r="Z494" t="s">
        <v>828</v>
      </c>
      <c r="AA494">
        <v>8</v>
      </c>
      <c r="AB494">
        <v>6</v>
      </c>
      <c r="AC494">
        <v>76</v>
      </c>
      <c r="AD494">
        <v>4</v>
      </c>
      <c r="AE494">
        <v>628</v>
      </c>
      <c r="AF494">
        <v>4941</v>
      </c>
      <c r="AG494">
        <v>702</v>
      </c>
      <c r="AH494">
        <v>4309</v>
      </c>
      <c r="AI494">
        <v>7</v>
      </c>
      <c r="AJ494">
        <v>87</v>
      </c>
      <c r="AK494">
        <v>1648</v>
      </c>
      <c r="AL494">
        <v>3793</v>
      </c>
      <c r="AM494">
        <v>14</v>
      </c>
      <c r="AN494">
        <v>901</v>
      </c>
      <c r="AO494" t="s">
        <v>826</v>
      </c>
    </row>
    <row r="495" spans="1:41">
      <c r="A495">
        <v>487</v>
      </c>
      <c r="B495" s="2">
        <v>45296.6234143519</v>
      </c>
      <c r="C495">
        <v>712.873</v>
      </c>
      <c r="D495" t="s">
        <v>821</v>
      </c>
      <c r="E495" t="s">
        <v>822</v>
      </c>
      <c r="F495">
        <v>13</v>
      </c>
      <c r="G495">
        <f t="shared" si="7"/>
        <v>0</v>
      </c>
      <c r="H495">
        <v>1</v>
      </c>
      <c r="I495">
        <v>621</v>
      </c>
      <c r="J495">
        <v>4941</v>
      </c>
      <c r="K495">
        <v>27384</v>
      </c>
      <c r="L495" s="1">
        <v>-12496</v>
      </c>
      <c r="M495">
        <v>-12496</v>
      </c>
      <c r="N495">
        <v>46.8</v>
      </c>
      <c r="O495">
        <v>3</v>
      </c>
      <c r="P495">
        <v>65535</v>
      </c>
      <c r="Q495">
        <v>2098</v>
      </c>
      <c r="R495">
        <v>-32767</v>
      </c>
      <c r="S495">
        <v>41</v>
      </c>
      <c r="T495">
        <v>15</v>
      </c>
      <c r="U495">
        <v>100</v>
      </c>
      <c r="V495">
        <v>34000</v>
      </c>
      <c r="W495">
        <v>5000</v>
      </c>
      <c r="X495" t="s">
        <v>823</v>
      </c>
      <c r="Y495" t="s">
        <v>836</v>
      </c>
      <c r="Z495" t="s">
        <v>828</v>
      </c>
      <c r="AA495">
        <v>8</v>
      </c>
      <c r="AB495">
        <v>6</v>
      </c>
      <c r="AC495">
        <v>76</v>
      </c>
      <c r="AD495">
        <v>4</v>
      </c>
      <c r="AE495">
        <v>618</v>
      </c>
      <c r="AF495">
        <v>4941</v>
      </c>
      <c r="AG495">
        <v>705</v>
      </c>
      <c r="AH495">
        <v>4319</v>
      </c>
      <c r="AI495">
        <v>7</v>
      </c>
      <c r="AJ495">
        <v>87</v>
      </c>
      <c r="AK495">
        <v>1648</v>
      </c>
      <c r="AL495">
        <v>3800</v>
      </c>
      <c r="AM495">
        <v>14</v>
      </c>
      <c r="AN495">
        <v>910</v>
      </c>
      <c r="AO495" t="s">
        <v>826</v>
      </c>
    </row>
    <row r="496" spans="1:41">
      <c r="A496">
        <v>488</v>
      </c>
      <c r="B496" s="2">
        <v>45296.6234259259</v>
      </c>
      <c r="C496">
        <v>713.821</v>
      </c>
      <c r="D496" t="s">
        <v>821</v>
      </c>
      <c r="E496" t="s">
        <v>822</v>
      </c>
      <c r="F496">
        <v>13</v>
      </c>
      <c r="G496">
        <f t="shared" si="7"/>
        <v>0</v>
      </c>
      <c r="H496">
        <v>1</v>
      </c>
      <c r="I496">
        <v>618</v>
      </c>
      <c r="J496">
        <v>4941</v>
      </c>
      <c r="K496">
        <v>27376</v>
      </c>
      <c r="L496" s="1">
        <v>-12496</v>
      </c>
      <c r="M496">
        <v>-12496</v>
      </c>
      <c r="N496">
        <v>46.8</v>
      </c>
      <c r="O496">
        <v>3</v>
      </c>
      <c r="P496">
        <v>65535</v>
      </c>
      <c r="Q496">
        <v>2085</v>
      </c>
      <c r="R496">
        <v>-32767</v>
      </c>
      <c r="S496">
        <v>41</v>
      </c>
      <c r="T496">
        <v>15</v>
      </c>
      <c r="U496">
        <v>100</v>
      </c>
      <c r="V496">
        <v>34000</v>
      </c>
      <c r="W496">
        <v>5000</v>
      </c>
      <c r="X496" t="s">
        <v>823</v>
      </c>
      <c r="Y496" t="s">
        <v>836</v>
      </c>
      <c r="Z496" t="s">
        <v>828</v>
      </c>
      <c r="AA496">
        <v>8</v>
      </c>
      <c r="AB496">
        <v>6</v>
      </c>
      <c r="AC496">
        <v>76</v>
      </c>
      <c r="AD496">
        <v>4</v>
      </c>
      <c r="AE496">
        <v>614</v>
      </c>
      <c r="AF496">
        <v>4941</v>
      </c>
      <c r="AG496">
        <v>706</v>
      </c>
      <c r="AH496">
        <v>4323</v>
      </c>
      <c r="AI496">
        <v>7</v>
      </c>
      <c r="AJ496">
        <v>87</v>
      </c>
      <c r="AK496">
        <v>1648</v>
      </c>
      <c r="AL496">
        <v>3804</v>
      </c>
      <c r="AM496">
        <v>14</v>
      </c>
      <c r="AN496">
        <v>904</v>
      </c>
      <c r="AO496" t="s">
        <v>826</v>
      </c>
    </row>
    <row r="497" spans="1:41">
      <c r="A497">
        <v>489</v>
      </c>
      <c r="B497" s="2">
        <v>45296.6234375</v>
      </c>
      <c r="C497">
        <v>714.762</v>
      </c>
      <c r="D497" t="s">
        <v>821</v>
      </c>
      <c r="E497" t="s">
        <v>822</v>
      </c>
      <c r="F497">
        <v>13</v>
      </c>
      <c r="G497">
        <f t="shared" si="7"/>
        <v>0</v>
      </c>
      <c r="H497">
        <v>1</v>
      </c>
      <c r="I497">
        <v>614</v>
      </c>
      <c r="J497">
        <v>4941</v>
      </c>
      <c r="K497">
        <v>27376</v>
      </c>
      <c r="L497" s="1">
        <v>-12496</v>
      </c>
      <c r="M497">
        <v>-12496</v>
      </c>
      <c r="N497">
        <v>46.9</v>
      </c>
      <c r="O497">
        <v>3</v>
      </c>
      <c r="P497">
        <v>65535</v>
      </c>
      <c r="Q497">
        <v>2085</v>
      </c>
      <c r="R497">
        <v>-32767</v>
      </c>
      <c r="S497">
        <v>41</v>
      </c>
      <c r="T497">
        <v>15</v>
      </c>
      <c r="U497">
        <v>100</v>
      </c>
      <c r="V497">
        <v>34000</v>
      </c>
      <c r="W497">
        <v>5000</v>
      </c>
      <c r="X497" t="s">
        <v>823</v>
      </c>
      <c r="Y497" t="s">
        <v>836</v>
      </c>
      <c r="Z497" t="s">
        <v>828</v>
      </c>
      <c r="AA497">
        <v>8</v>
      </c>
      <c r="AB497">
        <v>6</v>
      </c>
      <c r="AC497">
        <v>76</v>
      </c>
      <c r="AD497">
        <v>4</v>
      </c>
      <c r="AE497">
        <v>611</v>
      </c>
      <c r="AF497">
        <v>4941</v>
      </c>
      <c r="AG497">
        <v>707</v>
      </c>
      <c r="AH497">
        <v>4326</v>
      </c>
      <c r="AI497">
        <v>7</v>
      </c>
      <c r="AJ497">
        <v>87</v>
      </c>
      <c r="AK497">
        <v>1648</v>
      </c>
      <c r="AL497">
        <v>3807</v>
      </c>
      <c r="AM497">
        <v>14</v>
      </c>
      <c r="AN497">
        <v>902</v>
      </c>
      <c r="AO497" t="s">
        <v>826</v>
      </c>
    </row>
    <row r="498" spans="1:41">
      <c r="A498">
        <v>490</v>
      </c>
      <c r="B498" s="2">
        <v>45296.6234722222</v>
      </c>
      <c r="C498">
        <v>717.109</v>
      </c>
      <c r="D498" t="s">
        <v>821</v>
      </c>
      <c r="E498" t="s">
        <v>822</v>
      </c>
      <c r="F498">
        <v>13</v>
      </c>
      <c r="G498">
        <f t="shared" si="7"/>
        <v>0</v>
      </c>
      <c r="H498">
        <v>1</v>
      </c>
      <c r="I498">
        <v>604</v>
      </c>
      <c r="J498">
        <v>4941</v>
      </c>
      <c r="K498">
        <v>27360</v>
      </c>
      <c r="L498" s="1">
        <v>-12496</v>
      </c>
      <c r="M498">
        <v>-12496</v>
      </c>
      <c r="N498">
        <v>46.9</v>
      </c>
      <c r="O498">
        <v>3</v>
      </c>
      <c r="P498">
        <v>65535</v>
      </c>
      <c r="Q498">
        <v>2050</v>
      </c>
      <c r="R498">
        <v>-32767</v>
      </c>
      <c r="S498">
        <v>41.1</v>
      </c>
      <c r="T498">
        <v>15</v>
      </c>
      <c r="U498">
        <v>100</v>
      </c>
      <c r="V498">
        <v>34000</v>
      </c>
      <c r="W498">
        <v>5000</v>
      </c>
      <c r="X498" t="s">
        <v>823</v>
      </c>
      <c r="Y498" t="s">
        <v>836</v>
      </c>
      <c r="Z498" t="s">
        <v>828</v>
      </c>
      <c r="AA498">
        <v>8</v>
      </c>
      <c r="AB498">
        <v>6</v>
      </c>
      <c r="AC498">
        <v>76</v>
      </c>
      <c r="AD498">
        <v>4</v>
      </c>
      <c r="AE498">
        <v>604</v>
      </c>
      <c r="AF498">
        <v>4941</v>
      </c>
      <c r="AG498">
        <v>709</v>
      </c>
      <c r="AH498">
        <v>4333</v>
      </c>
      <c r="AI498">
        <v>7</v>
      </c>
      <c r="AJ498">
        <v>87</v>
      </c>
      <c r="AK498">
        <v>1648</v>
      </c>
      <c r="AL498">
        <v>3814</v>
      </c>
      <c r="AM498">
        <v>14</v>
      </c>
      <c r="AN498">
        <v>911</v>
      </c>
      <c r="AO498" t="s">
        <v>826</v>
      </c>
    </row>
    <row r="499" spans="1:41">
      <c r="A499">
        <v>491</v>
      </c>
      <c r="B499" s="2">
        <v>45296.6234837963</v>
      </c>
      <c r="C499">
        <v>718.058</v>
      </c>
      <c r="D499" t="s">
        <v>821</v>
      </c>
      <c r="E499" t="s">
        <v>822</v>
      </c>
      <c r="F499">
        <v>13</v>
      </c>
      <c r="G499">
        <f t="shared" si="7"/>
        <v>0</v>
      </c>
      <c r="H499">
        <v>1</v>
      </c>
      <c r="I499">
        <v>600</v>
      </c>
      <c r="J499">
        <v>4941</v>
      </c>
      <c r="K499">
        <v>27360</v>
      </c>
      <c r="L499" s="1">
        <v>-12496</v>
      </c>
      <c r="M499">
        <v>-12496</v>
      </c>
      <c r="N499">
        <v>46.9</v>
      </c>
      <c r="O499">
        <v>3</v>
      </c>
      <c r="P499">
        <v>65535</v>
      </c>
      <c r="Q499">
        <v>2037</v>
      </c>
      <c r="R499">
        <v>-32767</v>
      </c>
      <c r="S499">
        <v>41.1</v>
      </c>
      <c r="T499">
        <v>15</v>
      </c>
      <c r="U499">
        <v>100</v>
      </c>
      <c r="V499">
        <v>34000</v>
      </c>
      <c r="W499">
        <v>5000</v>
      </c>
      <c r="X499" t="s">
        <v>823</v>
      </c>
      <c r="Y499" t="s">
        <v>836</v>
      </c>
      <c r="Z499" t="s">
        <v>828</v>
      </c>
      <c r="AA499">
        <v>8</v>
      </c>
      <c r="AB499">
        <v>6</v>
      </c>
      <c r="AC499">
        <v>76</v>
      </c>
      <c r="AD499">
        <v>4</v>
      </c>
      <c r="AE499">
        <v>600</v>
      </c>
      <c r="AF499">
        <v>4941</v>
      </c>
      <c r="AG499">
        <v>710</v>
      </c>
      <c r="AH499">
        <v>4337</v>
      </c>
      <c r="AI499">
        <v>7</v>
      </c>
      <c r="AJ499">
        <v>87</v>
      </c>
      <c r="AK499">
        <v>1648</v>
      </c>
      <c r="AL499">
        <v>3818</v>
      </c>
      <c r="AM499">
        <v>14</v>
      </c>
      <c r="AN499">
        <v>901</v>
      </c>
      <c r="AO499" t="s">
        <v>826</v>
      </c>
    </row>
    <row r="500" spans="1:41">
      <c r="A500">
        <v>492</v>
      </c>
      <c r="B500" s="2">
        <v>45296.6234953704</v>
      </c>
      <c r="C500">
        <v>718.994</v>
      </c>
      <c r="D500" t="s">
        <v>821</v>
      </c>
      <c r="E500" t="s">
        <v>822</v>
      </c>
      <c r="F500">
        <v>13</v>
      </c>
      <c r="G500">
        <f t="shared" si="7"/>
        <v>0</v>
      </c>
      <c r="H500">
        <v>1</v>
      </c>
      <c r="I500">
        <v>597</v>
      </c>
      <c r="J500">
        <v>4941</v>
      </c>
      <c r="K500">
        <v>27360</v>
      </c>
      <c r="L500" s="1">
        <v>-12496</v>
      </c>
      <c r="M500">
        <v>-12496</v>
      </c>
      <c r="N500">
        <v>46.9</v>
      </c>
      <c r="O500">
        <v>3</v>
      </c>
      <c r="P500">
        <v>65535</v>
      </c>
      <c r="Q500">
        <v>2026</v>
      </c>
      <c r="R500">
        <v>-32767</v>
      </c>
      <c r="S500">
        <v>41.1</v>
      </c>
      <c r="T500">
        <v>15</v>
      </c>
      <c r="U500">
        <v>100</v>
      </c>
      <c r="V500">
        <v>34000</v>
      </c>
      <c r="W500">
        <v>5000</v>
      </c>
      <c r="X500" t="s">
        <v>823</v>
      </c>
      <c r="Y500" t="s">
        <v>836</v>
      </c>
      <c r="Z500" t="s">
        <v>828</v>
      </c>
      <c r="AA500">
        <v>8</v>
      </c>
      <c r="AB500">
        <v>6</v>
      </c>
      <c r="AC500">
        <v>76</v>
      </c>
      <c r="AD500">
        <v>4</v>
      </c>
      <c r="AE500">
        <v>597</v>
      </c>
      <c r="AF500">
        <v>4941</v>
      </c>
      <c r="AG500">
        <v>711</v>
      </c>
      <c r="AH500">
        <v>4340</v>
      </c>
      <c r="AI500">
        <v>7</v>
      </c>
      <c r="AJ500">
        <v>87</v>
      </c>
      <c r="AK500">
        <v>1648</v>
      </c>
      <c r="AL500">
        <v>3821</v>
      </c>
      <c r="AM500">
        <v>14</v>
      </c>
      <c r="AN500">
        <v>904</v>
      </c>
      <c r="AO500" t="s">
        <v>826</v>
      </c>
    </row>
    <row r="501" spans="1:41">
      <c r="A501">
        <v>493</v>
      </c>
      <c r="B501" s="2">
        <v>45296.6235185185</v>
      </c>
      <c r="C501">
        <v>721.342</v>
      </c>
      <c r="D501" t="s">
        <v>821</v>
      </c>
      <c r="E501" t="s">
        <v>822</v>
      </c>
      <c r="F501">
        <v>12</v>
      </c>
      <c r="G501">
        <f t="shared" si="7"/>
        <v>1</v>
      </c>
      <c r="H501">
        <v>1</v>
      </c>
      <c r="I501">
        <v>590</v>
      </c>
      <c r="J501">
        <v>4941</v>
      </c>
      <c r="K501">
        <v>27352</v>
      </c>
      <c r="L501" s="1">
        <v>-12496</v>
      </c>
      <c r="M501">
        <v>-12496</v>
      </c>
      <c r="N501">
        <v>47</v>
      </c>
      <c r="O501">
        <v>3</v>
      </c>
      <c r="P501">
        <v>65535</v>
      </c>
      <c r="Q501">
        <v>2002</v>
      </c>
      <c r="R501">
        <v>-32767</v>
      </c>
      <c r="S501">
        <v>41.1</v>
      </c>
      <c r="T501">
        <v>15</v>
      </c>
      <c r="U501">
        <v>100</v>
      </c>
      <c r="V501">
        <v>34000</v>
      </c>
      <c r="W501">
        <v>5000</v>
      </c>
      <c r="X501" t="s">
        <v>823</v>
      </c>
      <c r="Y501" t="s">
        <v>836</v>
      </c>
      <c r="Z501" t="s">
        <v>828</v>
      </c>
      <c r="AA501">
        <v>8</v>
      </c>
      <c r="AB501">
        <v>6</v>
      </c>
      <c r="AC501">
        <v>76</v>
      </c>
      <c r="AD501">
        <v>4</v>
      </c>
      <c r="AE501">
        <v>590</v>
      </c>
      <c r="AF501">
        <v>4941</v>
      </c>
      <c r="AG501">
        <v>713</v>
      </c>
      <c r="AH501">
        <v>4347</v>
      </c>
      <c r="AI501">
        <v>7</v>
      </c>
      <c r="AJ501">
        <v>87</v>
      </c>
      <c r="AK501">
        <v>1648</v>
      </c>
      <c r="AL501">
        <v>3828</v>
      </c>
      <c r="AM501">
        <v>14</v>
      </c>
      <c r="AN501">
        <v>913</v>
      </c>
      <c r="AO501" t="s">
        <v>826</v>
      </c>
    </row>
    <row r="502" spans="1:41">
      <c r="A502">
        <v>494</v>
      </c>
      <c r="B502" s="2">
        <v>45296.6235300926</v>
      </c>
      <c r="C502">
        <v>722.291</v>
      </c>
      <c r="D502" t="s">
        <v>821</v>
      </c>
      <c r="E502" t="s">
        <v>822</v>
      </c>
      <c r="F502">
        <v>12</v>
      </c>
      <c r="G502">
        <f t="shared" si="7"/>
        <v>0</v>
      </c>
      <c r="H502">
        <v>1</v>
      </c>
      <c r="I502">
        <v>586</v>
      </c>
      <c r="J502">
        <v>4941</v>
      </c>
      <c r="K502">
        <v>27352</v>
      </c>
      <c r="L502" s="1">
        <v>-12496</v>
      </c>
      <c r="M502">
        <v>-12496</v>
      </c>
      <c r="N502">
        <v>47</v>
      </c>
      <c r="O502">
        <v>3</v>
      </c>
      <c r="P502">
        <v>65535</v>
      </c>
      <c r="Q502">
        <v>1989</v>
      </c>
      <c r="R502">
        <v>-32767</v>
      </c>
      <c r="S502">
        <v>41.1</v>
      </c>
      <c r="T502">
        <v>15</v>
      </c>
      <c r="U502">
        <v>100</v>
      </c>
      <c r="V502">
        <v>34000</v>
      </c>
      <c r="W502">
        <v>5000</v>
      </c>
      <c r="X502" t="s">
        <v>823</v>
      </c>
      <c r="Y502" t="s">
        <v>836</v>
      </c>
      <c r="Z502" t="s">
        <v>828</v>
      </c>
      <c r="AA502">
        <v>8</v>
      </c>
      <c r="AB502">
        <v>6</v>
      </c>
      <c r="AC502">
        <v>76</v>
      </c>
      <c r="AD502">
        <v>4</v>
      </c>
      <c r="AE502">
        <v>586</v>
      </c>
      <c r="AF502">
        <v>4941</v>
      </c>
      <c r="AG502">
        <v>714</v>
      </c>
      <c r="AH502">
        <v>4351</v>
      </c>
      <c r="AI502">
        <v>7</v>
      </c>
      <c r="AJ502">
        <v>87</v>
      </c>
      <c r="AK502">
        <v>1648</v>
      </c>
      <c r="AL502">
        <v>3832</v>
      </c>
      <c r="AM502">
        <v>14</v>
      </c>
      <c r="AN502">
        <v>918</v>
      </c>
      <c r="AO502" t="s">
        <v>826</v>
      </c>
    </row>
    <row r="503" spans="1:41">
      <c r="A503">
        <v>495</v>
      </c>
      <c r="B503" s="2">
        <v>45296.6235532407</v>
      </c>
      <c r="C503">
        <v>724.678</v>
      </c>
      <c r="D503" t="s">
        <v>821</v>
      </c>
      <c r="E503" t="s">
        <v>822</v>
      </c>
      <c r="F503">
        <v>12</v>
      </c>
      <c r="G503">
        <f t="shared" si="7"/>
        <v>0</v>
      </c>
      <c r="H503">
        <v>1</v>
      </c>
      <c r="I503">
        <v>579</v>
      </c>
      <c r="J503">
        <v>4941</v>
      </c>
      <c r="K503">
        <v>27344</v>
      </c>
      <c r="L503" s="1">
        <v>-12496</v>
      </c>
      <c r="M503">
        <v>-12496</v>
      </c>
      <c r="N503">
        <v>47</v>
      </c>
      <c r="O503">
        <v>3</v>
      </c>
      <c r="P503">
        <v>65535</v>
      </c>
      <c r="Q503">
        <v>1965</v>
      </c>
      <c r="R503">
        <v>-32767</v>
      </c>
      <c r="S503">
        <v>41.1</v>
      </c>
      <c r="T503">
        <v>15</v>
      </c>
      <c r="U503">
        <v>100</v>
      </c>
      <c r="V503">
        <v>34000</v>
      </c>
      <c r="W503">
        <v>5000</v>
      </c>
      <c r="X503" t="s">
        <v>823</v>
      </c>
      <c r="Y503" t="s">
        <v>836</v>
      </c>
      <c r="Z503" t="s">
        <v>828</v>
      </c>
      <c r="AA503">
        <v>8</v>
      </c>
      <c r="AB503">
        <v>6</v>
      </c>
      <c r="AC503">
        <v>76</v>
      </c>
      <c r="AD503">
        <v>4</v>
      </c>
      <c r="AE503">
        <v>576</v>
      </c>
      <c r="AF503">
        <v>4941</v>
      </c>
      <c r="AG503">
        <v>717</v>
      </c>
      <c r="AH503">
        <v>4361</v>
      </c>
      <c r="AI503">
        <v>7</v>
      </c>
      <c r="AJ503">
        <v>87</v>
      </c>
      <c r="AK503">
        <v>1648</v>
      </c>
      <c r="AL503">
        <v>3842</v>
      </c>
      <c r="AM503">
        <v>14</v>
      </c>
      <c r="AN503">
        <v>903</v>
      </c>
      <c r="AO503" t="s">
        <v>826</v>
      </c>
    </row>
    <row r="504" spans="1:41">
      <c r="A504">
        <v>496</v>
      </c>
      <c r="B504" s="2">
        <v>45296.6235648148</v>
      </c>
      <c r="C504">
        <v>725.619</v>
      </c>
      <c r="D504" t="s">
        <v>821</v>
      </c>
      <c r="E504" t="s">
        <v>822</v>
      </c>
      <c r="F504">
        <v>12</v>
      </c>
      <c r="G504">
        <f t="shared" si="7"/>
        <v>0</v>
      </c>
      <c r="H504">
        <v>1</v>
      </c>
      <c r="I504">
        <v>576</v>
      </c>
      <c r="J504">
        <v>4941</v>
      </c>
      <c r="K504">
        <v>27344</v>
      </c>
      <c r="L504" s="1">
        <v>-12496</v>
      </c>
      <c r="M504">
        <v>-12496</v>
      </c>
      <c r="N504">
        <v>47.1</v>
      </c>
      <c r="O504">
        <v>3</v>
      </c>
      <c r="P504">
        <v>65535</v>
      </c>
      <c r="Q504">
        <v>1955</v>
      </c>
      <c r="R504">
        <v>-32767</v>
      </c>
      <c r="S504">
        <v>41.2</v>
      </c>
      <c r="T504">
        <v>15</v>
      </c>
      <c r="U504">
        <v>100</v>
      </c>
      <c r="V504">
        <v>34000</v>
      </c>
      <c r="W504">
        <v>5000</v>
      </c>
      <c r="X504" t="s">
        <v>823</v>
      </c>
      <c r="Y504" t="s">
        <v>836</v>
      </c>
      <c r="Z504" t="s">
        <v>828</v>
      </c>
      <c r="AA504">
        <v>8</v>
      </c>
      <c r="AB504">
        <v>6</v>
      </c>
      <c r="AC504">
        <v>76</v>
      </c>
      <c r="AD504">
        <v>4</v>
      </c>
      <c r="AE504">
        <v>573</v>
      </c>
      <c r="AF504">
        <v>4941</v>
      </c>
      <c r="AG504">
        <v>718</v>
      </c>
      <c r="AH504">
        <v>4364</v>
      </c>
      <c r="AI504">
        <v>7</v>
      </c>
      <c r="AJ504">
        <v>87</v>
      </c>
      <c r="AK504">
        <v>1648</v>
      </c>
      <c r="AL504">
        <v>3845</v>
      </c>
      <c r="AM504">
        <v>14</v>
      </c>
      <c r="AN504">
        <v>917</v>
      </c>
      <c r="AO504" t="s">
        <v>826</v>
      </c>
    </row>
    <row r="505" spans="1:41">
      <c r="A505">
        <v>497</v>
      </c>
      <c r="B505" s="2">
        <v>45296.6235763889</v>
      </c>
      <c r="C505">
        <v>726.572</v>
      </c>
      <c r="D505" t="s">
        <v>821</v>
      </c>
      <c r="E505" t="s">
        <v>822</v>
      </c>
      <c r="F505">
        <v>12</v>
      </c>
      <c r="G505">
        <f t="shared" si="7"/>
        <v>0</v>
      </c>
      <c r="H505">
        <v>1</v>
      </c>
      <c r="I505">
        <v>573</v>
      </c>
      <c r="J505">
        <v>4941</v>
      </c>
      <c r="K505">
        <v>27336</v>
      </c>
      <c r="L505" s="1">
        <v>-12496</v>
      </c>
      <c r="M505">
        <v>-12496</v>
      </c>
      <c r="N505">
        <v>47</v>
      </c>
      <c r="O505">
        <v>3</v>
      </c>
      <c r="P505">
        <v>65535</v>
      </c>
      <c r="Q505">
        <v>1944</v>
      </c>
      <c r="R505">
        <v>-32767</v>
      </c>
      <c r="S505">
        <v>41.2</v>
      </c>
      <c r="T505">
        <v>15</v>
      </c>
      <c r="U505">
        <v>100</v>
      </c>
      <c r="V505">
        <v>34000</v>
      </c>
      <c r="W505">
        <v>5000</v>
      </c>
      <c r="X505" t="s">
        <v>823</v>
      </c>
      <c r="Y505" t="s">
        <v>836</v>
      </c>
      <c r="Z505" t="s">
        <v>828</v>
      </c>
      <c r="AA505">
        <v>8</v>
      </c>
      <c r="AB505">
        <v>6</v>
      </c>
      <c r="AC505">
        <v>76</v>
      </c>
      <c r="AD505">
        <v>4</v>
      </c>
      <c r="AE505">
        <v>569</v>
      </c>
      <c r="AF505">
        <v>4941</v>
      </c>
      <c r="AG505">
        <v>719</v>
      </c>
      <c r="AH505">
        <v>4368</v>
      </c>
      <c r="AI505">
        <v>7</v>
      </c>
      <c r="AJ505">
        <v>87</v>
      </c>
      <c r="AK505">
        <v>1648</v>
      </c>
      <c r="AL505">
        <v>3849</v>
      </c>
      <c r="AM505">
        <v>14</v>
      </c>
      <c r="AN505">
        <v>903</v>
      </c>
      <c r="AO505" t="s">
        <v>826</v>
      </c>
    </row>
    <row r="506" spans="1:41">
      <c r="A506">
        <v>498</v>
      </c>
      <c r="B506" s="2">
        <v>45296.6236111111</v>
      </c>
      <c r="C506">
        <v>728.949</v>
      </c>
      <c r="D506" t="s">
        <v>821</v>
      </c>
      <c r="E506" t="s">
        <v>822</v>
      </c>
      <c r="F506">
        <v>12</v>
      </c>
      <c r="G506">
        <f t="shared" si="7"/>
        <v>0</v>
      </c>
      <c r="H506">
        <v>1</v>
      </c>
      <c r="I506">
        <v>566</v>
      </c>
      <c r="J506">
        <v>4941</v>
      </c>
      <c r="K506">
        <v>27328</v>
      </c>
      <c r="L506" s="1">
        <v>-12496</v>
      </c>
      <c r="M506">
        <v>-12496</v>
      </c>
      <c r="N506">
        <v>47.1</v>
      </c>
      <c r="O506">
        <v>3</v>
      </c>
      <c r="P506">
        <v>65535</v>
      </c>
      <c r="Q506">
        <v>1907</v>
      </c>
      <c r="R506">
        <v>-32767</v>
      </c>
      <c r="S506">
        <v>41.2</v>
      </c>
      <c r="T506">
        <v>15</v>
      </c>
      <c r="U506">
        <v>100</v>
      </c>
      <c r="V506">
        <v>34000</v>
      </c>
      <c r="W506">
        <v>5000</v>
      </c>
      <c r="X506" t="s">
        <v>823</v>
      </c>
      <c r="Y506" t="s">
        <v>836</v>
      </c>
      <c r="Z506" t="s">
        <v>828</v>
      </c>
      <c r="AA506">
        <v>9</v>
      </c>
      <c r="AB506">
        <v>6</v>
      </c>
      <c r="AC506">
        <v>76</v>
      </c>
      <c r="AD506">
        <v>4</v>
      </c>
      <c r="AE506">
        <v>603</v>
      </c>
      <c r="AF506">
        <v>4982</v>
      </c>
      <c r="AG506">
        <v>721</v>
      </c>
      <c r="AH506">
        <v>4375</v>
      </c>
      <c r="AI506">
        <v>7</v>
      </c>
      <c r="AJ506">
        <v>87</v>
      </c>
      <c r="AK506">
        <v>1648</v>
      </c>
      <c r="AL506">
        <v>3856</v>
      </c>
      <c r="AM506">
        <v>14</v>
      </c>
      <c r="AN506">
        <v>884</v>
      </c>
      <c r="AO506" t="s">
        <v>826</v>
      </c>
    </row>
    <row r="507" spans="1:41">
      <c r="A507">
        <v>499</v>
      </c>
      <c r="B507" s="2">
        <v>45296.6236111111</v>
      </c>
      <c r="C507">
        <v>729.869</v>
      </c>
      <c r="D507" t="s">
        <v>821</v>
      </c>
      <c r="E507" t="s">
        <v>822</v>
      </c>
      <c r="F507">
        <v>12</v>
      </c>
      <c r="G507">
        <f t="shared" si="7"/>
        <v>0</v>
      </c>
      <c r="H507">
        <v>1</v>
      </c>
      <c r="I507">
        <v>562</v>
      </c>
      <c r="J507">
        <v>4941</v>
      </c>
      <c r="K507">
        <v>27328</v>
      </c>
      <c r="L507" s="1">
        <v>-12496</v>
      </c>
      <c r="M507">
        <v>-12496</v>
      </c>
      <c r="N507">
        <v>47.1</v>
      </c>
      <c r="O507">
        <v>3</v>
      </c>
      <c r="P507">
        <v>65535</v>
      </c>
      <c r="Q507">
        <v>2015</v>
      </c>
      <c r="R507">
        <v>-32767</v>
      </c>
      <c r="S507">
        <v>41.2</v>
      </c>
      <c r="T507">
        <v>15</v>
      </c>
      <c r="U507">
        <v>100</v>
      </c>
      <c r="V507">
        <v>34000</v>
      </c>
      <c r="W507">
        <v>5000</v>
      </c>
      <c r="X507" t="s">
        <v>823</v>
      </c>
      <c r="Y507" t="s">
        <v>836</v>
      </c>
      <c r="Z507" t="s">
        <v>828</v>
      </c>
      <c r="AA507">
        <v>9</v>
      </c>
      <c r="AB507">
        <v>6</v>
      </c>
      <c r="AC507">
        <v>76</v>
      </c>
      <c r="AD507">
        <v>4</v>
      </c>
      <c r="AE507">
        <v>600</v>
      </c>
      <c r="AF507">
        <v>4982</v>
      </c>
      <c r="AG507">
        <v>722</v>
      </c>
      <c r="AH507">
        <v>4378</v>
      </c>
      <c r="AI507">
        <v>7</v>
      </c>
      <c r="AJ507">
        <v>87</v>
      </c>
      <c r="AK507">
        <v>1648</v>
      </c>
      <c r="AL507">
        <v>3859</v>
      </c>
      <c r="AM507">
        <v>14</v>
      </c>
      <c r="AN507">
        <v>902</v>
      </c>
      <c r="AO507" t="s">
        <v>826</v>
      </c>
    </row>
    <row r="508" spans="1:41">
      <c r="A508">
        <v>500</v>
      </c>
      <c r="B508" s="2">
        <v>45296.6236226852</v>
      </c>
      <c r="C508">
        <v>730.81</v>
      </c>
      <c r="D508" t="s">
        <v>821</v>
      </c>
      <c r="E508" t="s">
        <v>822</v>
      </c>
      <c r="F508">
        <v>13</v>
      </c>
      <c r="G508">
        <f t="shared" si="7"/>
        <v>-1</v>
      </c>
      <c r="H508">
        <v>1</v>
      </c>
      <c r="I508">
        <v>600</v>
      </c>
      <c r="J508">
        <v>4982</v>
      </c>
      <c r="K508">
        <v>27328</v>
      </c>
      <c r="L508" s="1">
        <v>-12496</v>
      </c>
      <c r="M508">
        <v>-12496</v>
      </c>
      <c r="N508">
        <v>47.1</v>
      </c>
      <c r="O508">
        <v>3</v>
      </c>
      <c r="P508">
        <v>65535</v>
      </c>
      <c r="Q508">
        <v>2001</v>
      </c>
      <c r="R508">
        <v>-32767</v>
      </c>
      <c r="S508">
        <v>41.3</v>
      </c>
      <c r="T508">
        <v>15</v>
      </c>
      <c r="U508">
        <v>100</v>
      </c>
      <c r="V508">
        <v>34000</v>
      </c>
      <c r="W508">
        <v>5000</v>
      </c>
      <c r="X508" t="s">
        <v>823</v>
      </c>
      <c r="Y508" t="s">
        <v>836</v>
      </c>
      <c r="Z508" t="s">
        <v>828</v>
      </c>
      <c r="AA508">
        <v>9</v>
      </c>
      <c r="AB508">
        <v>6</v>
      </c>
      <c r="AC508">
        <v>76</v>
      </c>
      <c r="AD508">
        <v>4</v>
      </c>
      <c r="AE508">
        <v>596</v>
      </c>
      <c r="AF508">
        <v>4982</v>
      </c>
      <c r="AG508">
        <v>723</v>
      </c>
      <c r="AH508">
        <v>4382</v>
      </c>
      <c r="AI508">
        <v>7</v>
      </c>
      <c r="AJ508">
        <v>87</v>
      </c>
      <c r="AK508">
        <v>1648</v>
      </c>
      <c r="AL508">
        <v>3863</v>
      </c>
      <c r="AM508">
        <v>14</v>
      </c>
      <c r="AN508">
        <v>901</v>
      </c>
      <c r="AO508" t="s">
        <v>826</v>
      </c>
    </row>
    <row r="509" spans="1:41">
      <c r="A509">
        <v>501</v>
      </c>
      <c r="B509" s="2">
        <v>45296.6236574074</v>
      </c>
      <c r="C509">
        <v>733.154</v>
      </c>
      <c r="D509" t="s">
        <v>821</v>
      </c>
      <c r="E509" t="s">
        <v>822</v>
      </c>
      <c r="F509">
        <v>12</v>
      </c>
      <c r="G509">
        <f t="shared" si="7"/>
        <v>1</v>
      </c>
      <c r="H509">
        <v>1</v>
      </c>
      <c r="I509">
        <v>589</v>
      </c>
      <c r="J509">
        <v>4982</v>
      </c>
      <c r="K509">
        <v>27312</v>
      </c>
      <c r="L509" s="1">
        <v>-12496</v>
      </c>
      <c r="M509">
        <v>-12496</v>
      </c>
      <c r="N509">
        <v>47.1</v>
      </c>
      <c r="O509">
        <v>3</v>
      </c>
      <c r="P509">
        <v>65535</v>
      </c>
      <c r="Q509">
        <v>1977</v>
      </c>
      <c r="R509">
        <v>-32767</v>
      </c>
      <c r="S509">
        <v>41.3</v>
      </c>
      <c r="T509">
        <v>15</v>
      </c>
      <c r="U509">
        <v>100</v>
      </c>
      <c r="V509">
        <v>34000</v>
      </c>
      <c r="W509">
        <v>5000</v>
      </c>
      <c r="X509" t="s">
        <v>823</v>
      </c>
      <c r="Y509" t="s">
        <v>836</v>
      </c>
      <c r="Z509" t="s">
        <v>828</v>
      </c>
      <c r="AA509">
        <v>9</v>
      </c>
      <c r="AB509">
        <v>6</v>
      </c>
      <c r="AC509">
        <v>76</v>
      </c>
      <c r="AD509">
        <v>4</v>
      </c>
      <c r="AE509">
        <v>589</v>
      </c>
      <c r="AF509">
        <v>4982</v>
      </c>
      <c r="AG509">
        <v>725</v>
      </c>
      <c r="AH509">
        <v>4389</v>
      </c>
      <c r="AI509">
        <v>7</v>
      </c>
      <c r="AJ509">
        <v>87</v>
      </c>
      <c r="AK509">
        <v>1648</v>
      </c>
      <c r="AL509">
        <v>3870</v>
      </c>
      <c r="AM509">
        <v>14</v>
      </c>
      <c r="AN509">
        <v>911</v>
      </c>
      <c r="AO509" t="s">
        <v>826</v>
      </c>
    </row>
    <row r="510" spans="1:41">
      <c r="A510">
        <v>502</v>
      </c>
      <c r="B510" s="2">
        <v>45296.6236689815</v>
      </c>
      <c r="C510">
        <v>734.105</v>
      </c>
      <c r="D510" t="s">
        <v>821</v>
      </c>
      <c r="E510" t="s">
        <v>822</v>
      </c>
      <c r="F510">
        <v>12</v>
      </c>
      <c r="G510">
        <f t="shared" si="7"/>
        <v>0</v>
      </c>
      <c r="H510">
        <v>1</v>
      </c>
      <c r="I510">
        <v>586</v>
      </c>
      <c r="J510">
        <v>4982</v>
      </c>
      <c r="K510">
        <v>27312</v>
      </c>
      <c r="L510" s="1">
        <v>-12496</v>
      </c>
      <c r="M510">
        <v>-12496</v>
      </c>
      <c r="N510">
        <v>47.1</v>
      </c>
      <c r="O510">
        <v>3</v>
      </c>
      <c r="P510">
        <v>65535</v>
      </c>
      <c r="Q510">
        <v>1967</v>
      </c>
      <c r="R510">
        <v>-32767</v>
      </c>
      <c r="S510">
        <v>41.3</v>
      </c>
      <c r="T510">
        <v>15</v>
      </c>
      <c r="U510">
        <v>100</v>
      </c>
      <c r="V510">
        <v>34000</v>
      </c>
      <c r="W510">
        <v>5000</v>
      </c>
      <c r="X510" t="s">
        <v>823</v>
      </c>
      <c r="Y510" t="s">
        <v>836</v>
      </c>
      <c r="Z510" t="s">
        <v>828</v>
      </c>
      <c r="AA510">
        <v>9</v>
      </c>
      <c r="AB510">
        <v>6</v>
      </c>
      <c r="AC510">
        <v>76</v>
      </c>
      <c r="AD510">
        <v>4</v>
      </c>
      <c r="AE510">
        <v>586</v>
      </c>
      <c r="AF510">
        <v>4982</v>
      </c>
      <c r="AG510">
        <v>726</v>
      </c>
      <c r="AH510">
        <v>4392</v>
      </c>
      <c r="AI510">
        <v>7</v>
      </c>
      <c r="AJ510">
        <v>87</v>
      </c>
      <c r="AK510">
        <v>1648</v>
      </c>
      <c r="AL510">
        <v>3873</v>
      </c>
      <c r="AM510">
        <v>14</v>
      </c>
      <c r="AN510">
        <v>886</v>
      </c>
      <c r="AO510" t="s">
        <v>826</v>
      </c>
    </row>
    <row r="511" spans="1:41">
      <c r="A511">
        <v>503</v>
      </c>
      <c r="B511" s="2">
        <v>45296.6236921296</v>
      </c>
      <c r="C511">
        <v>736.439</v>
      </c>
      <c r="D511" t="s">
        <v>821</v>
      </c>
      <c r="E511" t="s">
        <v>822</v>
      </c>
      <c r="F511">
        <v>12</v>
      </c>
      <c r="G511">
        <f t="shared" si="7"/>
        <v>0</v>
      </c>
      <c r="H511">
        <v>1</v>
      </c>
      <c r="I511">
        <v>579</v>
      </c>
      <c r="J511">
        <v>4982</v>
      </c>
      <c r="K511">
        <v>27304</v>
      </c>
      <c r="L511" s="1">
        <v>-12496</v>
      </c>
      <c r="M511">
        <v>-12496</v>
      </c>
      <c r="N511">
        <v>47.2</v>
      </c>
      <c r="O511">
        <v>3</v>
      </c>
      <c r="P511">
        <v>65535</v>
      </c>
      <c r="Q511">
        <v>1943</v>
      </c>
      <c r="R511">
        <v>-32767</v>
      </c>
      <c r="S511">
        <v>41.3</v>
      </c>
      <c r="T511">
        <v>15</v>
      </c>
      <c r="U511">
        <v>100</v>
      </c>
      <c r="V511">
        <v>34000</v>
      </c>
      <c r="W511">
        <v>5000</v>
      </c>
      <c r="X511" t="s">
        <v>823</v>
      </c>
      <c r="Y511" t="s">
        <v>836</v>
      </c>
      <c r="Z511" t="s">
        <v>828</v>
      </c>
      <c r="AA511">
        <v>9</v>
      </c>
      <c r="AB511">
        <v>6</v>
      </c>
      <c r="AC511">
        <v>76</v>
      </c>
      <c r="AD511">
        <v>4</v>
      </c>
      <c r="AE511">
        <v>579</v>
      </c>
      <c r="AF511">
        <v>4982</v>
      </c>
      <c r="AG511">
        <v>728</v>
      </c>
      <c r="AH511">
        <v>4399</v>
      </c>
      <c r="AI511">
        <v>7</v>
      </c>
      <c r="AJ511">
        <v>87</v>
      </c>
      <c r="AK511">
        <v>1648</v>
      </c>
      <c r="AL511">
        <v>3880</v>
      </c>
      <c r="AM511">
        <v>14</v>
      </c>
      <c r="AN511">
        <v>908</v>
      </c>
      <c r="AO511" t="s">
        <v>826</v>
      </c>
    </row>
    <row r="512" spans="1:41">
      <c r="A512">
        <v>504</v>
      </c>
      <c r="B512" s="2">
        <v>45296.6237037037</v>
      </c>
      <c r="C512">
        <v>737.386</v>
      </c>
      <c r="D512" t="s">
        <v>821</v>
      </c>
      <c r="E512" t="s">
        <v>822</v>
      </c>
      <c r="F512">
        <v>12</v>
      </c>
      <c r="G512">
        <f t="shared" si="7"/>
        <v>0</v>
      </c>
      <c r="H512">
        <v>1</v>
      </c>
      <c r="I512">
        <v>575</v>
      </c>
      <c r="J512">
        <v>4982</v>
      </c>
      <c r="K512">
        <v>27296</v>
      </c>
      <c r="L512" s="1">
        <v>-12496</v>
      </c>
      <c r="M512">
        <v>-12496</v>
      </c>
      <c r="N512">
        <v>47.2</v>
      </c>
      <c r="O512">
        <v>3</v>
      </c>
      <c r="P512">
        <v>65535</v>
      </c>
      <c r="Q512">
        <v>1929</v>
      </c>
      <c r="R512">
        <v>-32767</v>
      </c>
      <c r="S512">
        <v>41.3</v>
      </c>
      <c r="T512">
        <v>15</v>
      </c>
      <c r="U512">
        <v>100</v>
      </c>
      <c r="V512">
        <v>34000</v>
      </c>
      <c r="W512">
        <v>5000</v>
      </c>
      <c r="X512" t="s">
        <v>823</v>
      </c>
      <c r="Y512" t="s">
        <v>836</v>
      </c>
      <c r="Z512" t="s">
        <v>828</v>
      </c>
      <c r="AA512">
        <v>9</v>
      </c>
      <c r="AB512">
        <v>6</v>
      </c>
      <c r="AC512">
        <v>76</v>
      </c>
      <c r="AD512">
        <v>4</v>
      </c>
      <c r="AE512">
        <v>575</v>
      </c>
      <c r="AF512">
        <v>4982</v>
      </c>
      <c r="AG512">
        <v>729</v>
      </c>
      <c r="AH512">
        <v>4403</v>
      </c>
      <c r="AI512">
        <v>7</v>
      </c>
      <c r="AJ512">
        <v>87</v>
      </c>
      <c r="AK512">
        <v>1648</v>
      </c>
      <c r="AL512">
        <v>3884</v>
      </c>
      <c r="AM512">
        <v>14</v>
      </c>
      <c r="AN512">
        <v>901</v>
      </c>
      <c r="AO512" t="s">
        <v>826</v>
      </c>
    </row>
    <row r="513" spans="1:41">
      <c r="A513">
        <v>505</v>
      </c>
      <c r="B513" s="2">
        <v>45296.6237152778</v>
      </c>
      <c r="C513">
        <v>738.326</v>
      </c>
      <c r="D513" t="s">
        <v>821</v>
      </c>
      <c r="E513" t="s">
        <v>822</v>
      </c>
      <c r="F513">
        <v>12</v>
      </c>
      <c r="G513">
        <f t="shared" si="7"/>
        <v>0</v>
      </c>
      <c r="H513">
        <v>1</v>
      </c>
      <c r="I513">
        <v>572</v>
      </c>
      <c r="J513">
        <v>4982</v>
      </c>
      <c r="K513">
        <v>27296</v>
      </c>
      <c r="L513" s="1">
        <v>-12496</v>
      </c>
      <c r="M513">
        <v>-12496</v>
      </c>
      <c r="N513">
        <v>47.2</v>
      </c>
      <c r="O513">
        <v>3</v>
      </c>
      <c r="P513">
        <v>65535</v>
      </c>
      <c r="Q513">
        <v>1919</v>
      </c>
      <c r="R513">
        <v>-32767</v>
      </c>
      <c r="S513">
        <v>41.3</v>
      </c>
      <c r="T513">
        <v>15</v>
      </c>
      <c r="U513">
        <v>100</v>
      </c>
      <c r="V513">
        <v>34000</v>
      </c>
      <c r="W513">
        <v>5000</v>
      </c>
      <c r="X513" t="s">
        <v>823</v>
      </c>
      <c r="Y513" t="s">
        <v>836</v>
      </c>
      <c r="Z513" t="s">
        <v>828</v>
      </c>
      <c r="AA513">
        <v>9</v>
      </c>
      <c r="AB513">
        <v>6</v>
      </c>
      <c r="AC513">
        <v>76</v>
      </c>
      <c r="AD513">
        <v>4</v>
      </c>
      <c r="AE513">
        <v>572</v>
      </c>
      <c r="AF513">
        <v>4982</v>
      </c>
      <c r="AG513">
        <v>730</v>
      </c>
      <c r="AH513">
        <v>4406</v>
      </c>
      <c r="AI513">
        <v>7</v>
      </c>
      <c r="AJ513">
        <v>87</v>
      </c>
      <c r="AK513">
        <v>1648</v>
      </c>
      <c r="AL513">
        <v>3887</v>
      </c>
      <c r="AM513">
        <v>14</v>
      </c>
      <c r="AN513">
        <v>901</v>
      </c>
      <c r="AO513" t="s">
        <v>826</v>
      </c>
    </row>
    <row r="514" spans="1:41">
      <c r="A514">
        <v>506</v>
      </c>
      <c r="B514" s="2">
        <v>45296.6237384259</v>
      </c>
      <c r="C514">
        <v>740.686</v>
      </c>
      <c r="D514" t="s">
        <v>821</v>
      </c>
      <c r="E514" t="s">
        <v>822</v>
      </c>
      <c r="F514">
        <v>12</v>
      </c>
      <c r="G514">
        <f t="shared" si="7"/>
        <v>0</v>
      </c>
      <c r="H514">
        <v>1</v>
      </c>
      <c r="I514">
        <v>565</v>
      </c>
      <c r="J514">
        <v>4982</v>
      </c>
      <c r="K514">
        <v>27288</v>
      </c>
      <c r="L514" s="1">
        <v>-12496</v>
      </c>
      <c r="M514">
        <v>-12496</v>
      </c>
      <c r="N514">
        <v>47.3</v>
      </c>
      <c r="O514">
        <v>3</v>
      </c>
      <c r="P514">
        <v>65535</v>
      </c>
      <c r="Q514">
        <v>1895</v>
      </c>
      <c r="R514">
        <v>-32767</v>
      </c>
      <c r="S514">
        <v>41.3</v>
      </c>
      <c r="T514">
        <v>15</v>
      </c>
      <c r="U514">
        <v>100</v>
      </c>
      <c r="V514">
        <v>34000</v>
      </c>
      <c r="W514">
        <v>5000</v>
      </c>
      <c r="X514" t="s">
        <v>823</v>
      </c>
      <c r="Y514" t="s">
        <v>836</v>
      </c>
      <c r="Z514" t="s">
        <v>828</v>
      </c>
      <c r="AA514">
        <v>9</v>
      </c>
      <c r="AB514">
        <v>6</v>
      </c>
      <c r="AC514">
        <v>76</v>
      </c>
      <c r="AD514">
        <v>4</v>
      </c>
      <c r="AE514">
        <v>561</v>
      </c>
      <c r="AF514">
        <v>4982</v>
      </c>
      <c r="AG514">
        <v>733</v>
      </c>
      <c r="AH514">
        <v>4417</v>
      </c>
      <c r="AI514">
        <v>7</v>
      </c>
      <c r="AJ514">
        <v>87</v>
      </c>
      <c r="AK514">
        <v>1648</v>
      </c>
      <c r="AL514">
        <v>3898</v>
      </c>
      <c r="AM514">
        <v>14</v>
      </c>
      <c r="AN514">
        <v>913</v>
      </c>
      <c r="AO514" t="s">
        <v>826</v>
      </c>
    </row>
    <row r="515" spans="1:41">
      <c r="A515">
        <v>507</v>
      </c>
      <c r="B515" s="2">
        <v>45296.62375</v>
      </c>
      <c r="C515">
        <v>741.633</v>
      </c>
      <c r="D515" t="s">
        <v>821</v>
      </c>
      <c r="E515" t="s">
        <v>822</v>
      </c>
      <c r="F515">
        <v>12</v>
      </c>
      <c r="G515">
        <f t="shared" ref="G515:G578" si="8">F514-F515</f>
        <v>0</v>
      </c>
      <c r="H515">
        <v>1</v>
      </c>
      <c r="I515">
        <v>561</v>
      </c>
      <c r="J515">
        <v>4982</v>
      </c>
      <c r="K515">
        <v>27280</v>
      </c>
      <c r="L515" s="1">
        <v>-12496</v>
      </c>
      <c r="M515">
        <v>-12496</v>
      </c>
      <c r="N515">
        <v>47.3</v>
      </c>
      <c r="O515">
        <v>3</v>
      </c>
      <c r="P515">
        <v>65535</v>
      </c>
      <c r="Q515">
        <v>1881</v>
      </c>
      <c r="R515">
        <v>-32767</v>
      </c>
      <c r="S515">
        <v>41.4</v>
      </c>
      <c r="T515">
        <v>15</v>
      </c>
      <c r="U515">
        <v>100</v>
      </c>
      <c r="V515">
        <v>34000</v>
      </c>
      <c r="W515">
        <v>5000</v>
      </c>
      <c r="X515" t="s">
        <v>823</v>
      </c>
      <c r="Y515" t="s">
        <v>836</v>
      </c>
      <c r="Z515" t="s">
        <v>828</v>
      </c>
      <c r="AA515">
        <v>9</v>
      </c>
      <c r="AB515">
        <v>6</v>
      </c>
      <c r="AC515">
        <v>76</v>
      </c>
      <c r="AD515">
        <v>4</v>
      </c>
      <c r="AE515">
        <v>558</v>
      </c>
      <c r="AF515">
        <v>4982</v>
      </c>
      <c r="AG515">
        <v>734</v>
      </c>
      <c r="AH515">
        <v>4420</v>
      </c>
      <c r="AI515">
        <v>7</v>
      </c>
      <c r="AJ515">
        <v>87</v>
      </c>
      <c r="AK515">
        <v>1648</v>
      </c>
      <c r="AL515">
        <v>3901</v>
      </c>
      <c r="AM515">
        <v>14</v>
      </c>
      <c r="AN515">
        <v>921</v>
      </c>
      <c r="AO515" t="s">
        <v>826</v>
      </c>
    </row>
    <row r="516" spans="1:41">
      <c r="A516">
        <v>508</v>
      </c>
      <c r="B516" s="2">
        <v>45296.6237615741</v>
      </c>
      <c r="C516">
        <v>742.587</v>
      </c>
      <c r="D516" t="s">
        <v>821</v>
      </c>
      <c r="E516" t="s">
        <v>822</v>
      </c>
      <c r="F516">
        <v>12</v>
      </c>
      <c r="G516">
        <f t="shared" si="8"/>
        <v>0</v>
      </c>
      <c r="H516">
        <v>1</v>
      </c>
      <c r="I516">
        <v>558</v>
      </c>
      <c r="J516">
        <v>4982</v>
      </c>
      <c r="K516">
        <v>27280</v>
      </c>
      <c r="L516" s="1">
        <v>-12496</v>
      </c>
      <c r="M516">
        <v>-12496</v>
      </c>
      <c r="N516">
        <v>47.3</v>
      </c>
      <c r="O516">
        <v>3</v>
      </c>
      <c r="P516">
        <v>65535</v>
      </c>
      <c r="Q516">
        <v>1871</v>
      </c>
      <c r="R516">
        <v>-32767</v>
      </c>
      <c r="S516">
        <v>41.4</v>
      </c>
      <c r="T516">
        <v>15</v>
      </c>
      <c r="U516">
        <v>100</v>
      </c>
      <c r="V516">
        <v>34000</v>
      </c>
      <c r="W516">
        <v>5000</v>
      </c>
      <c r="X516" t="s">
        <v>823</v>
      </c>
      <c r="Y516" t="s">
        <v>836</v>
      </c>
      <c r="Z516" t="s">
        <v>828</v>
      </c>
      <c r="AA516">
        <v>9</v>
      </c>
      <c r="AB516">
        <v>6</v>
      </c>
      <c r="AC516">
        <v>76</v>
      </c>
      <c r="AD516">
        <v>4</v>
      </c>
      <c r="AE516">
        <v>554</v>
      </c>
      <c r="AF516">
        <v>4982</v>
      </c>
      <c r="AG516">
        <v>735</v>
      </c>
      <c r="AH516">
        <v>4424</v>
      </c>
      <c r="AI516">
        <v>7</v>
      </c>
      <c r="AJ516">
        <v>87</v>
      </c>
      <c r="AK516">
        <v>1648</v>
      </c>
      <c r="AL516">
        <v>3905</v>
      </c>
      <c r="AM516">
        <v>14</v>
      </c>
      <c r="AN516">
        <v>904</v>
      </c>
      <c r="AO516" t="s">
        <v>826</v>
      </c>
    </row>
    <row r="517" spans="1:41">
      <c r="A517">
        <v>509</v>
      </c>
      <c r="B517" s="2">
        <v>45296.6237962963</v>
      </c>
      <c r="C517">
        <v>744.954</v>
      </c>
      <c r="D517" t="s">
        <v>821</v>
      </c>
      <c r="E517" t="s">
        <v>822</v>
      </c>
      <c r="F517">
        <v>11</v>
      </c>
      <c r="G517">
        <f t="shared" si="8"/>
        <v>1</v>
      </c>
      <c r="H517">
        <v>1</v>
      </c>
      <c r="I517">
        <v>548</v>
      </c>
      <c r="J517">
        <v>4982</v>
      </c>
      <c r="K517">
        <v>27264</v>
      </c>
      <c r="L517" s="1">
        <v>-12496</v>
      </c>
      <c r="M517">
        <v>-12496</v>
      </c>
      <c r="N517">
        <v>47.4</v>
      </c>
      <c r="O517">
        <v>3</v>
      </c>
      <c r="P517">
        <v>65535</v>
      </c>
      <c r="Q517">
        <v>1837</v>
      </c>
      <c r="R517">
        <v>-32767</v>
      </c>
      <c r="S517">
        <v>41.4</v>
      </c>
      <c r="T517">
        <v>15</v>
      </c>
      <c r="U517">
        <v>100</v>
      </c>
      <c r="V517">
        <v>34000</v>
      </c>
      <c r="W517">
        <v>5000</v>
      </c>
      <c r="X517" t="s">
        <v>823</v>
      </c>
      <c r="Y517" t="s">
        <v>836</v>
      </c>
      <c r="Z517" t="s">
        <v>828</v>
      </c>
      <c r="AA517">
        <v>9</v>
      </c>
      <c r="AB517">
        <v>6</v>
      </c>
      <c r="AC517">
        <v>76</v>
      </c>
      <c r="AD517">
        <v>4</v>
      </c>
      <c r="AE517">
        <v>548</v>
      </c>
      <c r="AF517">
        <v>4982</v>
      </c>
      <c r="AG517">
        <v>737</v>
      </c>
      <c r="AH517">
        <v>4430</v>
      </c>
      <c r="AI517">
        <v>7</v>
      </c>
      <c r="AJ517">
        <v>87</v>
      </c>
      <c r="AK517">
        <v>1648</v>
      </c>
      <c r="AL517">
        <v>3911</v>
      </c>
      <c r="AM517">
        <v>14</v>
      </c>
      <c r="AN517">
        <v>909</v>
      </c>
      <c r="AO517" t="s">
        <v>826</v>
      </c>
    </row>
    <row r="518" spans="1:41">
      <c r="A518">
        <v>510</v>
      </c>
      <c r="B518" s="2">
        <v>45296.6237962963</v>
      </c>
      <c r="C518">
        <v>745.902</v>
      </c>
      <c r="D518" t="s">
        <v>821</v>
      </c>
      <c r="E518" t="s">
        <v>822</v>
      </c>
      <c r="F518">
        <v>11</v>
      </c>
      <c r="G518">
        <f t="shared" si="8"/>
        <v>0</v>
      </c>
      <c r="H518">
        <v>1</v>
      </c>
      <c r="I518">
        <v>548</v>
      </c>
      <c r="J518">
        <v>4982</v>
      </c>
      <c r="K518">
        <v>27264</v>
      </c>
      <c r="L518" s="1">
        <v>-12496</v>
      </c>
      <c r="M518">
        <v>-12496</v>
      </c>
      <c r="N518">
        <v>47.4</v>
      </c>
      <c r="O518">
        <v>3</v>
      </c>
      <c r="P518">
        <v>65535</v>
      </c>
      <c r="Q518">
        <v>1823</v>
      </c>
      <c r="R518">
        <v>-32767</v>
      </c>
      <c r="S518">
        <v>41.4</v>
      </c>
      <c r="T518">
        <v>15</v>
      </c>
      <c r="U518">
        <v>100</v>
      </c>
      <c r="V518">
        <v>34000</v>
      </c>
      <c r="W518">
        <v>5000</v>
      </c>
      <c r="X518" t="s">
        <v>823</v>
      </c>
      <c r="Y518" t="s">
        <v>836</v>
      </c>
      <c r="Z518" t="s">
        <v>828</v>
      </c>
      <c r="AA518">
        <v>9</v>
      </c>
      <c r="AB518">
        <v>6</v>
      </c>
      <c r="AC518">
        <v>76</v>
      </c>
      <c r="AD518">
        <v>4</v>
      </c>
      <c r="AE518">
        <v>544</v>
      </c>
      <c r="AF518">
        <v>4982</v>
      </c>
      <c r="AG518">
        <v>738</v>
      </c>
      <c r="AH518">
        <v>4434</v>
      </c>
      <c r="AI518">
        <v>7</v>
      </c>
      <c r="AJ518">
        <v>87</v>
      </c>
      <c r="AK518">
        <v>1648</v>
      </c>
      <c r="AL518">
        <v>3915</v>
      </c>
      <c r="AM518">
        <v>14</v>
      </c>
      <c r="AN518">
        <v>905</v>
      </c>
      <c r="AO518" t="s">
        <v>826</v>
      </c>
    </row>
    <row r="519" spans="1:41">
      <c r="A519">
        <v>511</v>
      </c>
      <c r="B519" s="2">
        <v>45296.6238078704</v>
      </c>
      <c r="C519">
        <v>746.843</v>
      </c>
      <c r="D519" t="s">
        <v>821</v>
      </c>
      <c r="E519" t="s">
        <v>822</v>
      </c>
      <c r="F519">
        <v>11</v>
      </c>
      <c r="G519">
        <f t="shared" si="8"/>
        <v>0</v>
      </c>
      <c r="H519">
        <v>1</v>
      </c>
      <c r="I519">
        <v>544</v>
      </c>
      <c r="J519">
        <v>4982</v>
      </c>
      <c r="K519">
        <v>27264</v>
      </c>
      <c r="L519" s="1">
        <v>-12496</v>
      </c>
      <c r="M519">
        <v>-12496</v>
      </c>
      <c r="N519">
        <v>47.4</v>
      </c>
      <c r="O519">
        <v>3</v>
      </c>
      <c r="P519">
        <v>65535</v>
      </c>
      <c r="Q519">
        <v>1813</v>
      </c>
      <c r="R519">
        <v>-32767</v>
      </c>
      <c r="S519">
        <v>41.4</v>
      </c>
      <c r="T519">
        <v>15</v>
      </c>
      <c r="U519">
        <v>100</v>
      </c>
      <c r="V519">
        <v>34000</v>
      </c>
      <c r="W519">
        <v>5000</v>
      </c>
      <c r="X519" t="s">
        <v>823</v>
      </c>
      <c r="Y519" t="s">
        <v>836</v>
      </c>
      <c r="Z519" t="s">
        <v>828</v>
      </c>
      <c r="AA519">
        <v>9</v>
      </c>
      <c r="AB519">
        <v>6</v>
      </c>
      <c r="AC519">
        <v>76</v>
      </c>
      <c r="AD519">
        <v>4</v>
      </c>
      <c r="AE519">
        <v>541</v>
      </c>
      <c r="AF519">
        <v>4982</v>
      </c>
      <c r="AG519">
        <v>739</v>
      </c>
      <c r="AH519">
        <v>4437</v>
      </c>
      <c r="AI519">
        <v>7</v>
      </c>
      <c r="AJ519">
        <v>87</v>
      </c>
      <c r="AK519">
        <v>1648</v>
      </c>
      <c r="AL519">
        <v>3918</v>
      </c>
      <c r="AM519">
        <v>14</v>
      </c>
      <c r="AN519">
        <v>913</v>
      </c>
      <c r="AO519" t="s">
        <v>826</v>
      </c>
    </row>
    <row r="520" spans="1:41">
      <c r="A520">
        <v>512</v>
      </c>
      <c r="B520" s="2">
        <v>45296.6238425926</v>
      </c>
      <c r="C520">
        <v>749.202</v>
      </c>
      <c r="D520" t="s">
        <v>821</v>
      </c>
      <c r="E520" t="s">
        <v>822</v>
      </c>
      <c r="F520">
        <v>11</v>
      </c>
      <c r="G520">
        <f t="shared" si="8"/>
        <v>0</v>
      </c>
      <c r="H520">
        <v>1</v>
      </c>
      <c r="I520">
        <v>534</v>
      </c>
      <c r="J520">
        <v>4982</v>
      </c>
      <c r="K520">
        <v>27248</v>
      </c>
      <c r="L520" s="1">
        <v>-12496</v>
      </c>
      <c r="M520">
        <v>-12496</v>
      </c>
      <c r="N520">
        <v>47.4</v>
      </c>
      <c r="O520">
        <v>3</v>
      </c>
      <c r="P520">
        <v>65535</v>
      </c>
      <c r="Q520">
        <v>1789</v>
      </c>
      <c r="R520">
        <v>-32767</v>
      </c>
      <c r="S520">
        <v>41.5</v>
      </c>
      <c r="T520">
        <v>15</v>
      </c>
      <c r="U520">
        <v>100</v>
      </c>
      <c r="V520">
        <v>34000</v>
      </c>
      <c r="W520">
        <v>5000</v>
      </c>
      <c r="X520" t="s">
        <v>823</v>
      </c>
      <c r="Y520" t="s">
        <v>836</v>
      </c>
      <c r="Z520" t="s">
        <v>828</v>
      </c>
      <c r="AA520">
        <v>9</v>
      </c>
      <c r="AB520">
        <v>6</v>
      </c>
      <c r="AC520">
        <v>76</v>
      </c>
      <c r="AD520">
        <v>4</v>
      </c>
      <c r="AE520">
        <v>534</v>
      </c>
      <c r="AF520">
        <v>4982</v>
      </c>
      <c r="AG520">
        <v>741</v>
      </c>
      <c r="AH520">
        <v>4444</v>
      </c>
      <c r="AI520">
        <v>7</v>
      </c>
      <c r="AJ520">
        <v>87</v>
      </c>
      <c r="AK520">
        <v>1648</v>
      </c>
      <c r="AL520">
        <v>3925</v>
      </c>
      <c r="AM520">
        <v>14</v>
      </c>
      <c r="AN520">
        <v>927</v>
      </c>
      <c r="AO520" t="s">
        <v>826</v>
      </c>
    </row>
    <row r="521" spans="1:41">
      <c r="A521">
        <v>513</v>
      </c>
      <c r="B521" s="2">
        <v>45296.6238541667</v>
      </c>
      <c r="C521">
        <v>750.165</v>
      </c>
      <c r="D521" t="s">
        <v>821</v>
      </c>
      <c r="E521" t="s">
        <v>822</v>
      </c>
      <c r="F521">
        <v>11</v>
      </c>
      <c r="G521">
        <f t="shared" si="8"/>
        <v>0</v>
      </c>
      <c r="H521">
        <v>1</v>
      </c>
      <c r="I521">
        <v>530</v>
      </c>
      <c r="J521">
        <v>4982</v>
      </c>
      <c r="K521">
        <v>27248</v>
      </c>
      <c r="L521" s="1">
        <v>-12496</v>
      </c>
      <c r="M521">
        <v>-12496</v>
      </c>
      <c r="N521">
        <v>47.4</v>
      </c>
      <c r="O521">
        <v>3</v>
      </c>
      <c r="P521">
        <v>65535</v>
      </c>
      <c r="Q521">
        <v>1776</v>
      </c>
      <c r="R521">
        <v>-32767</v>
      </c>
      <c r="S521">
        <v>41.5</v>
      </c>
      <c r="T521">
        <v>15</v>
      </c>
      <c r="U521">
        <v>100</v>
      </c>
      <c r="V521">
        <v>34000</v>
      </c>
      <c r="W521">
        <v>5000</v>
      </c>
      <c r="X521" t="s">
        <v>823</v>
      </c>
      <c r="Y521" t="s">
        <v>836</v>
      </c>
      <c r="Z521" t="s">
        <v>828</v>
      </c>
      <c r="AA521">
        <v>9</v>
      </c>
      <c r="AB521">
        <v>6</v>
      </c>
      <c r="AC521">
        <v>76</v>
      </c>
      <c r="AD521">
        <v>4</v>
      </c>
      <c r="AE521">
        <v>530</v>
      </c>
      <c r="AF521">
        <v>4982</v>
      </c>
      <c r="AG521">
        <v>742</v>
      </c>
      <c r="AH521">
        <v>4448</v>
      </c>
      <c r="AI521">
        <v>7</v>
      </c>
      <c r="AJ521">
        <v>87</v>
      </c>
      <c r="AK521">
        <v>1648</v>
      </c>
      <c r="AL521">
        <v>3929</v>
      </c>
      <c r="AM521">
        <v>14</v>
      </c>
      <c r="AN521">
        <v>904</v>
      </c>
      <c r="AO521" t="s">
        <v>826</v>
      </c>
    </row>
    <row r="522" spans="1:41">
      <c r="A522">
        <v>514</v>
      </c>
      <c r="B522" s="2">
        <v>45296.6238773148</v>
      </c>
      <c r="C522">
        <v>752.512</v>
      </c>
      <c r="D522" t="s">
        <v>821</v>
      </c>
      <c r="E522" t="s">
        <v>822</v>
      </c>
      <c r="F522">
        <v>11</v>
      </c>
      <c r="G522">
        <f t="shared" si="8"/>
        <v>0</v>
      </c>
      <c r="H522">
        <v>1</v>
      </c>
      <c r="I522">
        <v>523</v>
      </c>
      <c r="J522">
        <v>4982</v>
      </c>
      <c r="K522">
        <v>27240</v>
      </c>
      <c r="L522" s="1">
        <v>-12495</v>
      </c>
      <c r="M522">
        <v>-12496</v>
      </c>
      <c r="N522">
        <v>47.4</v>
      </c>
      <c r="O522">
        <v>3</v>
      </c>
      <c r="P522">
        <v>65535</v>
      </c>
      <c r="Q522">
        <v>1752</v>
      </c>
      <c r="R522">
        <v>-32767</v>
      </c>
      <c r="S522">
        <v>41.5</v>
      </c>
      <c r="T522">
        <v>15</v>
      </c>
      <c r="U522">
        <v>100</v>
      </c>
      <c r="V522">
        <v>34000</v>
      </c>
      <c r="W522">
        <v>5000</v>
      </c>
      <c r="X522" t="s">
        <v>823</v>
      </c>
      <c r="Y522" t="s">
        <v>836</v>
      </c>
      <c r="Z522" t="s">
        <v>828</v>
      </c>
      <c r="AA522">
        <v>9</v>
      </c>
      <c r="AB522">
        <v>6</v>
      </c>
      <c r="AC522">
        <v>76</v>
      </c>
      <c r="AD522">
        <v>4</v>
      </c>
      <c r="AE522">
        <v>523</v>
      </c>
      <c r="AF522">
        <v>4982</v>
      </c>
      <c r="AG522">
        <v>744</v>
      </c>
      <c r="AH522">
        <v>4458</v>
      </c>
      <c r="AI522">
        <v>7</v>
      </c>
      <c r="AJ522">
        <v>87</v>
      </c>
      <c r="AK522">
        <v>1648</v>
      </c>
      <c r="AL522">
        <v>3939</v>
      </c>
      <c r="AM522">
        <v>14</v>
      </c>
      <c r="AN522">
        <v>911</v>
      </c>
      <c r="AO522" t="s">
        <v>826</v>
      </c>
    </row>
    <row r="523" spans="1:41">
      <c r="A523">
        <v>515</v>
      </c>
      <c r="B523" s="2">
        <v>45296.6238888889</v>
      </c>
      <c r="C523">
        <v>753.465</v>
      </c>
      <c r="D523" t="s">
        <v>821</v>
      </c>
      <c r="E523" t="s">
        <v>822</v>
      </c>
      <c r="F523">
        <v>11</v>
      </c>
      <c r="G523">
        <f t="shared" si="8"/>
        <v>0</v>
      </c>
      <c r="H523">
        <v>1</v>
      </c>
      <c r="I523">
        <v>520</v>
      </c>
      <c r="J523">
        <v>4982</v>
      </c>
      <c r="K523">
        <v>27232</v>
      </c>
      <c r="L523" s="1">
        <v>-12496</v>
      </c>
      <c r="M523">
        <v>-12496</v>
      </c>
      <c r="N523">
        <v>47.4</v>
      </c>
      <c r="O523">
        <v>2</v>
      </c>
      <c r="P523">
        <v>65535</v>
      </c>
      <c r="Q523">
        <v>1742</v>
      </c>
      <c r="R523">
        <v>-32767</v>
      </c>
      <c r="S523">
        <v>41.5</v>
      </c>
      <c r="T523">
        <v>15</v>
      </c>
      <c r="U523">
        <v>100</v>
      </c>
      <c r="V523">
        <v>34000</v>
      </c>
      <c r="W523">
        <v>5000</v>
      </c>
      <c r="X523" t="s">
        <v>823</v>
      </c>
      <c r="Y523" t="s">
        <v>836</v>
      </c>
      <c r="Z523" t="s">
        <v>828</v>
      </c>
      <c r="AA523">
        <v>9</v>
      </c>
      <c r="AB523">
        <v>6</v>
      </c>
      <c r="AC523">
        <v>76</v>
      </c>
      <c r="AD523">
        <v>4</v>
      </c>
      <c r="AE523">
        <v>520</v>
      </c>
      <c r="AF523">
        <v>4982</v>
      </c>
      <c r="AG523">
        <v>745</v>
      </c>
      <c r="AH523">
        <v>4458</v>
      </c>
      <c r="AI523">
        <v>7</v>
      </c>
      <c r="AJ523">
        <v>87</v>
      </c>
      <c r="AK523">
        <v>1648</v>
      </c>
      <c r="AL523">
        <v>3943</v>
      </c>
      <c r="AM523">
        <v>14</v>
      </c>
      <c r="AN523">
        <v>901</v>
      </c>
      <c r="AO523" t="s">
        <v>826</v>
      </c>
    </row>
    <row r="524" spans="1:41">
      <c r="A524">
        <v>516</v>
      </c>
      <c r="B524" s="2">
        <v>45296.623900463</v>
      </c>
      <c r="C524">
        <v>754.402</v>
      </c>
      <c r="D524" t="s">
        <v>821</v>
      </c>
      <c r="E524" t="s">
        <v>822</v>
      </c>
      <c r="F524">
        <v>11</v>
      </c>
      <c r="G524">
        <f t="shared" si="8"/>
        <v>0</v>
      </c>
      <c r="H524">
        <v>1</v>
      </c>
      <c r="I524">
        <v>516</v>
      </c>
      <c r="J524">
        <v>4982</v>
      </c>
      <c r="K524">
        <v>27224</v>
      </c>
      <c r="L524" s="1">
        <v>-12496</v>
      </c>
      <c r="M524">
        <v>-12496</v>
      </c>
      <c r="N524">
        <v>47.4</v>
      </c>
      <c r="O524">
        <v>2</v>
      </c>
      <c r="P524">
        <v>65535</v>
      </c>
      <c r="Q524">
        <v>1728</v>
      </c>
      <c r="R524">
        <v>-32767</v>
      </c>
      <c r="S524">
        <v>41.5</v>
      </c>
      <c r="T524">
        <v>15</v>
      </c>
      <c r="U524">
        <v>100</v>
      </c>
      <c r="V524">
        <v>34000</v>
      </c>
      <c r="W524">
        <v>5000</v>
      </c>
      <c r="X524" t="s">
        <v>823</v>
      </c>
      <c r="Y524" t="s">
        <v>836</v>
      </c>
      <c r="Z524" t="s">
        <v>828</v>
      </c>
      <c r="AA524">
        <v>9</v>
      </c>
      <c r="AB524">
        <v>6</v>
      </c>
      <c r="AC524">
        <v>76</v>
      </c>
      <c r="AD524">
        <v>4</v>
      </c>
      <c r="AE524">
        <v>516</v>
      </c>
      <c r="AF524">
        <v>4982</v>
      </c>
      <c r="AG524">
        <v>746</v>
      </c>
      <c r="AH524">
        <v>4462</v>
      </c>
      <c r="AI524">
        <v>7</v>
      </c>
      <c r="AJ524">
        <v>87</v>
      </c>
      <c r="AK524">
        <v>1648</v>
      </c>
      <c r="AL524">
        <v>3943</v>
      </c>
      <c r="AM524">
        <v>14</v>
      </c>
      <c r="AN524">
        <v>898</v>
      </c>
      <c r="AO524" t="s">
        <v>826</v>
      </c>
    </row>
    <row r="525" spans="1:41">
      <c r="A525">
        <v>517</v>
      </c>
      <c r="B525" s="2">
        <v>45296.6239236111</v>
      </c>
      <c r="C525">
        <v>756.785</v>
      </c>
      <c r="D525" t="s">
        <v>821</v>
      </c>
      <c r="E525" t="s">
        <v>822</v>
      </c>
      <c r="F525">
        <v>11</v>
      </c>
      <c r="G525">
        <f t="shared" si="8"/>
        <v>0</v>
      </c>
      <c r="H525">
        <v>1</v>
      </c>
      <c r="I525">
        <v>509</v>
      </c>
      <c r="J525">
        <v>4982</v>
      </c>
      <c r="K525">
        <v>27224</v>
      </c>
      <c r="L525" s="1">
        <v>-12496</v>
      </c>
      <c r="M525">
        <v>-12496</v>
      </c>
      <c r="N525">
        <v>47.5</v>
      </c>
      <c r="O525">
        <v>2</v>
      </c>
      <c r="P525">
        <v>65535</v>
      </c>
      <c r="Q525">
        <v>1694</v>
      </c>
      <c r="R525">
        <v>-32767</v>
      </c>
      <c r="S525">
        <v>41.6</v>
      </c>
      <c r="T525">
        <v>15</v>
      </c>
      <c r="U525">
        <v>100</v>
      </c>
      <c r="V525">
        <v>34000</v>
      </c>
      <c r="W525">
        <v>5000</v>
      </c>
      <c r="X525" t="s">
        <v>823</v>
      </c>
      <c r="Y525" t="s">
        <v>836</v>
      </c>
      <c r="Z525" t="s">
        <v>828</v>
      </c>
      <c r="AA525">
        <v>9</v>
      </c>
      <c r="AB525">
        <v>6</v>
      </c>
      <c r="AC525">
        <v>76</v>
      </c>
      <c r="AD525">
        <v>4</v>
      </c>
      <c r="AE525">
        <v>506</v>
      </c>
      <c r="AF525">
        <v>4982</v>
      </c>
      <c r="AG525">
        <v>749</v>
      </c>
      <c r="AH525">
        <v>4472</v>
      </c>
      <c r="AI525">
        <v>7</v>
      </c>
      <c r="AJ525">
        <v>87</v>
      </c>
      <c r="AK525">
        <v>1648</v>
      </c>
      <c r="AL525">
        <v>3953</v>
      </c>
      <c r="AM525">
        <v>14</v>
      </c>
      <c r="AN525">
        <v>904</v>
      </c>
      <c r="AO525" t="s">
        <v>826</v>
      </c>
    </row>
    <row r="526" spans="1:41">
      <c r="A526">
        <v>518</v>
      </c>
      <c r="B526" s="2">
        <v>45296.6239351852</v>
      </c>
      <c r="C526">
        <v>757.729</v>
      </c>
      <c r="D526" t="s">
        <v>821</v>
      </c>
      <c r="E526" t="s">
        <v>822</v>
      </c>
      <c r="F526">
        <v>11</v>
      </c>
      <c r="G526">
        <f t="shared" si="8"/>
        <v>0</v>
      </c>
      <c r="H526">
        <v>1</v>
      </c>
      <c r="I526">
        <v>506</v>
      </c>
      <c r="J526">
        <v>4982</v>
      </c>
      <c r="K526">
        <v>27216</v>
      </c>
      <c r="L526" s="1">
        <v>-12496</v>
      </c>
      <c r="M526">
        <v>-12496</v>
      </c>
      <c r="N526">
        <v>47.5</v>
      </c>
      <c r="O526">
        <v>2</v>
      </c>
      <c r="P526">
        <v>65535</v>
      </c>
      <c r="Q526">
        <v>1694</v>
      </c>
      <c r="R526">
        <v>-32767</v>
      </c>
      <c r="S526">
        <v>41.6</v>
      </c>
      <c r="T526">
        <v>15</v>
      </c>
      <c r="U526">
        <v>100</v>
      </c>
      <c r="V526">
        <v>34000</v>
      </c>
      <c r="W526">
        <v>5000</v>
      </c>
      <c r="X526" t="s">
        <v>823</v>
      </c>
      <c r="Y526" t="s">
        <v>836</v>
      </c>
      <c r="Z526" t="s">
        <v>828</v>
      </c>
      <c r="AA526">
        <v>9</v>
      </c>
      <c r="AB526">
        <v>6</v>
      </c>
      <c r="AC526">
        <v>76</v>
      </c>
      <c r="AD526">
        <v>4</v>
      </c>
      <c r="AE526">
        <v>502</v>
      </c>
      <c r="AF526">
        <v>4982</v>
      </c>
      <c r="AG526">
        <v>750</v>
      </c>
      <c r="AH526">
        <v>4476</v>
      </c>
      <c r="AI526">
        <v>7</v>
      </c>
      <c r="AJ526">
        <v>87</v>
      </c>
      <c r="AK526">
        <v>1648</v>
      </c>
      <c r="AL526">
        <v>3957</v>
      </c>
      <c r="AM526">
        <v>14</v>
      </c>
      <c r="AN526">
        <v>903</v>
      </c>
      <c r="AO526" t="s">
        <v>826</v>
      </c>
    </row>
    <row r="527" spans="1:41">
      <c r="A527">
        <v>519</v>
      </c>
      <c r="B527" s="2">
        <v>45296.6239467593</v>
      </c>
      <c r="C527">
        <v>758.668</v>
      </c>
      <c r="D527" t="s">
        <v>821</v>
      </c>
      <c r="E527" t="s">
        <v>822</v>
      </c>
      <c r="F527">
        <v>11</v>
      </c>
      <c r="G527">
        <f t="shared" si="8"/>
        <v>0</v>
      </c>
      <c r="H527">
        <v>1</v>
      </c>
      <c r="I527">
        <v>502</v>
      </c>
      <c r="J527">
        <v>4982</v>
      </c>
      <c r="K527">
        <v>27208</v>
      </c>
      <c r="L527" s="1">
        <v>-12496</v>
      </c>
      <c r="M527">
        <v>-12496</v>
      </c>
      <c r="N527">
        <v>47.5</v>
      </c>
      <c r="O527">
        <v>2</v>
      </c>
      <c r="P527">
        <v>65535</v>
      </c>
      <c r="Q527">
        <v>1680</v>
      </c>
      <c r="R527">
        <v>-32767</v>
      </c>
      <c r="S527">
        <v>41.6</v>
      </c>
      <c r="T527">
        <v>15</v>
      </c>
      <c r="U527">
        <v>100</v>
      </c>
      <c r="V527">
        <v>34000</v>
      </c>
      <c r="W527">
        <v>5000</v>
      </c>
      <c r="X527" t="s">
        <v>823</v>
      </c>
      <c r="Y527" t="s">
        <v>836</v>
      </c>
      <c r="Z527" t="s">
        <v>828</v>
      </c>
      <c r="AA527">
        <v>9</v>
      </c>
      <c r="AB527">
        <v>6</v>
      </c>
      <c r="AC527">
        <v>76</v>
      </c>
      <c r="AD527">
        <v>4</v>
      </c>
      <c r="AE527">
        <v>499</v>
      </c>
      <c r="AF527">
        <v>4982</v>
      </c>
      <c r="AG527">
        <v>751</v>
      </c>
      <c r="AH527">
        <v>4479</v>
      </c>
      <c r="AI527">
        <v>7</v>
      </c>
      <c r="AJ527">
        <v>87</v>
      </c>
      <c r="AK527">
        <v>1648</v>
      </c>
      <c r="AL527">
        <v>3960</v>
      </c>
      <c r="AM527">
        <v>14</v>
      </c>
      <c r="AN527">
        <v>900</v>
      </c>
      <c r="AO527" t="s">
        <v>826</v>
      </c>
    </row>
    <row r="528" spans="1:41">
      <c r="A528">
        <v>520</v>
      </c>
      <c r="B528" s="2">
        <v>45296.6239814815</v>
      </c>
      <c r="C528">
        <v>761.051</v>
      </c>
      <c r="D528" t="s">
        <v>821</v>
      </c>
      <c r="E528" t="s">
        <v>822</v>
      </c>
      <c r="F528">
        <v>10</v>
      </c>
      <c r="G528">
        <f t="shared" si="8"/>
        <v>1</v>
      </c>
      <c r="H528">
        <v>1</v>
      </c>
      <c r="I528">
        <v>492</v>
      </c>
      <c r="J528">
        <v>4982</v>
      </c>
      <c r="K528">
        <v>27200</v>
      </c>
      <c r="L528" s="1">
        <v>-12496</v>
      </c>
      <c r="M528">
        <v>-12496</v>
      </c>
      <c r="N528">
        <v>47.6</v>
      </c>
      <c r="O528">
        <v>2</v>
      </c>
      <c r="P528">
        <v>65535</v>
      </c>
      <c r="Q528">
        <v>1646</v>
      </c>
      <c r="R528">
        <v>-32767</v>
      </c>
      <c r="S528">
        <v>41.6</v>
      </c>
      <c r="T528">
        <v>15</v>
      </c>
      <c r="U528">
        <v>100</v>
      </c>
      <c r="V528">
        <v>34000</v>
      </c>
      <c r="W528">
        <v>5000</v>
      </c>
      <c r="X528" t="s">
        <v>823</v>
      </c>
      <c r="Y528" t="s">
        <v>836</v>
      </c>
      <c r="Z528" t="s">
        <v>828</v>
      </c>
      <c r="AA528">
        <v>9</v>
      </c>
      <c r="AB528">
        <v>6</v>
      </c>
      <c r="AC528">
        <v>76</v>
      </c>
      <c r="AD528">
        <v>4</v>
      </c>
      <c r="AE528">
        <v>492</v>
      </c>
      <c r="AF528">
        <v>4982</v>
      </c>
      <c r="AG528">
        <v>753</v>
      </c>
      <c r="AH528">
        <v>4486</v>
      </c>
      <c r="AI528">
        <v>7</v>
      </c>
      <c r="AJ528">
        <v>87</v>
      </c>
      <c r="AK528">
        <v>1648</v>
      </c>
      <c r="AL528">
        <v>3967</v>
      </c>
      <c r="AM528">
        <v>14</v>
      </c>
      <c r="AN528">
        <v>907</v>
      </c>
      <c r="AO528" t="s">
        <v>826</v>
      </c>
    </row>
    <row r="529" spans="1:41">
      <c r="A529">
        <v>521</v>
      </c>
      <c r="B529" s="2">
        <v>45296.6239930556</v>
      </c>
      <c r="C529">
        <v>761.997</v>
      </c>
      <c r="D529" t="s">
        <v>821</v>
      </c>
      <c r="E529" t="s">
        <v>822</v>
      </c>
      <c r="F529">
        <v>10</v>
      </c>
      <c r="G529">
        <f t="shared" si="8"/>
        <v>0</v>
      </c>
      <c r="H529">
        <v>1</v>
      </c>
      <c r="I529">
        <v>489</v>
      </c>
      <c r="J529">
        <v>4982</v>
      </c>
      <c r="K529">
        <v>27192</v>
      </c>
      <c r="L529" s="1">
        <v>-12496</v>
      </c>
      <c r="M529">
        <v>-12496</v>
      </c>
      <c r="N529">
        <v>47.6</v>
      </c>
      <c r="O529">
        <v>2</v>
      </c>
      <c r="P529">
        <v>65535</v>
      </c>
      <c r="Q529">
        <v>1636</v>
      </c>
      <c r="R529">
        <v>-32767</v>
      </c>
      <c r="S529">
        <v>41.6</v>
      </c>
      <c r="T529">
        <v>15</v>
      </c>
      <c r="U529">
        <v>100</v>
      </c>
      <c r="V529">
        <v>34000</v>
      </c>
      <c r="W529">
        <v>5000</v>
      </c>
      <c r="X529" t="s">
        <v>823</v>
      </c>
      <c r="Y529" t="s">
        <v>836</v>
      </c>
      <c r="Z529" t="s">
        <v>828</v>
      </c>
      <c r="AA529">
        <v>9</v>
      </c>
      <c r="AB529">
        <v>6</v>
      </c>
      <c r="AC529">
        <v>76</v>
      </c>
      <c r="AD529">
        <v>4</v>
      </c>
      <c r="AE529">
        <v>489</v>
      </c>
      <c r="AF529">
        <v>4982</v>
      </c>
      <c r="AG529">
        <v>754</v>
      </c>
      <c r="AH529">
        <v>4489</v>
      </c>
      <c r="AI529">
        <v>7</v>
      </c>
      <c r="AJ529">
        <v>87</v>
      </c>
      <c r="AK529">
        <v>1648</v>
      </c>
      <c r="AL529">
        <v>3970</v>
      </c>
      <c r="AM529">
        <v>14</v>
      </c>
      <c r="AN529">
        <v>900</v>
      </c>
      <c r="AO529" t="s">
        <v>826</v>
      </c>
    </row>
    <row r="530" spans="1:41">
      <c r="A530">
        <v>522</v>
      </c>
      <c r="B530" s="2">
        <v>45296.6240046296</v>
      </c>
      <c r="C530">
        <v>762.947</v>
      </c>
      <c r="D530" t="s">
        <v>821</v>
      </c>
      <c r="E530" t="s">
        <v>822</v>
      </c>
      <c r="F530">
        <v>10</v>
      </c>
      <c r="G530">
        <f t="shared" si="8"/>
        <v>0</v>
      </c>
      <c r="H530">
        <v>1</v>
      </c>
      <c r="I530">
        <v>485</v>
      </c>
      <c r="J530">
        <v>4982</v>
      </c>
      <c r="K530">
        <v>27192</v>
      </c>
      <c r="L530" s="1">
        <v>-12495</v>
      </c>
      <c r="M530">
        <v>-12496</v>
      </c>
      <c r="N530">
        <v>47.7</v>
      </c>
      <c r="O530">
        <v>2</v>
      </c>
      <c r="P530">
        <v>65535</v>
      </c>
      <c r="Q530">
        <v>1623</v>
      </c>
      <c r="R530">
        <v>-32767</v>
      </c>
      <c r="S530">
        <v>41.7</v>
      </c>
      <c r="T530">
        <v>15</v>
      </c>
      <c r="U530">
        <v>100</v>
      </c>
      <c r="V530">
        <v>34000</v>
      </c>
      <c r="W530">
        <v>5000</v>
      </c>
      <c r="X530" t="s">
        <v>823</v>
      </c>
      <c r="Y530" t="s">
        <v>836</v>
      </c>
      <c r="Z530" t="s">
        <v>828</v>
      </c>
      <c r="AA530">
        <v>9</v>
      </c>
      <c r="AB530">
        <v>6</v>
      </c>
      <c r="AC530">
        <v>76</v>
      </c>
      <c r="AD530">
        <v>4</v>
      </c>
      <c r="AE530">
        <v>485</v>
      </c>
      <c r="AF530">
        <v>4982</v>
      </c>
      <c r="AG530">
        <v>755</v>
      </c>
      <c r="AH530">
        <v>4493</v>
      </c>
      <c r="AI530">
        <v>7</v>
      </c>
      <c r="AJ530">
        <v>87</v>
      </c>
      <c r="AK530">
        <v>1648</v>
      </c>
      <c r="AL530">
        <v>3974</v>
      </c>
      <c r="AM530">
        <v>14</v>
      </c>
      <c r="AN530">
        <v>902</v>
      </c>
      <c r="AO530" t="s">
        <v>826</v>
      </c>
    </row>
    <row r="531" spans="1:41">
      <c r="A531">
        <v>523</v>
      </c>
      <c r="B531" s="2">
        <v>45296.6240277778</v>
      </c>
      <c r="C531">
        <v>765.338</v>
      </c>
      <c r="D531" t="s">
        <v>821</v>
      </c>
      <c r="E531" t="s">
        <v>822</v>
      </c>
      <c r="F531">
        <v>10</v>
      </c>
      <c r="G531">
        <f t="shared" si="8"/>
        <v>0</v>
      </c>
      <c r="H531">
        <v>1</v>
      </c>
      <c r="I531">
        <v>478</v>
      </c>
      <c r="J531">
        <v>4982</v>
      </c>
      <c r="K531">
        <v>27168</v>
      </c>
      <c r="L531" s="1">
        <v>-12498</v>
      </c>
      <c r="M531">
        <v>-12496</v>
      </c>
      <c r="N531">
        <v>47.7</v>
      </c>
      <c r="O531">
        <v>2</v>
      </c>
      <c r="P531">
        <v>65535</v>
      </c>
      <c r="Q531">
        <v>1599</v>
      </c>
      <c r="R531">
        <v>-32767</v>
      </c>
      <c r="S531">
        <v>41.7</v>
      </c>
      <c r="T531">
        <v>16</v>
      </c>
      <c r="U531">
        <v>100</v>
      </c>
      <c r="V531">
        <v>34000</v>
      </c>
      <c r="W531">
        <v>5000</v>
      </c>
      <c r="X531" t="s">
        <v>823</v>
      </c>
      <c r="Y531" t="s">
        <v>836</v>
      </c>
      <c r="Z531" t="s">
        <v>828</v>
      </c>
      <c r="AA531">
        <v>9</v>
      </c>
      <c r="AB531">
        <v>6</v>
      </c>
      <c r="AC531">
        <v>76</v>
      </c>
      <c r="AD531">
        <v>4</v>
      </c>
      <c r="AE531">
        <v>478</v>
      </c>
      <c r="AF531">
        <v>4982</v>
      </c>
      <c r="AG531">
        <v>757</v>
      </c>
      <c r="AH531">
        <v>4500</v>
      </c>
      <c r="AI531">
        <v>7</v>
      </c>
      <c r="AJ531">
        <v>87</v>
      </c>
      <c r="AK531">
        <v>1648</v>
      </c>
      <c r="AL531">
        <v>3981</v>
      </c>
      <c r="AM531">
        <v>14</v>
      </c>
      <c r="AN531">
        <v>903</v>
      </c>
      <c r="AO531" t="s">
        <v>826</v>
      </c>
    </row>
    <row r="532" spans="1:41">
      <c r="A532">
        <v>524</v>
      </c>
      <c r="B532" s="2">
        <v>45296.6240393519</v>
      </c>
      <c r="C532">
        <v>766.278</v>
      </c>
      <c r="D532" t="s">
        <v>821</v>
      </c>
      <c r="E532" t="s">
        <v>822</v>
      </c>
      <c r="F532">
        <v>10</v>
      </c>
      <c r="G532">
        <f t="shared" si="8"/>
        <v>0</v>
      </c>
      <c r="H532">
        <v>1</v>
      </c>
      <c r="I532">
        <v>475</v>
      </c>
      <c r="J532">
        <v>4982</v>
      </c>
      <c r="K532">
        <v>27176</v>
      </c>
      <c r="L532" s="1">
        <v>-12496</v>
      </c>
      <c r="M532">
        <v>-12496</v>
      </c>
      <c r="N532">
        <v>47.7</v>
      </c>
      <c r="O532">
        <v>2</v>
      </c>
      <c r="P532">
        <v>65535</v>
      </c>
      <c r="Q532">
        <v>1589</v>
      </c>
      <c r="R532">
        <v>-32767</v>
      </c>
      <c r="S532">
        <v>41.7</v>
      </c>
      <c r="T532">
        <v>16</v>
      </c>
      <c r="U532">
        <v>100</v>
      </c>
      <c r="V532">
        <v>34000</v>
      </c>
      <c r="W532">
        <v>5000</v>
      </c>
      <c r="X532" t="s">
        <v>823</v>
      </c>
      <c r="Y532" t="s">
        <v>836</v>
      </c>
      <c r="Z532" t="s">
        <v>828</v>
      </c>
      <c r="AA532">
        <v>9</v>
      </c>
      <c r="AB532">
        <v>6</v>
      </c>
      <c r="AC532">
        <v>76</v>
      </c>
      <c r="AD532">
        <v>4</v>
      </c>
      <c r="AE532">
        <v>475</v>
      </c>
      <c r="AF532">
        <v>4982</v>
      </c>
      <c r="AG532">
        <v>758</v>
      </c>
      <c r="AH532">
        <v>4503</v>
      </c>
      <c r="AI532">
        <v>7</v>
      </c>
      <c r="AJ532">
        <v>87</v>
      </c>
      <c r="AK532">
        <v>1648</v>
      </c>
      <c r="AL532">
        <v>3984</v>
      </c>
      <c r="AM532">
        <v>14</v>
      </c>
      <c r="AN532">
        <v>902</v>
      </c>
      <c r="AO532" t="s">
        <v>826</v>
      </c>
    </row>
    <row r="533" spans="1:41">
      <c r="A533">
        <v>525</v>
      </c>
      <c r="B533" s="2">
        <v>45296.6240625</v>
      </c>
      <c r="C533">
        <v>768.704</v>
      </c>
      <c r="D533" t="s">
        <v>821</v>
      </c>
      <c r="E533" t="s">
        <v>822</v>
      </c>
      <c r="F533">
        <v>10</v>
      </c>
      <c r="G533">
        <f t="shared" si="8"/>
        <v>0</v>
      </c>
      <c r="H533">
        <v>1</v>
      </c>
      <c r="I533">
        <v>468</v>
      </c>
      <c r="J533">
        <v>4982</v>
      </c>
      <c r="K533">
        <v>27168</v>
      </c>
      <c r="L533" s="1">
        <v>-12496</v>
      </c>
      <c r="M533">
        <v>-12496</v>
      </c>
      <c r="N533">
        <v>47.7</v>
      </c>
      <c r="O533">
        <v>2</v>
      </c>
      <c r="P533">
        <v>65535</v>
      </c>
      <c r="Q533">
        <v>1565</v>
      </c>
      <c r="R533">
        <v>-32767</v>
      </c>
      <c r="S533">
        <v>41.8</v>
      </c>
      <c r="T533">
        <v>16</v>
      </c>
      <c r="U533">
        <v>100</v>
      </c>
      <c r="V533">
        <v>34000</v>
      </c>
      <c r="W533">
        <v>5000</v>
      </c>
      <c r="X533" t="s">
        <v>823</v>
      </c>
      <c r="Y533" t="s">
        <v>836</v>
      </c>
      <c r="Z533" t="s">
        <v>828</v>
      </c>
      <c r="AA533">
        <v>9</v>
      </c>
      <c r="AB533">
        <v>6</v>
      </c>
      <c r="AC533">
        <v>76</v>
      </c>
      <c r="AD533">
        <v>4</v>
      </c>
      <c r="AE533">
        <v>464</v>
      </c>
      <c r="AF533">
        <v>4982</v>
      </c>
      <c r="AG533">
        <v>761</v>
      </c>
      <c r="AH533">
        <v>4514</v>
      </c>
      <c r="AI533">
        <v>7</v>
      </c>
      <c r="AJ533">
        <v>87</v>
      </c>
      <c r="AK533">
        <v>1648</v>
      </c>
      <c r="AL533">
        <v>3995</v>
      </c>
      <c r="AM533">
        <v>14</v>
      </c>
      <c r="AN533">
        <v>910</v>
      </c>
      <c r="AO533" t="s">
        <v>826</v>
      </c>
    </row>
    <row r="534" spans="1:41">
      <c r="A534">
        <v>526</v>
      </c>
      <c r="B534" s="2">
        <v>45296.6240740741</v>
      </c>
      <c r="C534">
        <v>769.652</v>
      </c>
      <c r="D534" t="s">
        <v>821</v>
      </c>
      <c r="E534" t="s">
        <v>822</v>
      </c>
      <c r="F534">
        <v>10</v>
      </c>
      <c r="G534">
        <f t="shared" si="8"/>
        <v>0</v>
      </c>
      <c r="H534">
        <v>1</v>
      </c>
      <c r="I534">
        <v>464</v>
      </c>
      <c r="J534">
        <v>4982</v>
      </c>
      <c r="K534">
        <v>27152</v>
      </c>
      <c r="L534" s="1">
        <v>-12496</v>
      </c>
      <c r="M534">
        <v>-12496</v>
      </c>
      <c r="N534">
        <v>47.8</v>
      </c>
      <c r="O534">
        <v>2</v>
      </c>
      <c r="P534">
        <v>65535</v>
      </c>
      <c r="Q534">
        <v>1551</v>
      </c>
      <c r="R534">
        <v>-32767</v>
      </c>
      <c r="S534">
        <v>41.7</v>
      </c>
      <c r="T534">
        <v>16</v>
      </c>
      <c r="U534">
        <v>100</v>
      </c>
      <c r="V534">
        <v>34000</v>
      </c>
      <c r="W534">
        <v>5000</v>
      </c>
      <c r="X534" t="s">
        <v>823</v>
      </c>
      <c r="Y534" t="s">
        <v>836</v>
      </c>
      <c r="Z534" t="s">
        <v>828</v>
      </c>
      <c r="AA534">
        <v>9</v>
      </c>
      <c r="AB534">
        <v>6</v>
      </c>
      <c r="AC534">
        <v>76</v>
      </c>
      <c r="AD534">
        <v>4</v>
      </c>
      <c r="AE534">
        <v>461</v>
      </c>
      <c r="AF534">
        <v>4982</v>
      </c>
      <c r="AG534">
        <v>762</v>
      </c>
      <c r="AH534">
        <v>4517</v>
      </c>
      <c r="AI534">
        <v>7</v>
      </c>
      <c r="AJ534">
        <v>87</v>
      </c>
      <c r="AK534">
        <v>1648</v>
      </c>
      <c r="AL534">
        <v>3998</v>
      </c>
      <c r="AM534">
        <v>14</v>
      </c>
      <c r="AN534">
        <v>902</v>
      </c>
      <c r="AO534" t="s">
        <v>826</v>
      </c>
    </row>
    <row r="535" spans="1:41">
      <c r="A535">
        <v>527</v>
      </c>
      <c r="B535" s="2">
        <v>45296.6240856481</v>
      </c>
      <c r="C535">
        <v>770.632</v>
      </c>
      <c r="D535" t="s">
        <v>821</v>
      </c>
      <c r="E535" t="s">
        <v>822</v>
      </c>
      <c r="F535">
        <v>10</v>
      </c>
      <c r="G535">
        <f t="shared" si="8"/>
        <v>0</v>
      </c>
      <c r="H535">
        <v>1</v>
      </c>
      <c r="I535">
        <v>461</v>
      </c>
      <c r="J535">
        <v>4982</v>
      </c>
      <c r="K535">
        <v>27152</v>
      </c>
      <c r="L535" s="1">
        <v>-12496</v>
      </c>
      <c r="M535">
        <v>-12496</v>
      </c>
      <c r="N535">
        <v>47.8</v>
      </c>
      <c r="O535">
        <v>2</v>
      </c>
      <c r="P535">
        <v>65535</v>
      </c>
      <c r="Q535">
        <v>1541</v>
      </c>
      <c r="R535">
        <v>-32767</v>
      </c>
      <c r="S535">
        <v>41.8</v>
      </c>
      <c r="T535">
        <v>16</v>
      </c>
      <c r="U535">
        <v>100</v>
      </c>
      <c r="V535">
        <v>34000</v>
      </c>
      <c r="W535">
        <v>5000</v>
      </c>
      <c r="X535" t="s">
        <v>823</v>
      </c>
      <c r="Y535" t="s">
        <v>836</v>
      </c>
      <c r="Z535" t="s">
        <v>828</v>
      </c>
      <c r="AA535">
        <v>9</v>
      </c>
      <c r="AB535">
        <v>6</v>
      </c>
      <c r="AC535">
        <v>76</v>
      </c>
      <c r="AD535">
        <v>4</v>
      </c>
      <c r="AE535">
        <v>457</v>
      </c>
      <c r="AF535">
        <v>4982</v>
      </c>
      <c r="AG535">
        <v>763</v>
      </c>
      <c r="AH535">
        <v>4521</v>
      </c>
      <c r="AI535">
        <v>7</v>
      </c>
      <c r="AJ535">
        <v>87</v>
      </c>
      <c r="AK535">
        <v>1648</v>
      </c>
      <c r="AL535">
        <v>4002</v>
      </c>
      <c r="AM535">
        <v>14</v>
      </c>
      <c r="AN535">
        <v>907</v>
      </c>
      <c r="AO535" t="s">
        <v>826</v>
      </c>
    </row>
    <row r="536" spans="1:41">
      <c r="A536">
        <v>528</v>
      </c>
      <c r="B536" s="2">
        <v>45296.6241203704</v>
      </c>
      <c r="C536">
        <v>772.986</v>
      </c>
      <c r="D536" t="s">
        <v>821</v>
      </c>
      <c r="E536" t="s">
        <v>822</v>
      </c>
      <c r="F536">
        <v>10</v>
      </c>
      <c r="G536">
        <f t="shared" si="8"/>
        <v>0</v>
      </c>
      <c r="H536">
        <v>1</v>
      </c>
      <c r="I536">
        <v>450</v>
      </c>
      <c r="J536">
        <v>4982</v>
      </c>
      <c r="K536">
        <v>27144</v>
      </c>
      <c r="L536" s="1">
        <v>-12496</v>
      </c>
      <c r="M536">
        <v>-12496</v>
      </c>
      <c r="N536">
        <v>47.9</v>
      </c>
      <c r="O536">
        <v>2</v>
      </c>
      <c r="P536">
        <v>65535</v>
      </c>
      <c r="Q536">
        <v>1504</v>
      </c>
      <c r="R536">
        <v>-32767</v>
      </c>
      <c r="S536">
        <v>41.8</v>
      </c>
      <c r="T536">
        <v>16</v>
      </c>
      <c r="U536">
        <v>100</v>
      </c>
      <c r="V536">
        <v>34000</v>
      </c>
      <c r="W536">
        <v>5000</v>
      </c>
      <c r="X536" t="s">
        <v>823</v>
      </c>
      <c r="Y536" t="s">
        <v>836</v>
      </c>
      <c r="Z536" t="s">
        <v>828</v>
      </c>
      <c r="AA536">
        <v>9</v>
      </c>
      <c r="AB536">
        <v>6</v>
      </c>
      <c r="AC536">
        <v>76</v>
      </c>
      <c r="AD536">
        <v>4</v>
      </c>
      <c r="AE536">
        <v>450</v>
      </c>
      <c r="AF536">
        <v>4982</v>
      </c>
      <c r="AG536">
        <v>765</v>
      </c>
      <c r="AH536">
        <v>4528</v>
      </c>
      <c r="AI536">
        <v>7</v>
      </c>
      <c r="AJ536">
        <v>87</v>
      </c>
      <c r="AK536">
        <v>1648</v>
      </c>
      <c r="AL536">
        <v>4009</v>
      </c>
      <c r="AM536">
        <v>14</v>
      </c>
      <c r="AN536">
        <v>911</v>
      </c>
      <c r="AO536" t="s">
        <v>826</v>
      </c>
    </row>
    <row r="537" spans="1:41">
      <c r="A537">
        <v>529</v>
      </c>
      <c r="B537" s="2">
        <v>45296.6241319444</v>
      </c>
      <c r="C537">
        <v>773.935</v>
      </c>
      <c r="D537" t="s">
        <v>821</v>
      </c>
      <c r="E537" t="s">
        <v>822</v>
      </c>
      <c r="F537">
        <v>10</v>
      </c>
      <c r="G537">
        <f t="shared" si="8"/>
        <v>0</v>
      </c>
      <c r="H537">
        <v>1</v>
      </c>
      <c r="I537">
        <v>447</v>
      </c>
      <c r="J537">
        <v>4982</v>
      </c>
      <c r="K537">
        <v>27136</v>
      </c>
      <c r="L537" s="1">
        <v>-12496</v>
      </c>
      <c r="M537">
        <v>-12496</v>
      </c>
      <c r="N537">
        <v>47.9</v>
      </c>
      <c r="O537">
        <v>2</v>
      </c>
      <c r="P537">
        <v>65535</v>
      </c>
      <c r="Q537">
        <v>1494</v>
      </c>
      <c r="R537">
        <v>-32767</v>
      </c>
      <c r="S537">
        <v>41.8</v>
      </c>
      <c r="T537">
        <v>16</v>
      </c>
      <c r="U537">
        <v>100</v>
      </c>
      <c r="V537">
        <v>34000</v>
      </c>
      <c r="W537">
        <v>5000</v>
      </c>
      <c r="X537" t="s">
        <v>823</v>
      </c>
      <c r="Y537" t="s">
        <v>836</v>
      </c>
      <c r="Z537" t="s">
        <v>828</v>
      </c>
      <c r="AA537">
        <v>9</v>
      </c>
      <c r="AB537">
        <v>6</v>
      </c>
      <c r="AC537">
        <v>76</v>
      </c>
      <c r="AD537">
        <v>4</v>
      </c>
      <c r="AE537">
        <v>447</v>
      </c>
      <c r="AF537">
        <v>4982</v>
      </c>
      <c r="AG537">
        <v>766</v>
      </c>
      <c r="AH537">
        <v>4531</v>
      </c>
      <c r="AI537">
        <v>7</v>
      </c>
      <c r="AJ537">
        <v>87</v>
      </c>
      <c r="AK537">
        <v>1648</v>
      </c>
      <c r="AL537">
        <v>4012</v>
      </c>
      <c r="AM537">
        <v>14</v>
      </c>
      <c r="AN537">
        <v>900</v>
      </c>
      <c r="AO537" t="s">
        <v>826</v>
      </c>
    </row>
    <row r="538" spans="1:41">
      <c r="A538">
        <v>530</v>
      </c>
      <c r="B538" s="2">
        <v>45296.6241319444</v>
      </c>
      <c r="C538">
        <v>774.877</v>
      </c>
      <c r="D538" t="s">
        <v>821</v>
      </c>
      <c r="E538" t="s">
        <v>822</v>
      </c>
      <c r="F538">
        <v>9</v>
      </c>
      <c r="G538">
        <f t="shared" si="8"/>
        <v>1</v>
      </c>
      <c r="H538">
        <v>1</v>
      </c>
      <c r="I538">
        <v>447</v>
      </c>
      <c r="J538">
        <v>4982</v>
      </c>
      <c r="K538">
        <v>27136</v>
      </c>
      <c r="L538" s="1">
        <v>-12496</v>
      </c>
      <c r="M538">
        <v>-12496</v>
      </c>
      <c r="N538">
        <v>47.9</v>
      </c>
      <c r="O538">
        <v>2</v>
      </c>
      <c r="P538">
        <v>65535</v>
      </c>
      <c r="Q538">
        <v>1480</v>
      </c>
      <c r="R538">
        <v>-32767</v>
      </c>
      <c r="S538">
        <v>41.8</v>
      </c>
      <c r="T538">
        <v>16</v>
      </c>
      <c r="U538">
        <v>100</v>
      </c>
      <c r="V538">
        <v>34000</v>
      </c>
      <c r="W538">
        <v>5000</v>
      </c>
      <c r="X538" t="s">
        <v>823</v>
      </c>
      <c r="Y538" t="s">
        <v>836</v>
      </c>
      <c r="Z538" t="s">
        <v>828</v>
      </c>
      <c r="AA538">
        <v>9</v>
      </c>
      <c r="AB538">
        <v>6</v>
      </c>
      <c r="AC538">
        <v>76</v>
      </c>
      <c r="AD538">
        <v>4</v>
      </c>
      <c r="AE538">
        <v>443</v>
      </c>
      <c r="AF538">
        <v>4982</v>
      </c>
      <c r="AG538">
        <v>767</v>
      </c>
      <c r="AH538">
        <v>4535</v>
      </c>
      <c r="AI538">
        <v>7</v>
      </c>
      <c r="AJ538">
        <v>87</v>
      </c>
      <c r="AK538">
        <v>1648</v>
      </c>
      <c r="AL538">
        <v>4016</v>
      </c>
      <c r="AM538">
        <v>14</v>
      </c>
      <c r="AN538">
        <v>912</v>
      </c>
      <c r="AO538" t="s">
        <v>826</v>
      </c>
    </row>
    <row r="539" spans="1:41">
      <c r="A539">
        <v>531</v>
      </c>
      <c r="B539" s="2">
        <v>45296.6241666667</v>
      </c>
      <c r="C539">
        <v>777.255</v>
      </c>
      <c r="D539" t="s">
        <v>821</v>
      </c>
      <c r="E539" t="s">
        <v>822</v>
      </c>
      <c r="F539">
        <v>9</v>
      </c>
      <c r="G539">
        <f t="shared" si="8"/>
        <v>0</v>
      </c>
      <c r="H539">
        <v>1</v>
      </c>
      <c r="I539">
        <v>436</v>
      </c>
      <c r="J539">
        <v>4982</v>
      </c>
      <c r="K539">
        <v>27120</v>
      </c>
      <c r="L539" s="1">
        <v>-12495</v>
      </c>
      <c r="M539">
        <v>-12496</v>
      </c>
      <c r="N539">
        <v>47.9</v>
      </c>
      <c r="O539">
        <v>2</v>
      </c>
      <c r="P539">
        <v>65535</v>
      </c>
      <c r="Q539">
        <v>1456</v>
      </c>
      <c r="R539">
        <v>-32767</v>
      </c>
      <c r="S539">
        <v>41.8</v>
      </c>
      <c r="T539">
        <v>16</v>
      </c>
      <c r="U539">
        <v>100</v>
      </c>
      <c r="V539">
        <v>34000</v>
      </c>
      <c r="W539">
        <v>5000</v>
      </c>
      <c r="X539" t="s">
        <v>823</v>
      </c>
      <c r="Y539" t="s">
        <v>836</v>
      </c>
      <c r="Z539" t="s">
        <v>828</v>
      </c>
      <c r="AA539">
        <v>10</v>
      </c>
      <c r="AB539">
        <v>6</v>
      </c>
      <c r="AC539">
        <v>76</v>
      </c>
      <c r="AD539">
        <v>4</v>
      </c>
      <c r="AE539">
        <v>319</v>
      </c>
      <c r="AF539">
        <v>4865</v>
      </c>
      <c r="AG539">
        <v>769</v>
      </c>
      <c r="AH539">
        <v>4542</v>
      </c>
      <c r="AI539">
        <v>7</v>
      </c>
      <c r="AJ539">
        <v>87</v>
      </c>
      <c r="AK539">
        <v>1648</v>
      </c>
      <c r="AL539">
        <v>4023</v>
      </c>
      <c r="AM539">
        <v>14</v>
      </c>
      <c r="AN539">
        <v>905</v>
      </c>
      <c r="AO539" t="s">
        <v>826</v>
      </c>
    </row>
    <row r="540" spans="1:41">
      <c r="A540">
        <v>532</v>
      </c>
      <c r="B540" s="2">
        <v>45296.6241782407</v>
      </c>
      <c r="C540">
        <v>778.198</v>
      </c>
      <c r="D540" t="s">
        <v>821</v>
      </c>
      <c r="E540" t="s">
        <v>822</v>
      </c>
      <c r="F540">
        <v>7</v>
      </c>
      <c r="G540">
        <f t="shared" si="8"/>
        <v>2</v>
      </c>
      <c r="H540">
        <v>1</v>
      </c>
      <c r="I540">
        <v>316</v>
      </c>
      <c r="J540">
        <v>4865</v>
      </c>
      <c r="K540">
        <v>27120</v>
      </c>
      <c r="L540" s="1">
        <v>-12498</v>
      </c>
      <c r="M540">
        <v>-12496</v>
      </c>
      <c r="N540">
        <v>47.9</v>
      </c>
      <c r="O540">
        <v>2</v>
      </c>
      <c r="P540">
        <v>65535</v>
      </c>
      <c r="Q540">
        <v>1040</v>
      </c>
      <c r="R540">
        <v>-32767</v>
      </c>
      <c r="S540">
        <v>41.8</v>
      </c>
      <c r="T540">
        <v>16</v>
      </c>
      <c r="U540">
        <v>100</v>
      </c>
      <c r="V540">
        <v>34000</v>
      </c>
      <c r="W540">
        <v>5000</v>
      </c>
      <c r="X540" t="s">
        <v>823</v>
      </c>
      <c r="Y540" t="s">
        <v>836</v>
      </c>
      <c r="Z540" t="s">
        <v>828</v>
      </c>
      <c r="AA540">
        <v>10</v>
      </c>
      <c r="AB540">
        <v>6</v>
      </c>
      <c r="AC540">
        <v>76</v>
      </c>
      <c r="AD540">
        <v>4</v>
      </c>
      <c r="AE540">
        <v>316</v>
      </c>
      <c r="AF540">
        <v>4865</v>
      </c>
      <c r="AG540">
        <v>770</v>
      </c>
      <c r="AH540">
        <v>4545</v>
      </c>
      <c r="AI540">
        <v>7</v>
      </c>
      <c r="AJ540">
        <v>87</v>
      </c>
      <c r="AK540">
        <v>1648</v>
      </c>
      <c r="AL540">
        <v>4026</v>
      </c>
      <c r="AM540">
        <v>14</v>
      </c>
      <c r="AN540">
        <v>901</v>
      </c>
      <c r="AO540" t="s">
        <v>826</v>
      </c>
    </row>
    <row r="541" spans="1:41">
      <c r="A541">
        <v>533</v>
      </c>
      <c r="B541" s="2">
        <v>45296.6242013889</v>
      </c>
      <c r="C541">
        <v>780.552</v>
      </c>
      <c r="D541" t="s">
        <v>821</v>
      </c>
      <c r="E541" t="s">
        <v>822</v>
      </c>
      <c r="F541">
        <v>7</v>
      </c>
      <c r="G541">
        <f t="shared" si="8"/>
        <v>0</v>
      </c>
      <c r="H541">
        <v>1</v>
      </c>
      <c r="I541">
        <v>309</v>
      </c>
      <c r="J541">
        <v>4865</v>
      </c>
      <c r="K541">
        <v>27104</v>
      </c>
      <c r="L541" s="1">
        <v>-12496</v>
      </c>
      <c r="M541">
        <v>-12496</v>
      </c>
      <c r="N541">
        <v>48</v>
      </c>
      <c r="O541">
        <v>1</v>
      </c>
      <c r="P541">
        <v>65535</v>
      </c>
      <c r="Q541">
        <v>1016</v>
      </c>
      <c r="R541">
        <v>-32767</v>
      </c>
      <c r="S541">
        <v>41.8</v>
      </c>
      <c r="T541">
        <v>16</v>
      </c>
      <c r="U541">
        <v>100</v>
      </c>
      <c r="V541">
        <v>34000</v>
      </c>
      <c r="W541">
        <v>5000</v>
      </c>
      <c r="X541" t="s">
        <v>823</v>
      </c>
      <c r="Y541" t="s">
        <v>836</v>
      </c>
      <c r="Z541" t="s">
        <v>828</v>
      </c>
      <c r="AA541">
        <v>10</v>
      </c>
      <c r="AB541">
        <v>6</v>
      </c>
      <c r="AC541">
        <v>76</v>
      </c>
      <c r="AD541">
        <v>4</v>
      </c>
      <c r="AE541">
        <v>309</v>
      </c>
      <c r="AF541">
        <v>4865</v>
      </c>
      <c r="AG541">
        <v>773</v>
      </c>
      <c r="AH541">
        <v>4555</v>
      </c>
      <c r="AI541">
        <v>7</v>
      </c>
      <c r="AJ541">
        <v>87</v>
      </c>
      <c r="AK541">
        <v>1648</v>
      </c>
      <c r="AL541">
        <v>4036</v>
      </c>
      <c r="AM541">
        <v>14</v>
      </c>
      <c r="AN541">
        <v>907</v>
      </c>
      <c r="AO541" t="s">
        <v>826</v>
      </c>
    </row>
    <row r="542" spans="1:41">
      <c r="A542">
        <v>534</v>
      </c>
      <c r="B542" s="2">
        <v>45296.624212963</v>
      </c>
      <c r="C542">
        <v>781.501</v>
      </c>
      <c r="D542" t="s">
        <v>821</v>
      </c>
      <c r="E542" t="s">
        <v>822</v>
      </c>
      <c r="F542">
        <v>7</v>
      </c>
      <c r="G542">
        <f t="shared" si="8"/>
        <v>0</v>
      </c>
      <c r="H542">
        <v>1</v>
      </c>
      <c r="I542">
        <v>306</v>
      </c>
      <c r="J542">
        <v>4865</v>
      </c>
      <c r="K542">
        <v>27104</v>
      </c>
      <c r="L542" s="1">
        <v>-12496</v>
      </c>
      <c r="M542">
        <v>-12496</v>
      </c>
      <c r="N542">
        <v>48</v>
      </c>
      <c r="O542">
        <v>1</v>
      </c>
      <c r="P542">
        <v>65535</v>
      </c>
      <c r="Q542">
        <v>1006</v>
      </c>
      <c r="R542">
        <v>-32767</v>
      </c>
      <c r="S542">
        <v>41.8</v>
      </c>
      <c r="T542">
        <v>16</v>
      </c>
      <c r="U542">
        <v>100</v>
      </c>
      <c r="V542">
        <v>34000</v>
      </c>
      <c r="W542">
        <v>5000</v>
      </c>
      <c r="X542" t="s">
        <v>823</v>
      </c>
      <c r="Y542" t="s">
        <v>836</v>
      </c>
      <c r="Z542" t="s">
        <v>828</v>
      </c>
      <c r="AA542">
        <v>10</v>
      </c>
      <c r="AB542">
        <v>6</v>
      </c>
      <c r="AC542">
        <v>76</v>
      </c>
      <c r="AD542">
        <v>4</v>
      </c>
      <c r="AE542">
        <v>306</v>
      </c>
      <c r="AF542">
        <v>4865</v>
      </c>
      <c r="AG542">
        <v>773</v>
      </c>
      <c r="AH542">
        <v>4555</v>
      </c>
      <c r="AI542">
        <v>7</v>
      </c>
      <c r="AJ542">
        <v>87</v>
      </c>
      <c r="AK542">
        <v>1648</v>
      </c>
      <c r="AL542">
        <v>4040</v>
      </c>
      <c r="AM542">
        <v>14</v>
      </c>
      <c r="AN542">
        <v>911</v>
      </c>
      <c r="AO542" t="s">
        <v>826</v>
      </c>
    </row>
    <row r="543" spans="1:41">
      <c r="A543">
        <v>535</v>
      </c>
      <c r="B543" s="2">
        <v>45296.624224537</v>
      </c>
      <c r="C543">
        <v>782.45</v>
      </c>
      <c r="D543" t="s">
        <v>821</v>
      </c>
      <c r="E543" t="s">
        <v>822</v>
      </c>
      <c r="F543">
        <v>7</v>
      </c>
      <c r="G543">
        <f t="shared" si="8"/>
        <v>0</v>
      </c>
      <c r="H543">
        <v>1</v>
      </c>
      <c r="I543">
        <v>302</v>
      </c>
      <c r="J543">
        <v>4865</v>
      </c>
      <c r="K543">
        <v>27096</v>
      </c>
      <c r="L543" s="1">
        <v>-12495</v>
      </c>
      <c r="M543">
        <v>-12496</v>
      </c>
      <c r="N543">
        <v>48</v>
      </c>
      <c r="O543">
        <v>1</v>
      </c>
      <c r="P543">
        <v>65535</v>
      </c>
      <c r="Q543">
        <v>993</v>
      </c>
      <c r="R543">
        <v>-32767</v>
      </c>
      <c r="S543">
        <v>41.9</v>
      </c>
      <c r="T543">
        <v>16</v>
      </c>
      <c r="U543">
        <v>100</v>
      </c>
      <c r="V543">
        <v>34000</v>
      </c>
      <c r="W543">
        <v>5000</v>
      </c>
      <c r="X543" t="s">
        <v>823</v>
      </c>
      <c r="Y543" t="s">
        <v>836</v>
      </c>
      <c r="Z543" t="s">
        <v>828</v>
      </c>
      <c r="AA543">
        <v>10</v>
      </c>
      <c r="AB543">
        <v>6</v>
      </c>
      <c r="AC543">
        <v>76</v>
      </c>
      <c r="AD543">
        <v>4</v>
      </c>
      <c r="AE543">
        <v>302</v>
      </c>
      <c r="AF543">
        <v>4865</v>
      </c>
      <c r="AG543">
        <v>774</v>
      </c>
      <c r="AH543">
        <v>4559</v>
      </c>
      <c r="AI543">
        <v>7</v>
      </c>
      <c r="AJ543">
        <v>87</v>
      </c>
      <c r="AK543">
        <v>1648</v>
      </c>
      <c r="AL543">
        <v>4040</v>
      </c>
      <c r="AM543">
        <v>14</v>
      </c>
      <c r="AN543">
        <v>901</v>
      </c>
      <c r="AO543" t="s">
        <v>826</v>
      </c>
    </row>
    <row r="544" spans="1:41">
      <c r="A544">
        <v>536</v>
      </c>
      <c r="B544" s="2">
        <v>45296.6242476852</v>
      </c>
      <c r="C544">
        <v>784.797</v>
      </c>
      <c r="D544" t="s">
        <v>821</v>
      </c>
      <c r="E544" t="s">
        <v>822</v>
      </c>
      <c r="F544">
        <v>7</v>
      </c>
      <c r="G544">
        <f t="shared" si="8"/>
        <v>0</v>
      </c>
      <c r="H544">
        <v>1</v>
      </c>
      <c r="I544">
        <v>295</v>
      </c>
      <c r="J544">
        <v>4865</v>
      </c>
      <c r="K544">
        <v>27088</v>
      </c>
      <c r="L544" s="1">
        <v>-12496</v>
      </c>
      <c r="M544">
        <v>-12496</v>
      </c>
      <c r="N544">
        <v>48.1</v>
      </c>
      <c r="O544">
        <v>1</v>
      </c>
      <c r="P544">
        <v>65535</v>
      </c>
      <c r="Q544">
        <v>959</v>
      </c>
      <c r="R544">
        <v>-32767</v>
      </c>
      <c r="S544">
        <v>41.9</v>
      </c>
      <c r="T544">
        <v>16</v>
      </c>
      <c r="U544">
        <v>100</v>
      </c>
      <c r="V544">
        <v>34000</v>
      </c>
      <c r="W544">
        <v>5000</v>
      </c>
      <c r="X544" t="s">
        <v>823</v>
      </c>
      <c r="Y544" t="s">
        <v>836</v>
      </c>
      <c r="Z544" t="s">
        <v>828</v>
      </c>
      <c r="AA544">
        <v>10</v>
      </c>
      <c r="AB544">
        <v>6</v>
      </c>
      <c r="AC544">
        <v>76</v>
      </c>
      <c r="AD544">
        <v>4</v>
      </c>
      <c r="AE544">
        <v>292</v>
      </c>
      <c r="AF544">
        <v>4865</v>
      </c>
      <c r="AG544">
        <v>777</v>
      </c>
      <c r="AH544">
        <v>4569</v>
      </c>
      <c r="AI544">
        <v>7</v>
      </c>
      <c r="AJ544">
        <v>87</v>
      </c>
      <c r="AK544">
        <v>1648</v>
      </c>
      <c r="AL544">
        <v>4050</v>
      </c>
      <c r="AM544">
        <v>14</v>
      </c>
      <c r="AN544">
        <v>909</v>
      </c>
      <c r="AO544" t="s">
        <v>826</v>
      </c>
    </row>
    <row r="545" spans="1:41">
      <c r="A545">
        <v>537</v>
      </c>
      <c r="B545" s="2">
        <v>45296.6242592593</v>
      </c>
      <c r="C545">
        <v>785.747</v>
      </c>
      <c r="D545" t="s">
        <v>821</v>
      </c>
      <c r="E545" t="s">
        <v>822</v>
      </c>
      <c r="F545">
        <v>7</v>
      </c>
      <c r="G545">
        <f t="shared" si="8"/>
        <v>0</v>
      </c>
      <c r="H545">
        <v>1</v>
      </c>
      <c r="I545">
        <v>292</v>
      </c>
      <c r="J545">
        <v>4865</v>
      </c>
      <c r="K545">
        <v>27080</v>
      </c>
      <c r="L545" s="1">
        <v>-12496</v>
      </c>
      <c r="M545">
        <v>-12496</v>
      </c>
      <c r="N545">
        <v>48.1</v>
      </c>
      <c r="O545">
        <v>1</v>
      </c>
      <c r="P545">
        <v>65535</v>
      </c>
      <c r="Q545">
        <v>959</v>
      </c>
      <c r="R545">
        <v>-32767</v>
      </c>
      <c r="S545">
        <v>41.9</v>
      </c>
      <c r="T545">
        <v>16</v>
      </c>
      <c r="U545">
        <v>100</v>
      </c>
      <c r="V545">
        <v>34000</v>
      </c>
      <c r="W545">
        <v>5000</v>
      </c>
      <c r="X545" t="s">
        <v>823</v>
      </c>
      <c r="Y545" t="s">
        <v>836</v>
      </c>
      <c r="Z545" t="s">
        <v>828</v>
      </c>
      <c r="AA545">
        <v>10</v>
      </c>
      <c r="AB545">
        <v>6</v>
      </c>
      <c r="AC545">
        <v>76</v>
      </c>
      <c r="AD545">
        <v>4</v>
      </c>
      <c r="AE545">
        <v>288</v>
      </c>
      <c r="AF545">
        <v>4865</v>
      </c>
      <c r="AG545">
        <v>778</v>
      </c>
      <c r="AH545">
        <v>4573</v>
      </c>
      <c r="AI545">
        <v>7</v>
      </c>
      <c r="AJ545">
        <v>87</v>
      </c>
      <c r="AK545">
        <v>1648</v>
      </c>
      <c r="AL545">
        <v>4054</v>
      </c>
      <c r="AM545">
        <v>14</v>
      </c>
      <c r="AN545">
        <v>901</v>
      </c>
      <c r="AO545" t="s">
        <v>826</v>
      </c>
    </row>
    <row r="546" spans="1:41">
      <c r="A546">
        <v>538</v>
      </c>
      <c r="B546" s="2">
        <v>45296.6242708333</v>
      </c>
      <c r="C546">
        <v>786.702</v>
      </c>
      <c r="D546" t="s">
        <v>821</v>
      </c>
      <c r="E546" t="s">
        <v>822</v>
      </c>
      <c r="F546">
        <v>6</v>
      </c>
      <c r="G546">
        <f t="shared" si="8"/>
        <v>1</v>
      </c>
      <c r="H546">
        <v>1</v>
      </c>
      <c r="I546">
        <v>288</v>
      </c>
      <c r="J546">
        <v>4865</v>
      </c>
      <c r="K546">
        <v>27080</v>
      </c>
      <c r="L546" s="1">
        <v>-12496</v>
      </c>
      <c r="M546">
        <v>-12496</v>
      </c>
      <c r="N546">
        <v>48.1</v>
      </c>
      <c r="O546">
        <v>1</v>
      </c>
      <c r="P546">
        <v>65535</v>
      </c>
      <c r="Q546">
        <v>945</v>
      </c>
      <c r="R546">
        <v>-32767</v>
      </c>
      <c r="S546">
        <v>41.9</v>
      </c>
      <c r="T546">
        <v>16</v>
      </c>
      <c r="U546">
        <v>100</v>
      </c>
      <c r="V546">
        <v>34000</v>
      </c>
      <c r="W546">
        <v>5000</v>
      </c>
      <c r="X546" t="s">
        <v>823</v>
      </c>
      <c r="Y546" t="s">
        <v>836</v>
      </c>
      <c r="Z546" t="s">
        <v>828</v>
      </c>
      <c r="AA546">
        <v>10</v>
      </c>
      <c r="AB546">
        <v>6</v>
      </c>
      <c r="AC546">
        <v>76</v>
      </c>
      <c r="AD546">
        <v>4</v>
      </c>
      <c r="AE546">
        <v>285</v>
      </c>
      <c r="AF546">
        <v>4865</v>
      </c>
      <c r="AG546">
        <v>779</v>
      </c>
      <c r="AH546">
        <v>4576</v>
      </c>
      <c r="AI546">
        <v>7</v>
      </c>
      <c r="AJ546">
        <v>87</v>
      </c>
      <c r="AK546">
        <v>1648</v>
      </c>
      <c r="AL546">
        <v>4057</v>
      </c>
      <c r="AM546">
        <v>14</v>
      </c>
      <c r="AN546">
        <v>915</v>
      </c>
      <c r="AO546" t="s">
        <v>826</v>
      </c>
    </row>
    <row r="547" spans="1:41">
      <c r="A547">
        <v>539</v>
      </c>
      <c r="B547" s="2">
        <v>45296.6243055556</v>
      </c>
      <c r="C547">
        <v>789.081</v>
      </c>
      <c r="D547" t="s">
        <v>821</v>
      </c>
      <c r="E547" t="s">
        <v>822</v>
      </c>
      <c r="F547">
        <v>6</v>
      </c>
      <c r="G547">
        <f t="shared" si="8"/>
        <v>0</v>
      </c>
      <c r="H547">
        <v>1</v>
      </c>
      <c r="I547">
        <v>278</v>
      </c>
      <c r="J547">
        <v>4865</v>
      </c>
      <c r="K547">
        <v>27056</v>
      </c>
      <c r="L547" s="1">
        <v>-12496</v>
      </c>
      <c r="M547">
        <v>-12496</v>
      </c>
      <c r="N547">
        <v>48.1</v>
      </c>
      <c r="O547">
        <v>1</v>
      </c>
      <c r="P547">
        <v>65535</v>
      </c>
      <c r="Q547">
        <v>912</v>
      </c>
      <c r="R547">
        <v>-32767</v>
      </c>
      <c r="S547">
        <v>41.9</v>
      </c>
      <c r="T547">
        <v>16</v>
      </c>
      <c r="U547">
        <v>100</v>
      </c>
      <c r="V547">
        <v>34000</v>
      </c>
      <c r="W547">
        <v>5000</v>
      </c>
      <c r="X547" t="s">
        <v>823</v>
      </c>
      <c r="Y547" t="s">
        <v>836</v>
      </c>
      <c r="Z547" t="s">
        <v>828</v>
      </c>
      <c r="AA547">
        <v>10</v>
      </c>
      <c r="AB547">
        <v>6</v>
      </c>
      <c r="AC547">
        <v>76</v>
      </c>
      <c r="AD547">
        <v>4</v>
      </c>
      <c r="AE547">
        <v>278</v>
      </c>
      <c r="AF547">
        <v>4865</v>
      </c>
      <c r="AG547">
        <v>781</v>
      </c>
      <c r="AH547">
        <v>4583</v>
      </c>
      <c r="AI547">
        <v>7</v>
      </c>
      <c r="AJ547">
        <v>87</v>
      </c>
      <c r="AK547">
        <v>1648</v>
      </c>
      <c r="AL547">
        <v>4064</v>
      </c>
      <c r="AM547">
        <v>14</v>
      </c>
      <c r="AN547">
        <v>906</v>
      </c>
      <c r="AO547" t="s">
        <v>826</v>
      </c>
    </row>
    <row r="548" spans="1:41">
      <c r="A548">
        <v>540</v>
      </c>
      <c r="B548" s="2">
        <v>45296.6243171296</v>
      </c>
      <c r="C548">
        <v>790.024</v>
      </c>
      <c r="D548" t="s">
        <v>821</v>
      </c>
      <c r="E548" t="s">
        <v>822</v>
      </c>
      <c r="F548">
        <v>6</v>
      </c>
      <c r="G548">
        <f t="shared" si="8"/>
        <v>0</v>
      </c>
      <c r="H548">
        <v>1</v>
      </c>
      <c r="I548">
        <v>274</v>
      </c>
      <c r="J548">
        <v>4865</v>
      </c>
      <c r="K548">
        <v>27056</v>
      </c>
      <c r="L548" s="1">
        <v>-12496</v>
      </c>
      <c r="M548">
        <v>-12496</v>
      </c>
      <c r="N548">
        <v>48.1</v>
      </c>
      <c r="O548">
        <v>1</v>
      </c>
      <c r="P548">
        <v>65535</v>
      </c>
      <c r="Q548">
        <v>898</v>
      </c>
      <c r="R548">
        <v>-32767</v>
      </c>
      <c r="S548">
        <v>41.9</v>
      </c>
      <c r="T548">
        <v>16</v>
      </c>
      <c r="U548">
        <v>100</v>
      </c>
      <c r="V548">
        <v>34000</v>
      </c>
      <c r="W548">
        <v>5000</v>
      </c>
      <c r="X548" t="s">
        <v>823</v>
      </c>
      <c r="Y548" t="s">
        <v>836</v>
      </c>
      <c r="Z548" t="s">
        <v>828</v>
      </c>
      <c r="AA548">
        <v>10</v>
      </c>
      <c r="AB548">
        <v>6</v>
      </c>
      <c r="AC548">
        <v>76</v>
      </c>
      <c r="AD548">
        <v>4</v>
      </c>
      <c r="AE548">
        <v>274</v>
      </c>
      <c r="AF548">
        <v>4865</v>
      </c>
      <c r="AG548">
        <v>782</v>
      </c>
      <c r="AH548">
        <v>4587</v>
      </c>
      <c r="AI548">
        <v>7</v>
      </c>
      <c r="AJ548">
        <v>87</v>
      </c>
      <c r="AK548">
        <v>1648</v>
      </c>
      <c r="AL548">
        <v>4068</v>
      </c>
      <c r="AM548">
        <v>14</v>
      </c>
      <c r="AN548">
        <v>906</v>
      </c>
      <c r="AO548" t="s">
        <v>826</v>
      </c>
    </row>
    <row r="549" spans="1:41">
      <c r="A549">
        <v>541</v>
      </c>
      <c r="B549" s="2">
        <v>45296.6243287037</v>
      </c>
      <c r="C549">
        <v>790.973</v>
      </c>
      <c r="D549" t="s">
        <v>821</v>
      </c>
      <c r="E549" t="s">
        <v>822</v>
      </c>
      <c r="F549">
        <v>6</v>
      </c>
      <c r="G549">
        <f t="shared" si="8"/>
        <v>0</v>
      </c>
      <c r="H549">
        <v>1</v>
      </c>
      <c r="I549">
        <v>271</v>
      </c>
      <c r="J549">
        <v>4865</v>
      </c>
      <c r="K549">
        <v>27048</v>
      </c>
      <c r="L549" s="1">
        <v>-12496</v>
      </c>
      <c r="M549">
        <v>-12496</v>
      </c>
      <c r="N549">
        <v>48.1</v>
      </c>
      <c r="O549">
        <v>1</v>
      </c>
      <c r="P549">
        <v>65535</v>
      </c>
      <c r="Q549">
        <v>888</v>
      </c>
      <c r="R549">
        <v>-32767</v>
      </c>
      <c r="S549">
        <v>41.9</v>
      </c>
      <c r="T549">
        <v>16</v>
      </c>
      <c r="U549">
        <v>100</v>
      </c>
      <c r="V549">
        <v>34000</v>
      </c>
      <c r="W549">
        <v>5000</v>
      </c>
      <c r="X549" t="s">
        <v>823</v>
      </c>
      <c r="Y549" t="s">
        <v>836</v>
      </c>
      <c r="Z549" t="s">
        <v>828</v>
      </c>
      <c r="AA549">
        <v>10</v>
      </c>
      <c r="AB549">
        <v>6</v>
      </c>
      <c r="AC549">
        <v>76</v>
      </c>
      <c r="AD549">
        <v>4</v>
      </c>
      <c r="AE549">
        <v>271</v>
      </c>
      <c r="AF549">
        <v>4865</v>
      </c>
      <c r="AG549">
        <v>783</v>
      </c>
      <c r="AH549">
        <v>4590</v>
      </c>
      <c r="AI549">
        <v>7</v>
      </c>
      <c r="AJ549">
        <v>87</v>
      </c>
      <c r="AK549">
        <v>1648</v>
      </c>
      <c r="AL549">
        <v>4071</v>
      </c>
      <c r="AM549">
        <v>14</v>
      </c>
      <c r="AN549">
        <v>907</v>
      </c>
      <c r="AO549" t="s">
        <v>826</v>
      </c>
    </row>
    <row r="550" spans="1:41">
      <c r="A550">
        <v>542</v>
      </c>
      <c r="B550" s="2">
        <v>45296.6243518519</v>
      </c>
      <c r="C550">
        <v>793.349</v>
      </c>
      <c r="D550" t="s">
        <v>821</v>
      </c>
      <c r="E550" t="s">
        <v>822</v>
      </c>
      <c r="F550">
        <v>6</v>
      </c>
      <c r="G550">
        <f t="shared" si="8"/>
        <v>0</v>
      </c>
      <c r="H550">
        <v>1</v>
      </c>
      <c r="I550">
        <v>264</v>
      </c>
      <c r="J550">
        <v>4865</v>
      </c>
      <c r="K550">
        <v>27040</v>
      </c>
      <c r="L550" s="1">
        <v>-12495</v>
      </c>
      <c r="M550">
        <v>-12496</v>
      </c>
      <c r="N550">
        <v>48.1</v>
      </c>
      <c r="O550">
        <v>1</v>
      </c>
      <c r="P550">
        <v>65535</v>
      </c>
      <c r="Q550">
        <v>864</v>
      </c>
      <c r="R550">
        <v>-32767</v>
      </c>
      <c r="S550">
        <v>41.9</v>
      </c>
      <c r="T550">
        <v>16</v>
      </c>
      <c r="U550">
        <v>100</v>
      </c>
      <c r="V550">
        <v>34000</v>
      </c>
      <c r="W550">
        <v>5000</v>
      </c>
      <c r="X550" t="s">
        <v>823</v>
      </c>
      <c r="Y550" t="s">
        <v>836</v>
      </c>
      <c r="Z550" t="s">
        <v>828</v>
      </c>
      <c r="AA550">
        <v>10</v>
      </c>
      <c r="AB550">
        <v>6</v>
      </c>
      <c r="AC550">
        <v>76</v>
      </c>
      <c r="AD550">
        <v>4</v>
      </c>
      <c r="AE550">
        <v>264</v>
      </c>
      <c r="AF550">
        <v>4865</v>
      </c>
      <c r="AG550">
        <v>785</v>
      </c>
      <c r="AH550">
        <v>4597</v>
      </c>
      <c r="AI550">
        <v>7</v>
      </c>
      <c r="AJ550">
        <v>87</v>
      </c>
      <c r="AK550">
        <v>1648</v>
      </c>
      <c r="AL550">
        <v>4078</v>
      </c>
      <c r="AM550">
        <v>14</v>
      </c>
      <c r="AN550">
        <v>906</v>
      </c>
      <c r="AO550" t="s">
        <v>826</v>
      </c>
    </row>
    <row r="551" spans="1:41">
      <c r="A551">
        <v>543</v>
      </c>
      <c r="B551" s="2">
        <v>45296.6243634259</v>
      </c>
      <c r="C551">
        <v>794.293</v>
      </c>
      <c r="D551" t="s">
        <v>821</v>
      </c>
      <c r="E551" t="s">
        <v>822</v>
      </c>
      <c r="F551">
        <v>6</v>
      </c>
      <c r="G551">
        <f t="shared" si="8"/>
        <v>0</v>
      </c>
      <c r="H551">
        <v>1</v>
      </c>
      <c r="I551">
        <v>260</v>
      </c>
      <c r="J551">
        <v>4865</v>
      </c>
      <c r="K551">
        <v>27032</v>
      </c>
      <c r="L551" s="1">
        <v>-12496</v>
      </c>
      <c r="M551">
        <v>-12496</v>
      </c>
      <c r="N551">
        <v>48.1</v>
      </c>
      <c r="O551">
        <v>1</v>
      </c>
      <c r="P551">
        <v>65535</v>
      </c>
      <c r="Q551">
        <v>851</v>
      </c>
      <c r="R551">
        <v>-32767</v>
      </c>
      <c r="S551">
        <v>42</v>
      </c>
      <c r="T551">
        <v>16</v>
      </c>
      <c r="U551">
        <v>100</v>
      </c>
      <c r="V551">
        <v>34000</v>
      </c>
      <c r="W551">
        <v>5000</v>
      </c>
      <c r="X551" t="s">
        <v>823</v>
      </c>
      <c r="Y551" t="s">
        <v>836</v>
      </c>
      <c r="Z551" t="s">
        <v>828</v>
      </c>
      <c r="AA551">
        <v>10</v>
      </c>
      <c r="AB551">
        <v>6</v>
      </c>
      <c r="AC551">
        <v>76</v>
      </c>
      <c r="AD551">
        <v>4</v>
      </c>
      <c r="AE551">
        <v>260</v>
      </c>
      <c r="AF551">
        <v>4865</v>
      </c>
      <c r="AG551">
        <v>786</v>
      </c>
      <c r="AH551">
        <v>4601</v>
      </c>
      <c r="AI551">
        <v>7</v>
      </c>
      <c r="AJ551">
        <v>87</v>
      </c>
      <c r="AK551">
        <v>1648</v>
      </c>
      <c r="AL551">
        <v>4082</v>
      </c>
      <c r="AM551">
        <v>14</v>
      </c>
      <c r="AN551">
        <v>887</v>
      </c>
      <c r="AO551" t="s">
        <v>826</v>
      </c>
    </row>
    <row r="552" spans="1:41">
      <c r="A552">
        <v>544</v>
      </c>
      <c r="B552" s="2">
        <v>45296.6243865741</v>
      </c>
      <c r="C552">
        <v>796.639</v>
      </c>
      <c r="D552" t="s">
        <v>821</v>
      </c>
      <c r="E552" t="s">
        <v>822</v>
      </c>
      <c r="F552">
        <v>6</v>
      </c>
      <c r="G552">
        <f t="shared" si="8"/>
        <v>0</v>
      </c>
      <c r="H552">
        <v>1</v>
      </c>
      <c r="I552">
        <v>254</v>
      </c>
      <c r="J552">
        <v>4865</v>
      </c>
      <c r="K552">
        <v>27016</v>
      </c>
      <c r="L552" s="1">
        <v>-12496</v>
      </c>
      <c r="M552">
        <v>-12496</v>
      </c>
      <c r="N552">
        <v>48.2</v>
      </c>
      <c r="O552">
        <v>1</v>
      </c>
      <c r="P552">
        <v>65535</v>
      </c>
      <c r="Q552">
        <v>830</v>
      </c>
      <c r="R552">
        <v>-32767</v>
      </c>
      <c r="S552">
        <v>42</v>
      </c>
      <c r="T552">
        <v>16</v>
      </c>
      <c r="U552">
        <v>100</v>
      </c>
      <c r="V552">
        <v>34000</v>
      </c>
      <c r="W552">
        <v>5000</v>
      </c>
      <c r="X552" t="s">
        <v>823</v>
      </c>
      <c r="Y552" t="s">
        <v>836</v>
      </c>
      <c r="Z552" t="s">
        <v>828</v>
      </c>
      <c r="AA552">
        <v>10</v>
      </c>
      <c r="AB552">
        <v>6</v>
      </c>
      <c r="AC552">
        <v>76</v>
      </c>
      <c r="AD552">
        <v>4</v>
      </c>
      <c r="AE552">
        <v>250</v>
      </c>
      <c r="AF552">
        <v>4865</v>
      </c>
      <c r="AG552">
        <v>789</v>
      </c>
      <c r="AH552">
        <v>4611</v>
      </c>
      <c r="AI552">
        <v>7</v>
      </c>
      <c r="AJ552">
        <v>87</v>
      </c>
      <c r="AK552">
        <v>1648</v>
      </c>
      <c r="AL552">
        <v>4092</v>
      </c>
      <c r="AM552">
        <v>14</v>
      </c>
      <c r="AN552">
        <v>926</v>
      </c>
      <c r="AO552" t="s">
        <v>826</v>
      </c>
    </row>
    <row r="553" spans="1:41">
      <c r="A553">
        <v>545</v>
      </c>
      <c r="B553" s="2">
        <v>45296.6243981481</v>
      </c>
      <c r="C553">
        <v>797.602</v>
      </c>
      <c r="D553" t="s">
        <v>821</v>
      </c>
      <c r="E553" t="s">
        <v>822</v>
      </c>
      <c r="F553">
        <v>6</v>
      </c>
      <c r="G553">
        <f t="shared" si="8"/>
        <v>0</v>
      </c>
      <c r="H553">
        <v>1</v>
      </c>
      <c r="I553">
        <v>250</v>
      </c>
      <c r="J553">
        <v>4865</v>
      </c>
      <c r="K553">
        <v>27016</v>
      </c>
      <c r="L553" s="1">
        <v>-12496</v>
      </c>
      <c r="M553">
        <v>-12496</v>
      </c>
      <c r="N553">
        <v>48.2</v>
      </c>
      <c r="O553">
        <v>1</v>
      </c>
      <c r="P553">
        <v>65535</v>
      </c>
      <c r="Q553">
        <v>817</v>
      </c>
      <c r="R553">
        <v>-32767</v>
      </c>
      <c r="S553">
        <v>42</v>
      </c>
      <c r="T553">
        <v>16</v>
      </c>
      <c r="U553">
        <v>100</v>
      </c>
      <c r="V553">
        <v>34000</v>
      </c>
      <c r="W553">
        <v>5000</v>
      </c>
      <c r="X553" t="s">
        <v>823</v>
      </c>
      <c r="Y553" t="s">
        <v>836</v>
      </c>
      <c r="Z553" t="s">
        <v>828</v>
      </c>
      <c r="AA553">
        <v>10</v>
      </c>
      <c r="AB553">
        <v>6</v>
      </c>
      <c r="AC553">
        <v>76</v>
      </c>
      <c r="AD553">
        <v>4</v>
      </c>
      <c r="AE553">
        <v>247</v>
      </c>
      <c r="AF553">
        <v>4865</v>
      </c>
      <c r="AG553">
        <v>790</v>
      </c>
      <c r="AH553">
        <v>4614</v>
      </c>
      <c r="AI553">
        <v>7</v>
      </c>
      <c r="AJ553">
        <v>87</v>
      </c>
      <c r="AK553">
        <v>1648</v>
      </c>
      <c r="AL553">
        <v>4095</v>
      </c>
      <c r="AM553">
        <v>14</v>
      </c>
      <c r="AN553">
        <v>905</v>
      </c>
      <c r="AO553" t="s">
        <v>826</v>
      </c>
    </row>
    <row r="554" spans="1:41">
      <c r="A554">
        <v>546</v>
      </c>
      <c r="B554" s="2">
        <v>45296.6244097222</v>
      </c>
      <c r="C554">
        <v>798.547</v>
      </c>
      <c r="D554" t="s">
        <v>821</v>
      </c>
      <c r="E554" t="s">
        <v>822</v>
      </c>
      <c r="F554">
        <v>6</v>
      </c>
      <c r="G554">
        <f t="shared" si="8"/>
        <v>0</v>
      </c>
      <c r="H554">
        <v>1</v>
      </c>
      <c r="I554">
        <v>247</v>
      </c>
      <c r="J554">
        <v>4865</v>
      </c>
      <c r="K554">
        <v>27008</v>
      </c>
      <c r="L554" s="1">
        <v>-12495</v>
      </c>
      <c r="M554">
        <v>-12496</v>
      </c>
      <c r="N554">
        <v>48.3</v>
      </c>
      <c r="O554">
        <v>1</v>
      </c>
      <c r="P554">
        <v>65535</v>
      </c>
      <c r="Q554">
        <v>807</v>
      </c>
      <c r="R554">
        <v>-32767</v>
      </c>
      <c r="S554">
        <v>42</v>
      </c>
      <c r="T554">
        <v>16</v>
      </c>
      <c r="U554">
        <v>100</v>
      </c>
      <c r="V554">
        <v>34000</v>
      </c>
      <c r="W554">
        <v>5000</v>
      </c>
      <c r="X554" t="s">
        <v>823</v>
      </c>
      <c r="Y554" t="s">
        <v>836</v>
      </c>
      <c r="Z554" t="s">
        <v>828</v>
      </c>
      <c r="AA554">
        <v>10</v>
      </c>
      <c r="AB554">
        <v>6</v>
      </c>
      <c r="AC554">
        <v>76</v>
      </c>
      <c r="AD554">
        <v>4</v>
      </c>
      <c r="AE554">
        <v>247</v>
      </c>
      <c r="AF554">
        <v>4865</v>
      </c>
      <c r="AG554">
        <v>791</v>
      </c>
      <c r="AH554">
        <v>4618</v>
      </c>
      <c r="AI554">
        <v>7</v>
      </c>
      <c r="AJ554">
        <v>87</v>
      </c>
      <c r="AK554">
        <v>1648</v>
      </c>
      <c r="AL554">
        <v>4099</v>
      </c>
      <c r="AM554">
        <v>14</v>
      </c>
      <c r="AN554">
        <v>915</v>
      </c>
      <c r="AO554" t="s">
        <v>826</v>
      </c>
    </row>
    <row r="555" spans="1:41">
      <c r="A555">
        <v>547</v>
      </c>
      <c r="B555" s="2">
        <v>45296.6244328704</v>
      </c>
      <c r="C555">
        <v>800.907</v>
      </c>
      <c r="D555" t="s">
        <v>821</v>
      </c>
      <c r="E555" t="s">
        <v>822</v>
      </c>
      <c r="F555">
        <v>5</v>
      </c>
      <c r="G555">
        <f t="shared" si="8"/>
        <v>1</v>
      </c>
      <c r="H555">
        <v>1</v>
      </c>
      <c r="I555">
        <v>240</v>
      </c>
      <c r="J555">
        <v>4865</v>
      </c>
      <c r="K555">
        <v>26992</v>
      </c>
      <c r="L555" s="1">
        <v>-12496</v>
      </c>
      <c r="M555">
        <v>-12496</v>
      </c>
      <c r="N555">
        <v>48.3</v>
      </c>
      <c r="O555">
        <v>1</v>
      </c>
      <c r="P555">
        <v>65535</v>
      </c>
      <c r="Q555">
        <v>770</v>
      </c>
      <c r="R555">
        <v>-32767</v>
      </c>
      <c r="S555">
        <v>42</v>
      </c>
      <c r="T555">
        <v>16</v>
      </c>
      <c r="U555">
        <v>100</v>
      </c>
      <c r="V555">
        <v>34000</v>
      </c>
      <c r="W555">
        <v>5000</v>
      </c>
      <c r="X555" t="s">
        <v>823</v>
      </c>
      <c r="Y555" t="s">
        <v>836</v>
      </c>
      <c r="Z555" t="s">
        <v>828</v>
      </c>
      <c r="AA555">
        <v>10</v>
      </c>
      <c r="AB555">
        <v>6</v>
      </c>
      <c r="AC555">
        <v>76</v>
      </c>
      <c r="AD555">
        <v>4</v>
      </c>
      <c r="AE555">
        <v>236</v>
      </c>
      <c r="AF555">
        <v>4865</v>
      </c>
      <c r="AG555">
        <v>793</v>
      </c>
      <c r="AH555">
        <v>4625</v>
      </c>
      <c r="AI555">
        <v>7</v>
      </c>
      <c r="AJ555">
        <v>87</v>
      </c>
      <c r="AK555">
        <v>1648</v>
      </c>
      <c r="AL555">
        <v>4106</v>
      </c>
      <c r="AM555">
        <v>14</v>
      </c>
      <c r="AN555">
        <v>910</v>
      </c>
      <c r="AO555" t="s">
        <v>826</v>
      </c>
    </row>
    <row r="556" spans="1:41">
      <c r="A556">
        <v>548</v>
      </c>
      <c r="B556" s="2">
        <v>45296.6244444444</v>
      </c>
      <c r="C556">
        <v>801.856</v>
      </c>
      <c r="D556" t="s">
        <v>821</v>
      </c>
      <c r="E556" t="s">
        <v>822</v>
      </c>
      <c r="F556">
        <v>5</v>
      </c>
      <c r="G556">
        <f t="shared" si="8"/>
        <v>0</v>
      </c>
      <c r="H556">
        <v>1</v>
      </c>
      <c r="I556">
        <v>236</v>
      </c>
      <c r="J556">
        <v>4865</v>
      </c>
      <c r="K556">
        <v>26992</v>
      </c>
      <c r="L556" s="1">
        <v>-12496</v>
      </c>
      <c r="M556">
        <v>-12496</v>
      </c>
      <c r="N556">
        <v>48.3</v>
      </c>
      <c r="O556">
        <v>1</v>
      </c>
      <c r="P556">
        <v>65535</v>
      </c>
      <c r="Q556">
        <v>760</v>
      </c>
      <c r="R556">
        <v>-32767</v>
      </c>
      <c r="S556">
        <v>42</v>
      </c>
      <c r="T556">
        <v>16</v>
      </c>
      <c r="U556">
        <v>100</v>
      </c>
      <c r="V556">
        <v>34000</v>
      </c>
      <c r="W556">
        <v>5000</v>
      </c>
      <c r="X556" t="s">
        <v>823</v>
      </c>
      <c r="Y556" t="s">
        <v>836</v>
      </c>
      <c r="Z556" t="s">
        <v>828</v>
      </c>
      <c r="AA556">
        <v>10</v>
      </c>
      <c r="AB556">
        <v>6</v>
      </c>
      <c r="AC556">
        <v>76</v>
      </c>
      <c r="AD556">
        <v>4</v>
      </c>
      <c r="AE556">
        <v>233</v>
      </c>
      <c r="AF556">
        <v>4865</v>
      </c>
      <c r="AG556">
        <v>794</v>
      </c>
      <c r="AH556">
        <v>4628</v>
      </c>
      <c r="AI556">
        <v>7</v>
      </c>
      <c r="AJ556">
        <v>87</v>
      </c>
      <c r="AK556">
        <v>1648</v>
      </c>
      <c r="AL556">
        <v>4109</v>
      </c>
      <c r="AM556">
        <v>14</v>
      </c>
      <c r="AN556">
        <v>917</v>
      </c>
      <c r="AO556" t="s">
        <v>826</v>
      </c>
    </row>
    <row r="557" spans="1:41">
      <c r="A557">
        <v>549</v>
      </c>
      <c r="B557" s="2">
        <v>45296.6244560185</v>
      </c>
      <c r="C557">
        <v>802.808</v>
      </c>
      <c r="D557" t="s">
        <v>821</v>
      </c>
      <c r="E557" t="s">
        <v>822</v>
      </c>
      <c r="F557">
        <v>5</v>
      </c>
      <c r="G557">
        <f t="shared" si="8"/>
        <v>0</v>
      </c>
      <c r="H557">
        <v>1</v>
      </c>
      <c r="I557">
        <v>233</v>
      </c>
      <c r="J557">
        <v>4865</v>
      </c>
      <c r="K557">
        <v>26984</v>
      </c>
      <c r="L557" s="1">
        <v>-12496</v>
      </c>
      <c r="M557">
        <v>-12496</v>
      </c>
      <c r="N557">
        <v>48.3</v>
      </c>
      <c r="O557">
        <v>1</v>
      </c>
      <c r="P557">
        <v>65535</v>
      </c>
      <c r="Q557">
        <v>760</v>
      </c>
      <c r="R557">
        <v>-32767</v>
      </c>
      <c r="S557">
        <v>42</v>
      </c>
      <c r="T557">
        <v>16</v>
      </c>
      <c r="U557">
        <v>100</v>
      </c>
      <c r="V557">
        <v>34000</v>
      </c>
      <c r="W557">
        <v>5000</v>
      </c>
      <c r="X557" t="s">
        <v>823</v>
      </c>
      <c r="Y557" t="s">
        <v>836</v>
      </c>
      <c r="Z557" t="s">
        <v>828</v>
      </c>
      <c r="AA557">
        <v>10</v>
      </c>
      <c r="AB557">
        <v>6</v>
      </c>
      <c r="AC557">
        <v>76</v>
      </c>
      <c r="AD557">
        <v>4</v>
      </c>
      <c r="AE557">
        <v>229</v>
      </c>
      <c r="AF557">
        <v>4865</v>
      </c>
      <c r="AG557">
        <v>795</v>
      </c>
      <c r="AH557">
        <v>4632</v>
      </c>
      <c r="AI557">
        <v>7</v>
      </c>
      <c r="AJ557">
        <v>87</v>
      </c>
      <c r="AK557">
        <v>1648</v>
      </c>
      <c r="AL557">
        <v>4113</v>
      </c>
      <c r="AM557">
        <v>14</v>
      </c>
      <c r="AN557">
        <v>902</v>
      </c>
      <c r="AO557" t="s">
        <v>826</v>
      </c>
    </row>
    <row r="558" spans="1:41">
      <c r="A558">
        <v>550</v>
      </c>
      <c r="B558" s="2">
        <v>45296.6244907407</v>
      </c>
      <c r="C558">
        <v>805.174</v>
      </c>
      <c r="D558" t="s">
        <v>821</v>
      </c>
      <c r="E558" t="s">
        <v>822</v>
      </c>
      <c r="F558">
        <v>5</v>
      </c>
      <c r="G558">
        <f t="shared" si="8"/>
        <v>0</v>
      </c>
      <c r="H558">
        <v>1</v>
      </c>
      <c r="I558">
        <v>222</v>
      </c>
      <c r="J558">
        <v>4865</v>
      </c>
      <c r="K558">
        <v>26968</v>
      </c>
      <c r="L558" s="1">
        <v>-12496</v>
      </c>
      <c r="M558">
        <v>-12496</v>
      </c>
      <c r="N558">
        <v>48.4</v>
      </c>
      <c r="O558">
        <v>1</v>
      </c>
      <c r="P558">
        <v>65535</v>
      </c>
      <c r="Q558">
        <v>722</v>
      </c>
      <c r="R558">
        <v>-32767</v>
      </c>
      <c r="S558">
        <v>42</v>
      </c>
      <c r="T558">
        <v>16</v>
      </c>
      <c r="U558">
        <v>100</v>
      </c>
      <c r="V558">
        <v>34000</v>
      </c>
      <c r="W558">
        <v>5000</v>
      </c>
      <c r="X558" t="s">
        <v>823</v>
      </c>
      <c r="Y558" t="s">
        <v>836</v>
      </c>
      <c r="Z558" t="s">
        <v>828</v>
      </c>
      <c r="AA558">
        <v>10</v>
      </c>
      <c r="AB558">
        <v>6</v>
      </c>
      <c r="AC558">
        <v>76</v>
      </c>
      <c r="AD558">
        <v>4</v>
      </c>
      <c r="AE558">
        <v>222</v>
      </c>
      <c r="AF558">
        <v>4865</v>
      </c>
      <c r="AG558">
        <v>797</v>
      </c>
      <c r="AH558">
        <v>4639</v>
      </c>
      <c r="AI558">
        <v>7</v>
      </c>
      <c r="AJ558">
        <v>87</v>
      </c>
      <c r="AK558">
        <v>1648</v>
      </c>
      <c r="AL558">
        <v>4120</v>
      </c>
      <c r="AM558">
        <v>14</v>
      </c>
      <c r="AN558">
        <v>923</v>
      </c>
      <c r="AO558" t="s">
        <v>826</v>
      </c>
    </row>
    <row r="559" spans="1:41">
      <c r="A559">
        <v>551</v>
      </c>
      <c r="B559" s="2">
        <v>45296.6245023148</v>
      </c>
      <c r="C559">
        <v>806.134</v>
      </c>
      <c r="D559" t="s">
        <v>821</v>
      </c>
      <c r="E559" t="s">
        <v>822</v>
      </c>
      <c r="F559">
        <v>5</v>
      </c>
      <c r="G559">
        <f t="shared" si="8"/>
        <v>0</v>
      </c>
      <c r="H559">
        <v>1</v>
      </c>
      <c r="I559">
        <v>219</v>
      </c>
      <c r="J559">
        <v>4865</v>
      </c>
      <c r="K559">
        <v>26960</v>
      </c>
      <c r="L559" s="1">
        <v>-12495</v>
      </c>
      <c r="M559">
        <v>-12496</v>
      </c>
      <c r="N559">
        <v>48.4</v>
      </c>
      <c r="O559">
        <v>1</v>
      </c>
      <c r="P559">
        <v>65535</v>
      </c>
      <c r="Q559">
        <v>712</v>
      </c>
      <c r="R559">
        <v>-32767</v>
      </c>
      <c r="S559">
        <v>42</v>
      </c>
      <c r="T559">
        <v>16</v>
      </c>
      <c r="U559">
        <v>100</v>
      </c>
      <c r="V559">
        <v>34000</v>
      </c>
      <c r="W559">
        <v>5000</v>
      </c>
      <c r="X559" t="s">
        <v>823</v>
      </c>
      <c r="Y559" t="s">
        <v>836</v>
      </c>
      <c r="Z559" t="s">
        <v>828</v>
      </c>
      <c r="AA559">
        <v>10</v>
      </c>
      <c r="AB559">
        <v>6</v>
      </c>
      <c r="AC559">
        <v>76</v>
      </c>
      <c r="AD559">
        <v>4</v>
      </c>
      <c r="AE559">
        <v>219</v>
      </c>
      <c r="AF559">
        <v>4865</v>
      </c>
      <c r="AG559">
        <v>798</v>
      </c>
      <c r="AH559">
        <v>4642</v>
      </c>
      <c r="AI559">
        <v>7</v>
      </c>
      <c r="AJ559">
        <v>87</v>
      </c>
      <c r="AK559">
        <v>1648</v>
      </c>
      <c r="AL559">
        <v>4123</v>
      </c>
      <c r="AM559">
        <v>14</v>
      </c>
      <c r="AN559">
        <v>905</v>
      </c>
      <c r="AO559" t="s">
        <v>826</v>
      </c>
    </row>
    <row r="560" spans="1:41">
      <c r="A560">
        <v>552</v>
      </c>
      <c r="B560" s="2">
        <v>45296.6245138889</v>
      </c>
      <c r="C560">
        <v>807.075</v>
      </c>
      <c r="D560" t="s">
        <v>821</v>
      </c>
      <c r="E560" t="s">
        <v>822</v>
      </c>
      <c r="F560">
        <v>5</v>
      </c>
      <c r="G560">
        <f t="shared" si="8"/>
        <v>0</v>
      </c>
      <c r="H560">
        <v>1</v>
      </c>
      <c r="I560">
        <v>215</v>
      </c>
      <c r="J560">
        <v>4865</v>
      </c>
      <c r="K560">
        <v>26952</v>
      </c>
      <c r="L560" s="1">
        <v>-12496</v>
      </c>
      <c r="M560">
        <v>-12496</v>
      </c>
      <c r="N560">
        <v>48.4</v>
      </c>
      <c r="O560">
        <v>1</v>
      </c>
      <c r="P560">
        <v>65535</v>
      </c>
      <c r="Q560">
        <v>699</v>
      </c>
      <c r="R560">
        <v>-32767</v>
      </c>
      <c r="S560">
        <v>42.1</v>
      </c>
      <c r="T560">
        <v>16</v>
      </c>
      <c r="U560">
        <v>100</v>
      </c>
      <c r="V560">
        <v>34000</v>
      </c>
      <c r="W560">
        <v>5000</v>
      </c>
      <c r="X560" t="s">
        <v>823</v>
      </c>
      <c r="Y560" t="s">
        <v>836</v>
      </c>
      <c r="Z560" t="s">
        <v>828</v>
      </c>
      <c r="AA560">
        <v>10</v>
      </c>
      <c r="AB560">
        <v>6</v>
      </c>
      <c r="AC560">
        <v>76</v>
      </c>
      <c r="AD560">
        <v>4</v>
      </c>
      <c r="AE560">
        <v>286</v>
      </c>
      <c r="AF560">
        <v>4936</v>
      </c>
      <c r="AG560">
        <v>799</v>
      </c>
      <c r="AH560">
        <v>4646</v>
      </c>
      <c r="AI560">
        <v>7</v>
      </c>
      <c r="AJ560">
        <v>87</v>
      </c>
      <c r="AK560">
        <v>1648</v>
      </c>
      <c r="AL560">
        <v>4127</v>
      </c>
      <c r="AM560">
        <v>14</v>
      </c>
      <c r="AN560">
        <v>901</v>
      </c>
      <c r="AO560" t="s">
        <v>826</v>
      </c>
    </row>
    <row r="561" spans="1:41">
      <c r="A561">
        <v>553</v>
      </c>
      <c r="B561" s="2">
        <v>45296.624537037</v>
      </c>
      <c r="C561">
        <v>809.448</v>
      </c>
      <c r="D561" t="s">
        <v>821</v>
      </c>
      <c r="E561" t="s">
        <v>822</v>
      </c>
      <c r="F561">
        <v>6</v>
      </c>
      <c r="G561">
        <f t="shared" si="8"/>
        <v>-1</v>
      </c>
      <c r="H561">
        <v>1</v>
      </c>
      <c r="I561">
        <v>279</v>
      </c>
      <c r="J561">
        <v>4936</v>
      </c>
      <c r="K561">
        <v>26936</v>
      </c>
      <c r="L561" s="1">
        <v>-12498</v>
      </c>
      <c r="M561">
        <v>-12496</v>
      </c>
      <c r="N561">
        <v>48.4</v>
      </c>
      <c r="O561">
        <v>1</v>
      </c>
      <c r="P561">
        <v>65535</v>
      </c>
      <c r="Q561">
        <v>919</v>
      </c>
      <c r="R561">
        <v>-32767</v>
      </c>
      <c r="S561">
        <v>42.1</v>
      </c>
      <c r="T561">
        <v>16</v>
      </c>
      <c r="U561">
        <v>100</v>
      </c>
      <c r="V561">
        <v>34000</v>
      </c>
      <c r="W561">
        <v>5000</v>
      </c>
      <c r="X561" t="s">
        <v>823</v>
      </c>
      <c r="Y561" t="s">
        <v>836</v>
      </c>
      <c r="Z561" t="s">
        <v>828</v>
      </c>
      <c r="AA561">
        <v>10</v>
      </c>
      <c r="AB561">
        <v>6</v>
      </c>
      <c r="AC561">
        <v>76</v>
      </c>
      <c r="AD561">
        <v>4</v>
      </c>
      <c r="AE561">
        <v>279</v>
      </c>
      <c r="AF561">
        <v>4936</v>
      </c>
      <c r="AG561">
        <v>801</v>
      </c>
      <c r="AH561">
        <v>4653</v>
      </c>
      <c r="AI561">
        <v>7</v>
      </c>
      <c r="AJ561">
        <v>87</v>
      </c>
      <c r="AK561">
        <v>1648</v>
      </c>
      <c r="AL561">
        <v>4134</v>
      </c>
      <c r="AM561">
        <v>14</v>
      </c>
      <c r="AN561">
        <v>902</v>
      </c>
      <c r="AO561" t="s">
        <v>826</v>
      </c>
    </row>
    <row r="562" spans="1:41">
      <c r="A562">
        <v>554</v>
      </c>
      <c r="B562" s="2">
        <v>45296.6245486111</v>
      </c>
      <c r="C562">
        <v>810.387</v>
      </c>
      <c r="D562" t="s">
        <v>821</v>
      </c>
      <c r="E562" t="s">
        <v>822</v>
      </c>
      <c r="F562">
        <v>6</v>
      </c>
      <c r="G562">
        <f t="shared" si="8"/>
        <v>0</v>
      </c>
      <c r="H562">
        <v>1</v>
      </c>
      <c r="I562">
        <v>276</v>
      </c>
      <c r="J562">
        <v>4936</v>
      </c>
      <c r="K562">
        <v>26936</v>
      </c>
      <c r="L562" s="1">
        <v>-12496</v>
      </c>
      <c r="M562">
        <v>-12496</v>
      </c>
      <c r="N562">
        <v>48.5</v>
      </c>
      <c r="O562">
        <v>1</v>
      </c>
      <c r="P562">
        <v>65535</v>
      </c>
      <c r="Q562">
        <v>909</v>
      </c>
      <c r="R562">
        <v>-32767</v>
      </c>
      <c r="S562">
        <v>42.1</v>
      </c>
      <c r="T562">
        <v>16</v>
      </c>
      <c r="U562">
        <v>100</v>
      </c>
      <c r="V562">
        <v>34000</v>
      </c>
      <c r="W562">
        <v>5000</v>
      </c>
      <c r="X562" t="s">
        <v>823</v>
      </c>
      <c r="Y562" t="s">
        <v>836</v>
      </c>
      <c r="Z562" t="s">
        <v>828</v>
      </c>
      <c r="AA562">
        <v>10</v>
      </c>
      <c r="AB562">
        <v>6</v>
      </c>
      <c r="AC562">
        <v>76</v>
      </c>
      <c r="AD562">
        <v>4</v>
      </c>
      <c r="AE562">
        <v>276</v>
      </c>
      <c r="AF562">
        <v>4936</v>
      </c>
      <c r="AG562">
        <v>802</v>
      </c>
      <c r="AH562">
        <v>4656</v>
      </c>
      <c r="AI562">
        <v>7</v>
      </c>
      <c r="AJ562">
        <v>87</v>
      </c>
      <c r="AK562">
        <v>1648</v>
      </c>
      <c r="AL562">
        <v>4137</v>
      </c>
      <c r="AM562">
        <v>14</v>
      </c>
      <c r="AN562">
        <v>902</v>
      </c>
      <c r="AO562" t="s">
        <v>826</v>
      </c>
    </row>
    <row r="563" spans="1:41">
      <c r="A563">
        <v>555</v>
      </c>
      <c r="B563" s="2">
        <v>45296.6245717593</v>
      </c>
      <c r="C563">
        <v>812.747</v>
      </c>
      <c r="D563" t="s">
        <v>821</v>
      </c>
      <c r="E563" t="s">
        <v>822</v>
      </c>
      <c r="F563">
        <v>6</v>
      </c>
      <c r="G563">
        <f t="shared" si="8"/>
        <v>0</v>
      </c>
      <c r="H563">
        <v>1</v>
      </c>
      <c r="I563">
        <v>269</v>
      </c>
      <c r="J563">
        <v>4936</v>
      </c>
      <c r="K563">
        <v>26920</v>
      </c>
      <c r="L563" s="1">
        <v>-12496</v>
      </c>
      <c r="M563">
        <v>-12496</v>
      </c>
      <c r="N563">
        <v>48.5</v>
      </c>
      <c r="O563">
        <v>1</v>
      </c>
      <c r="P563">
        <v>65535</v>
      </c>
      <c r="Q563">
        <v>886</v>
      </c>
      <c r="R563">
        <v>-32767</v>
      </c>
      <c r="S563">
        <v>42.1</v>
      </c>
      <c r="T563">
        <v>16</v>
      </c>
      <c r="U563">
        <v>100</v>
      </c>
      <c r="V563">
        <v>34000</v>
      </c>
      <c r="W563">
        <v>5000</v>
      </c>
      <c r="X563" t="s">
        <v>823</v>
      </c>
      <c r="Y563" t="s">
        <v>836</v>
      </c>
      <c r="Z563" t="s">
        <v>828</v>
      </c>
      <c r="AA563">
        <v>10</v>
      </c>
      <c r="AB563">
        <v>6</v>
      </c>
      <c r="AC563">
        <v>76</v>
      </c>
      <c r="AD563">
        <v>4</v>
      </c>
      <c r="AE563">
        <v>266</v>
      </c>
      <c r="AF563">
        <v>4936</v>
      </c>
      <c r="AG563">
        <v>805</v>
      </c>
      <c r="AH563">
        <v>4666</v>
      </c>
      <c r="AI563">
        <v>7</v>
      </c>
      <c r="AJ563">
        <v>87</v>
      </c>
      <c r="AK563">
        <v>1648</v>
      </c>
      <c r="AL563">
        <v>4147</v>
      </c>
      <c r="AM563">
        <v>14</v>
      </c>
      <c r="AN563">
        <v>900</v>
      </c>
      <c r="AO563" t="s">
        <v>826</v>
      </c>
    </row>
    <row r="564" spans="1:41">
      <c r="A564">
        <v>556</v>
      </c>
      <c r="B564" s="2">
        <v>45296.6245833333</v>
      </c>
      <c r="C564">
        <v>813.696</v>
      </c>
      <c r="D564" t="s">
        <v>821</v>
      </c>
      <c r="E564" t="s">
        <v>822</v>
      </c>
      <c r="F564">
        <v>6</v>
      </c>
      <c r="G564">
        <f t="shared" si="8"/>
        <v>0</v>
      </c>
      <c r="H564">
        <v>1</v>
      </c>
      <c r="I564">
        <v>266</v>
      </c>
      <c r="J564">
        <v>4936</v>
      </c>
      <c r="K564">
        <v>26912</v>
      </c>
      <c r="L564" s="1">
        <v>-12495</v>
      </c>
      <c r="M564">
        <v>-12496</v>
      </c>
      <c r="N564">
        <v>48.5</v>
      </c>
      <c r="O564">
        <v>1</v>
      </c>
      <c r="P564">
        <v>65535</v>
      </c>
      <c r="Q564">
        <v>876</v>
      </c>
      <c r="R564">
        <v>-32767</v>
      </c>
      <c r="S564">
        <v>42.1</v>
      </c>
      <c r="T564">
        <v>16</v>
      </c>
      <c r="U564">
        <v>100</v>
      </c>
      <c r="V564">
        <v>34000</v>
      </c>
      <c r="W564">
        <v>5000</v>
      </c>
      <c r="X564" t="s">
        <v>823</v>
      </c>
      <c r="Y564" t="s">
        <v>836</v>
      </c>
      <c r="Z564" t="s">
        <v>828</v>
      </c>
      <c r="AA564">
        <v>10</v>
      </c>
      <c r="AB564">
        <v>6</v>
      </c>
      <c r="AC564">
        <v>76</v>
      </c>
      <c r="AD564">
        <v>4</v>
      </c>
      <c r="AE564">
        <v>262</v>
      </c>
      <c r="AF564">
        <v>4936</v>
      </c>
      <c r="AG564">
        <v>806</v>
      </c>
      <c r="AH564">
        <v>4670</v>
      </c>
      <c r="AI564">
        <v>7</v>
      </c>
      <c r="AJ564">
        <v>87</v>
      </c>
      <c r="AK564">
        <v>1648</v>
      </c>
      <c r="AL564">
        <v>4151</v>
      </c>
      <c r="AM564">
        <v>14</v>
      </c>
      <c r="AN564">
        <v>905</v>
      </c>
      <c r="AO564" t="s">
        <v>826</v>
      </c>
    </row>
    <row r="565" spans="1:41">
      <c r="A565">
        <v>557</v>
      </c>
      <c r="B565" s="2">
        <v>45296.6245949074</v>
      </c>
      <c r="C565">
        <v>814.637</v>
      </c>
      <c r="D565" t="s">
        <v>821</v>
      </c>
      <c r="E565" t="s">
        <v>822</v>
      </c>
      <c r="F565">
        <v>6</v>
      </c>
      <c r="G565">
        <f t="shared" si="8"/>
        <v>0</v>
      </c>
      <c r="H565">
        <v>1</v>
      </c>
      <c r="I565">
        <v>262</v>
      </c>
      <c r="J565">
        <v>4936</v>
      </c>
      <c r="K565">
        <v>26904</v>
      </c>
      <c r="L565" s="1">
        <v>-12496</v>
      </c>
      <c r="M565">
        <v>-12496</v>
      </c>
      <c r="N565">
        <v>48.5</v>
      </c>
      <c r="O565">
        <v>1</v>
      </c>
      <c r="P565">
        <v>65535</v>
      </c>
      <c r="Q565">
        <v>862</v>
      </c>
      <c r="R565">
        <v>-32767</v>
      </c>
      <c r="S565">
        <v>42.2</v>
      </c>
      <c r="T565">
        <v>16</v>
      </c>
      <c r="U565">
        <v>100</v>
      </c>
      <c r="V565">
        <v>34000</v>
      </c>
      <c r="W565">
        <v>5000</v>
      </c>
      <c r="X565" t="s">
        <v>823</v>
      </c>
      <c r="Y565" t="s">
        <v>836</v>
      </c>
      <c r="Z565" t="s">
        <v>828</v>
      </c>
      <c r="AA565">
        <v>10</v>
      </c>
      <c r="AB565">
        <v>6</v>
      </c>
      <c r="AC565">
        <v>76</v>
      </c>
      <c r="AD565">
        <v>4</v>
      </c>
      <c r="AE565">
        <v>259</v>
      </c>
      <c r="AF565">
        <v>4936</v>
      </c>
      <c r="AG565">
        <v>807</v>
      </c>
      <c r="AH565">
        <v>4673</v>
      </c>
      <c r="AI565">
        <v>7</v>
      </c>
      <c r="AJ565">
        <v>87</v>
      </c>
      <c r="AK565">
        <v>1648</v>
      </c>
      <c r="AL565">
        <v>4154</v>
      </c>
      <c r="AM565">
        <v>14</v>
      </c>
      <c r="AN565">
        <v>903</v>
      </c>
      <c r="AO565" t="s">
        <v>826</v>
      </c>
    </row>
    <row r="566" spans="1:41">
      <c r="A566">
        <v>558</v>
      </c>
      <c r="B566" s="2">
        <v>45296.6246296296</v>
      </c>
      <c r="C566">
        <v>817.001</v>
      </c>
      <c r="D566" t="s">
        <v>821</v>
      </c>
      <c r="E566" t="s">
        <v>822</v>
      </c>
      <c r="F566">
        <v>6</v>
      </c>
      <c r="G566">
        <f t="shared" si="8"/>
        <v>0</v>
      </c>
      <c r="H566">
        <v>1</v>
      </c>
      <c r="I566">
        <v>252</v>
      </c>
      <c r="J566">
        <v>4936</v>
      </c>
      <c r="K566">
        <v>26888</v>
      </c>
      <c r="L566" s="1">
        <v>-12496</v>
      </c>
      <c r="M566">
        <v>-12496</v>
      </c>
      <c r="N566">
        <v>48.6</v>
      </c>
      <c r="O566">
        <v>1</v>
      </c>
      <c r="P566">
        <v>65535</v>
      </c>
      <c r="Q566">
        <v>828</v>
      </c>
      <c r="R566">
        <v>-32767</v>
      </c>
      <c r="S566">
        <v>42.2</v>
      </c>
      <c r="T566">
        <v>16</v>
      </c>
      <c r="U566">
        <v>100</v>
      </c>
      <c r="V566">
        <v>34000</v>
      </c>
      <c r="W566">
        <v>5000</v>
      </c>
      <c r="X566" t="s">
        <v>823</v>
      </c>
      <c r="Y566" t="s">
        <v>836</v>
      </c>
      <c r="Z566" t="s">
        <v>828</v>
      </c>
      <c r="AA566">
        <v>10</v>
      </c>
      <c r="AB566">
        <v>6</v>
      </c>
      <c r="AC566">
        <v>76</v>
      </c>
      <c r="AD566">
        <v>4</v>
      </c>
      <c r="AE566">
        <v>252</v>
      </c>
      <c r="AF566">
        <v>4936</v>
      </c>
      <c r="AG566">
        <v>809</v>
      </c>
      <c r="AH566">
        <v>4680</v>
      </c>
      <c r="AI566">
        <v>7</v>
      </c>
      <c r="AJ566">
        <v>87</v>
      </c>
      <c r="AK566">
        <v>1648</v>
      </c>
      <c r="AL566">
        <v>4161</v>
      </c>
      <c r="AM566">
        <v>14</v>
      </c>
      <c r="AN566">
        <v>910</v>
      </c>
      <c r="AO566" t="s">
        <v>826</v>
      </c>
    </row>
    <row r="567" spans="1:41">
      <c r="A567">
        <v>559</v>
      </c>
      <c r="B567" s="2">
        <v>45296.6246412037</v>
      </c>
      <c r="C567">
        <v>817.952</v>
      </c>
      <c r="D567" t="s">
        <v>821</v>
      </c>
      <c r="E567" t="s">
        <v>822</v>
      </c>
      <c r="F567">
        <v>6</v>
      </c>
      <c r="G567">
        <f t="shared" si="8"/>
        <v>0</v>
      </c>
      <c r="H567">
        <v>1</v>
      </c>
      <c r="I567">
        <v>252</v>
      </c>
      <c r="J567">
        <v>4936</v>
      </c>
      <c r="K567">
        <v>26880</v>
      </c>
      <c r="L567" s="1">
        <v>-12496</v>
      </c>
      <c r="M567">
        <v>-12496</v>
      </c>
      <c r="N567">
        <v>48.6</v>
      </c>
      <c r="O567">
        <v>1</v>
      </c>
      <c r="P567">
        <v>65535</v>
      </c>
      <c r="Q567">
        <v>815</v>
      </c>
      <c r="R567">
        <v>-32767</v>
      </c>
      <c r="S567">
        <v>42.2</v>
      </c>
      <c r="T567">
        <v>16</v>
      </c>
      <c r="U567">
        <v>100</v>
      </c>
      <c r="V567">
        <v>34000</v>
      </c>
      <c r="W567">
        <v>5000</v>
      </c>
      <c r="X567" t="s">
        <v>823</v>
      </c>
      <c r="Y567" t="s">
        <v>836</v>
      </c>
      <c r="Z567" t="s">
        <v>828</v>
      </c>
      <c r="AA567">
        <v>10</v>
      </c>
      <c r="AB567">
        <v>6</v>
      </c>
      <c r="AC567">
        <v>76</v>
      </c>
      <c r="AD567">
        <v>4</v>
      </c>
      <c r="AE567">
        <v>248</v>
      </c>
      <c r="AF567">
        <v>4936</v>
      </c>
      <c r="AG567">
        <v>810</v>
      </c>
      <c r="AH567">
        <v>4684</v>
      </c>
      <c r="AI567">
        <v>7</v>
      </c>
      <c r="AJ567">
        <v>87</v>
      </c>
      <c r="AK567">
        <v>1648</v>
      </c>
      <c r="AL567">
        <v>4165</v>
      </c>
      <c r="AM567">
        <v>14</v>
      </c>
      <c r="AN567">
        <v>900</v>
      </c>
      <c r="AO567" t="s">
        <v>826</v>
      </c>
    </row>
    <row r="568" spans="1:41">
      <c r="A568">
        <v>560</v>
      </c>
      <c r="B568" s="2">
        <v>45296.6246412037</v>
      </c>
      <c r="C568">
        <v>818.899</v>
      </c>
      <c r="D568" t="s">
        <v>821</v>
      </c>
      <c r="E568" t="s">
        <v>822</v>
      </c>
      <c r="F568">
        <v>6</v>
      </c>
      <c r="G568">
        <f t="shared" si="8"/>
        <v>0</v>
      </c>
      <c r="H568">
        <v>1</v>
      </c>
      <c r="I568">
        <v>248</v>
      </c>
      <c r="J568">
        <v>4936</v>
      </c>
      <c r="K568">
        <v>26880</v>
      </c>
      <c r="L568" s="1">
        <v>-12496</v>
      </c>
      <c r="M568">
        <v>-12496</v>
      </c>
      <c r="N568">
        <v>48.6</v>
      </c>
      <c r="O568">
        <v>1</v>
      </c>
      <c r="P568">
        <v>65535</v>
      </c>
      <c r="Q568">
        <v>805</v>
      </c>
      <c r="R568">
        <v>-32767</v>
      </c>
      <c r="S568">
        <v>42.2</v>
      </c>
      <c r="T568">
        <v>16</v>
      </c>
      <c r="U568">
        <v>100</v>
      </c>
      <c r="V568">
        <v>34000</v>
      </c>
      <c r="W568">
        <v>5000</v>
      </c>
      <c r="X568" t="s">
        <v>823</v>
      </c>
      <c r="Y568" t="s">
        <v>836</v>
      </c>
      <c r="Z568" t="s">
        <v>828</v>
      </c>
      <c r="AA568">
        <v>10</v>
      </c>
      <c r="AB568">
        <v>6</v>
      </c>
      <c r="AC568">
        <v>76</v>
      </c>
      <c r="AD568">
        <v>4</v>
      </c>
      <c r="AE568">
        <v>245</v>
      </c>
      <c r="AF568">
        <v>4936</v>
      </c>
      <c r="AG568">
        <v>811</v>
      </c>
      <c r="AH568">
        <v>4687</v>
      </c>
      <c r="AI568">
        <v>7</v>
      </c>
      <c r="AJ568">
        <v>87</v>
      </c>
      <c r="AK568">
        <v>1648</v>
      </c>
      <c r="AL568">
        <v>4168</v>
      </c>
      <c r="AM568">
        <v>14</v>
      </c>
      <c r="AN568">
        <v>904</v>
      </c>
      <c r="AO568" t="s">
        <v>826</v>
      </c>
    </row>
    <row r="569" spans="1:41">
      <c r="A569">
        <v>561</v>
      </c>
      <c r="B569" s="2">
        <v>45296.6246759259</v>
      </c>
      <c r="C569">
        <v>821.283</v>
      </c>
      <c r="D569" t="s">
        <v>821</v>
      </c>
      <c r="E569" t="s">
        <v>822</v>
      </c>
      <c r="F569">
        <v>5</v>
      </c>
      <c r="G569">
        <f t="shared" si="8"/>
        <v>1</v>
      </c>
      <c r="H569">
        <v>1</v>
      </c>
      <c r="I569">
        <v>238</v>
      </c>
      <c r="J569">
        <v>4936</v>
      </c>
      <c r="K569">
        <v>26856</v>
      </c>
      <c r="L569" s="1">
        <v>-12496</v>
      </c>
      <c r="M569">
        <v>-12496</v>
      </c>
      <c r="N569">
        <v>48.7</v>
      </c>
      <c r="O569">
        <v>1</v>
      </c>
      <c r="P569">
        <v>65535</v>
      </c>
      <c r="Q569">
        <v>781</v>
      </c>
      <c r="R569">
        <v>-32767</v>
      </c>
      <c r="S569">
        <v>42.3</v>
      </c>
      <c r="T569">
        <v>16</v>
      </c>
      <c r="U569">
        <v>100</v>
      </c>
      <c r="V569">
        <v>34000</v>
      </c>
      <c r="W569">
        <v>5000</v>
      </c>
      <c r="X569" t="s">
        <v>823</v>
      </c>
      <c r="Y569" t="s">
        <v>836</v>
      </c>
      <c r="Z569" t="s">
        <v>828</v>
      </c>
      <c r="AA569">
        <v>10</v>
      </c>
      <c r="AB569">
        <v>6</v>
      </c>
      <c r="AC569">
        <v>76</v>
      </c>
      <c r="AD569">
        <v>4</v>
      </c>
      <c r="AE569">
        <v>238</v>
      </c>
      <c r="AF569">
        <v>4936</v>
      </c>
      <c r="AG569">
        <v>813</v>
      </c>
      <c r="AH569">
        <v>4694</v>
      </c>
      <c r="AI569">
        <v>7</v>
      </c>
      <c r="AJ569">
        <v>87</v>
      </c>
      <c r="AK569">
        <v>1648</v>
      </c>
      <c r="AL569">
        <v>4175</v>
      </c>
      <c r="AM569">
        <v>14</v>
      </c>
      <c r="AN569">
        <v>924</v>
      </c>
      <c r="AO569" t="s">
        <v>826</v>
      </c>
    </row>
    <row r="570" spans="1:41">
      <c r="A570">
        <v>562</v>
      </c>
      <c r="B570" s="2">
        <v>45296.6246875</v>
      </c>
      <c r="C570">
        <v>822.246</v>
      </c>
      <c r="D570" t="s">
        <v>821</v>
      </c>
      <c r="E570" t="s">
        <v>822</v>
      </c>
      <c r="F570">
        <v>5</v>
      </c>
      <c r="G570">
        <f t="shared" si="8"/>
        <v>0</v>
      </c>
      <c r="H570">
        <v>1</v>
      </c>
      <c r="I570">
        <v>234</v>
      </c>
      <c r="J570">
        <v>4936</v>
      </c>
      <c r="K570">
        <v>26848</v>
      </c>
      <c r="L570" s="1">
        <v>-12496</v>
      </c>
      <c r="M570">
        <v>-12496</v>
      </c>
      <c r="N570">
        <v>48.7</v>
      </c>
      <c r="O570">
        <v>1</v>
      </c>
      <c r="P570">
        <v>65535</v>
      </c>
      <c r="Q570">
        <v>768</v>
      </c>
      <c r="R570">
        <v>-32767</v>
      </c>
      <c r="S570">
        <v>42.3</v>
      </c>
      <c r="T570">
        <v>16</v>
      </c>
      <c r="U570">
        <v>100</v>
      </c>
      <c r="V570">
        <v>34000</v>
      </c>
      <c r="W570">
        <v>5000</v>
      </c>
      <c r="X570" t="s">
        <v>823</v>
      </c>
      <c r="Y570" t="s">
        <v>836</v>
      </c>
      <c r="Z570" t="s">
        <v>828</v>
      </c>
      <c r="AA570">
        <v>10</v>
      </c>
      <c r="AB570">
        <v>6</v>
      </c>
      <c r="AC570">
        <v>76</v>
      </c>
      <c r="AD570">
        <v>4</v>
      </c>
      <c r="AE570">
        <v>234</v>
      </c>
      <c r="AF570">
        <v>4936</v>
      </c>
      <c r="AG570">
        <v>814</v>
      </c>
      <c r="AH570">
        <v>4698</v>
      </c>
      <c r="AI570">
        <v>7</v>
      </c>
      <c r="AJ570">
        <v>87</v>
      </c>
      <c r="AK570">
        <v>1648</v>
      </c>
      <c r="AL570">
        <v>4179</v>
      </c>
      <c r="AM570">
        <v>14</v>
      </c>
      <c r="AN570">
        <v>902</v>
      </c>
      <c r="AO570" t="s">
        <v>826</v>
      </c>
    </row>
    <row r="571" spans="1:41">
      <c r="A571">
        <v>563</v>
      </c>
      <c r="B571" s="2">
        <v>45296.6247106481</v>
      </c>
      <c r="C571">
        <v>824.594</v>
      </c>
      <c r="D571" t="s">
        <v>821</v>
      </c>
      <c r="E571" t="s">
        <v>822</v>
      </c>
      <c r="F571">
        <v>5</v>
      </c>
      <c r="G571">
        <f t="shared" si="8"/>
        <v>0</v>
      </c>
      <c r="H571">
        <v>1</v>
      </c>
      <c r="I571">
        <v>227</v>
      </c>
      <c r="J571">
        <v>4936</v>
      </c>
      <c r="K571">
        <v>26832</v>
      </c>
      <c r="L571" s="1">
        <v>-12496</v>
      </c>
      <c r="M571">
        <v>-12496</v>
      </c>
      <c r="N571">
        <v>48.7</v>
      </c>
      <c r="O571">
        <v>1</v>
      </c>
      <c r="P571">
        <v>65535</v>
      </c>
      <c r="Q571">
        <v>745</v>
      </c>
      <c r="R571">
        <v>-32767</v>
      </c>
      <c r="S571">
        <v>42.3</v>
      </c>
      <c r="T571">
        <v>16</v>
      </c>
      <c r="U571">
        <v>100</v>
      </c>
      <c r="V571">
        <v>34000</v>
      </c>
      <c r="W571">
        <v>5000</v>
      </c>
      <c r="X571" t="s">
        <v>823</v>
      </c>
      <c r="Y571" t="s">
        <v>836</v>
      </c>
      <c r="Z571" t="s">
        <v>828</v>
      </c>
      <c r="AA571">
        <v>10</v>
      </c>
      <c r="AB571">
        <v>6</v>
      </c>
      <c r="AC571">
        <v>76</v>
      </c>
      <c r="AD571">
        <v>4</v>
      </c>
      <c r="AE571">
        <v>224</v>
      </c>
      <c r="AF571">
        <v>4936</v>
      </c>
      <c r="AG571">
        <v>817</v>
      </c>
      <c r="AH571">
        <v>4708</v>
      </c>
      <c r="AI571">
        <v>7</v>
      </c>
      <c r="AJ571">
        <v>87</v>
      </c>
      <c r="AK571">
        <v>1648</v>
      </c>
      <c r="AL571">
        <v>4189</v>
      </c>
      <c r="AM571">
        <v>14</v>
      </c>
      <c r="AN571">
        <v>923</v>
      </c>
      <c r="AO571" t="s">
        <v>826</v>
      </c>
    </row>
    <row r="572" spans="1:41">
      <c r="A572">
        <v>564</v>
      </c>
      <c r="B572" s="2">
        <v>45296.6247222222</v>
      </c>
      <c r="C572">
        <v>825.556</v>
      </c>
      <c r="D572" t="s">
        <v>821</v>
      </c>
      <c r="E572" t="s">
        <v>822</v>
      </c>
      <c r="F572">
        <v>5</v>
      </c>
      <c r="G572">
        <f t="shared" si="8"/>
        <v>0</v>
      </c>
      <c r="H572">
        <v>1</v>
      </c>
      <c r="I572">
        <v>224</v>
      </c>
      <c r="J572">
        <v>4936</v>
      </c>
      <c r="K572">
        <v>26832</v>
      </c>
      <c r="L572" s="1">
        <v>-12496</v>
      </c>
      <c r="M572">
        <v>-12496</v>
      </c>
      <c r="N572">
        <v>48.7</v>
      </c>
      <c r="O572">
        <v>1</v>
      </c>
      <c r="P572">
        <v>65535</v>
      </c>
      <c r="Q572">
        <v>735</v>
      </c>
      <c r="R572">
        <v>-32767</v>
      </c>
      <c r="S572">
        <v>42.3</v>
      </c>
      <c r="T572">
        <v>16</v>
      </c>
      <c r="U572">
        <v>100</v>
      </c>
      <c r="V572">
        <v>34000</v>
      </c>
      <c r="W572">
        <v>5000</v>
      </c>
      <c r="X572" t="s">
        <v>823</v>
      </c>
      <c r="Y572" t="s">
        <v>836</v>
      </c>
      <c r="Z572" t="s">
        <v>828</v>
      </c>
      <c r="AA572">
        <v>10</v>
      </c>
      <c r="AB572">
        <v>6</v>
      </c>
      <c r="AC572">
        <v>76</v>
      </c>
      <c r="AD572">
        <v>4</v>
      </c>
      <c r="AE572">
        <v>224</v>
      </c>
      <c r="AF572">
        <v>4936</v>
      </c>
      <c r="AG572">
        <v>817</v>
      </c>
      <c r="AH572">
        <v>4708</v>
      </c>
      <c r="AI572">
        <v>7</v>
      </c>
      <c r="AJ572">
        <v>87</v>
      </c>
      <c r="AK572">
        <v>1648</v>
      </c>
      <c r="AL572">
        <v>4193</v>
      </c>
      <c r="AM572">
        <v>14</v>
      </c>
      <c r="AN572">
        <v>904</v>
      </c>
      <c r="AO572" t="s">
        <v>826</v>
      </c>
    </row>
    <row r="573" spans="1:41">
      <c r="A573">
        <v>565</v>
      </c>
      <c r="B573" s="2">
        <v>45296.6247337963</v>
      </c>
      <c r="C573">
        <v>826.498</v>
      </c>
      <c r="D573" t="s">
        <v>821</v>
      </c>
      <c r="E573" t="s">
        <v>822</v>
      </c>
      <c r="F573">
        <v>5</v>
      </c>
      <c r="G573">
        <f t="shared" si="8"/>
        <v>0</v>
      </c>
      <c r="H573">
        <v>1</v>
      </c>
      <c r="I573">
        <v>220</v>
      </c>
      <c r="J573">
        <v>4936</v>
      </c>
      <c r="K573">
        <v>26816</v>
      </c>
      <c r="L573" s="1">
        <v>-12496</v>
      </c>
      <c r="M573">
        <v>-12496</v>
      </c>
      <c r="N573">
        <v>48.7</v>
      </c>
      <c r="O573">
        <v>1</v>
      </c>
      <c r="P573">
        <v>65535</v>
      </c>
      <c r="Q573">
        <v>721</v>
      </c>
      <c r="R573">
        <v>-32767</v>
      </c>
      <c r="S573">
        <v>42.3</v>
      </c>
      <c r="T573">
        <v>16</v>
      </c>
      <c r="U573">
        <v>100</v>
      </c>
      <c r="V573">
        <v>34000</v>
      </c>
      <c r="W573">
        <v>5000</v>
      </c>
      <c r="X573" t="s">
        <v>823</v>
      </c>
      <c r="Y573" t="s">
        <v>836</v>
      </c>
      <c r="Z573" t="s">
        <v>828</v>
      </c>
      <c r="AA573">
        <v>10</v>
      </c>
      <c r="AB573">
        <v>6</v>
      </c>
      <c r="AC573">
        <v>76</v>
      </c>
      <c r="AD573">
        <v>4</v>
      </c>
      <c r="AE573">
        <v>220</v>
      </c>
      <c r="AF573">
        <v>4936</v>
      </c>
      <c r="AG573">
        <v>818</v>
      </c>
      <c r="AH573">
        <v>4712</v>
      </c>
      <c r="AI573">
        <v>7</v>
      </c>
      <c r="AJ573">
        <v>87</v>
      </c>
      <c r="AK573">
        <v>1648</v>
      </c>
      <c r="AL573">
        <v>4193</v>
      </c>
      <c r="AM573">
        <v>14</v>
      </c>
      <c r="AN573">
        <v>900</v>
      </c>
      <c r="AO573" t="s">
        <v>826</v>
      </c>
    </row>
    <row r="574" spans="1:41">
      <c r="A574">
        <v>566</v>
      </c>
      <c r="B574" s="2">
        <v>45296.6247569444</v>
      </c>
      <c r="C574">
        <v>828.846</v>
      </c>
      <c r="D574" t="s">
        <v>821</v>
      </c>
      <c r="E574" t="s">
        <v>822</v>
      </c>
      <c r="F574">
        <v>5</v>
      </c>
      <c r="G574">
        <f t="shared" si="8"/>
        <v>0</v>
      </c>
      <c r="H574">
        <v>1</v>
      </c>
      <c r="I574">
        <v>213</v>
      </c>
      <c r="J574">
        <v>4936</v>
      </c>
      <c r="K574">
        <v>26808</v>
      </c>
      <c r="L574" s="1">
        <v>-12496</v>
      </c>
      <c r="M574">
        <v>-12496</v>
      </c>
      <c r="N574">
        <v>48.8</v>
      </c>
      <c r="O574">
        <v>1</v>
      </c>
      <c r="P574">
        <v>65535</v>
      </c>
      <c r="Q574">
        <v>688</v>
      </c>
      <c r="R574">
        <v>-32767</v>
      </c>
      <c r="S574">
        <v>42.3</v>
      </c>
      <c r="T574">
        <v>16</v>
      </c>
      <c r="U574">
        <v>100</v>
      </c>
      <c r="V574">
        <v>34000</v>
      </c>
      <c r="W574">
        <v>5000</v>
      </c>
      <c r="X574" t="s">
        <v>823</v>
      </c>
      <c r="Y574" t="s">
        <v>836</v>
      </c>
      <c r="Z574" t="s">
        <v>828</v>
      </c>
      <c r="AA574">
        <v>11</v>
      </c>
      <c r="AB574">
        <v>6</v>
      </c>
      <c r="AC574">
        <v>76</v>
      </c>
      <c r="AD574">
        <v>4</v>
      </c>
      <c r="AE574">
        <v>210</v>
      </c>
      <c r="AF574">
        <v>4936</v>
      </c>
      <c r="AG574">
        <v>821</v>
      </c>
      <c r="AH574">
        <v>4722</v>
      </c>
      <c r="AI574">
        <v>7</v>
      </c>
      <c r="AJ574">
        <v>87</v>
      </c>
      <c r="AK574">
        <v>1648</v>
      </c>
      <c r="AL574">
        <v>4203</v>
      </c>
      <c r="AM574">
        <v>14</v>
      </c>
      <c r="AN574">
        <v>942</v>
      </c>
      <c r="AO574" t="s">
        <v>826</v>
      </c>
    </row>
    <row r="575" spans="1:41">
      <c r="A575">
        <v>567</v>
      </c>
      <c r="B575" s="2">
        <v>45296.6247685185</v>
      </c>
      <c r="C575">
        <v>829.823</v>
      </c>
      <c r="D575" t="s">
        <v>821</v>
      </c>
      <c r="E575" t="s">
        <v>822</v>
      </c>
      <c r="F575">
        <v>5</v>
      </c>
      <c r="G575">
        <f t="shared" si="8"/>
        <v>0</v>
      </c>
      <c r="H575">
        <v>1</v>
      </c>
      <c r="I575">
        <v>210</v>
      </c>
      <c r="J575">
        <v>4936</v>
      </c>
      <c r="K575">
        <v>26800</v>
      </c>
      <c r="L575" s="1">
        <v>-12496</v>
      </c>
      <c r="M575">
        <v>-12496</v>
      </c>
      <c r="N575">
        <v>48.8</v>
      </c>
      <c r="O575">
        <v>1</v>
      </c>
      <c r="P575">
        <v>65535</v>
      </c>
      <c r="Q575">
        <v>688</v>
      </c>
      <c r="R575">
        <v>-32767</v>
      </c>
      <c r="S575">
        <v>42.3</v>
      </c>
      <c r="T575">
        <v>16</v>
      </c>
      <c r="U575">
        <v>100</v>
      </c>
      <c r="V575">
        <v>34000</v>
      </c>
      <c r="W575">
        <v>5000</v>
      </c>
      <c r="X575" t="s">
        <v>823</v>
      </c>
      <c r="Y575" t="s">
        <v>836</v>
      </c>
      <c r="Z575" t="s">
        <v>828</v>
      </c>
      <c r="AA575">
        <v>11</v>
      </c>
      <c r="AB575">
        <v>6</v>
      </c>
      <c r="AC575">
        <v>76</v>
      </c>
      <c r="AD575">
        <v>4</v>
      </c>
      <c r="AE575">
        <v>207</v>
      </c>
      <c r="AF575">
        <v>4936</v>
      </c>
      <c r="AG575">
        <v>822</v>
      </c>
      <c r="AH575">
        <v>4725</v>
      </c>
      <c r="AI575">
        <v>7</v>
      </c>
      <c r="AJ575">
        <v>87</v>
      </c>
      <c r="AK575">
        <v>1648</v>
      </c>
      <c r="AL575">
        <v>4206</v>
      </c>
      <c r="AM575">
        <v>14</v>
      </c>
      <c r="AN575">
        <v>905</v>
      </c>
      <c r="AO575" t="s">
        <v>826</v>
      </c>
    </row>
    <row r="576" spans="1:41">
      <c r="A576">
        <v>568</v>
      </c>
      <c r="B576" s="2">
        <v>45296.6247800926</v>
      </c>
      <c r="C576">
        <v>830.766</v>
      </c>
      <c r="D576" t="s">
        <v>821</v>
      </c>
      <c r="E576" t="s">
        <v>822</v>
      </c>
      <c r="F576">
        <v>5</v>
      </c>
      <c r="G576">
        <f t="shared" si="8"/>
        <v>0</v>
      </c>
      <c r="H576">
        <v>1</v>
      </c>
      <c r="I576">
        <v>207</v>
      </c>
      <c r="J576">
        <v>4936</v>
      </c>
      <c r="K576">
        <v>26792</v>
      </c>
      <c r="L576" s="1">
        <v>-12496</v>
      </c>
      <c r="M576">
        <v>-12496</v>
      </c>
      <c r="N576">
        <v>48.8</v>
      </c>
      <c r="O576">
        <v>1</v>
      </c>
      <c r="P576">
        <v>65535</v>
      </c>
      <c r="Q576">
        <v>678</v>
      </c>
      <c r="R576">
        <v>-32767</v>
      </c>
      <c r="S576">
        <v>42.3</v>
      </c>
      <c r="T576">
        <v>16</v>
      </c>
      <c r="U576">
        <v>100</v>
      </c>
      <c r="V576">
        <v>34000</v>
      </c>
      <c r="W576">
        <v>5000</v>
      </c>
      <c r="X576" t="s">
        <v>823</v>
      </c>
      <c r="Y576" t="s">
        <v>836</v>
      </c>
      <c r="Z576" t="s">
        <v>828</v>
      </c>
      <c r="AA576">
        <v>11</v>
      </c>
      <c r="AB576">
        <v>6</v>
      </c>
      <c r="AC576">
        <v>76</v>
      </c>
      <c r="AD576">
        <v>4</v>
      </c>
      <c r="AE576">
        <v>203</v>
      </c>
      <c r="AF576">
        <v>4936</v>
      </c>
      <c r="AG576">
        <v>823</v>
      </c>
      <c r="AH576">
        <v>4729</v>
      </c>
      <c r="AI576">
        <v>7</v>
      </c>
      <c r="AJ576">
        <v>87</v>
      </c>
      <c r="AK576">
        <v>1648</v>
      </c>
      <c r="AL576">
        <v>4210</v>
      </c>
      <c r="AM576">
        <v>14</v>
      </c>
      <c r="AN576">
        <v>928</v>
      </c>
      <c r="AO576" t="s">
        <v>826</v>
      </c>
    </row>
    <row r="577" spans="1:41">
      <c r="A577">
        <v>569</v>
      </c>
      <c r="B577" s="2">
        <v>45296.6248148148</v>
      </c>
      <c r="C577">
        <v>833.14</v>
      </c>
      <c r="D577" t="s">
        <v>821</v>
      </c>
      <c r="E577" t="s">
        <v>822</v>
      </c>
      <c r="F577">
        <v>4</v>
      </c>
      <c r="G577">
        <f t="shared" si="8"/>
        <v>1</v>
      </c>
      <c r="H577">
        <v>1</v>
      </c>
      <c r="I577">
        <v>196</v>
      </c>
      <c r="J577">
        <v>4936</v>
      </c>
      <c r="K577">
        <v>26768</v>
      </c>
      <c r="L577" s="1">
        <v>-12496</v>
      </c>
      <c r="M577">
        <v>-12496</v>
      </c>
      <c r="N577">
        <v>48.8</v>
      </c>
      <c r="O577">
        <v>1</v>
      </c>
      <c r="P577">
        <v>65535</v>
      </c>
      <c r="Q577">
        <v>641</v>
      </c>
      <c r="R577">
        <v>-32767</v>
      </c>
      <c r="S577">
        <v>42.3</v>
      </c>
      <c r="T577">
        <v>16</v>
      </c>
      <c r="U577">
        <v>100</v>
      </c>
      <c r="V577">
        <v>34000</v>
      </c>
      <c r="W577">
        <v>5000</v>
      </c>
      <c r="X577" t="s">
        <v>823</v>
      </c>
      <c r="Y577" t="s">
        <v>836</v>
      </c>
      <c r="Z577" t="s">
        <v>828</v>
      </c>
      <c r="AA577">
        <v>11</v>
      </c>
      <c r="AB577">
        <v>6</v>
      </c>
      <c r="AC577">
        <v>76</v>
      </c>
      <c r="AD577">
        <v>4</v>
      </c>
      <c r="AE577">
        <v>196</v>
      </c>
      <c r="AF577">
        <v>4936</v>
      </c>
      <c r="AG577">
        <v>825</v>
      </c>
      <c r="AH577">
        <v>4736</v>
      </c>
      <c r="AI577">
        <v>7</v>
      </c>
      <c r="AJ577">
        <v>87</v>
      </c>
      <c r="AK577">
        <v>1648</v>
      </c>
      <c r="AL577">
        <v>4217</v>
      </c>
      <c r="AM577">
        <v>14</v>
      </c>
      <c r="AN577">
        <v>911</v>
      </c>
      <c r="AO577" t="s">
        <v>826</v>
      </c>
    </row>
    <row r="578" spans="1:41">
      <c r="A578">
        <v>570</v>
      </c>
      <c r="B578" s="2">
        <v>45296.6248263889</v>
      </c>
      <c r="C578">
        <v>834.092</v>
      </c>
      <c r="D578" t="s">
        <v>821</v>
      </c>
      <c r="E578" t="s">
        <v>822</v>
      </c>
      <c r="F578">
        <v>4</v>
      </c>
      <c r="G578">
        <f t="shared" si="8"/>
        <v>0</v>
      </c>
      <c r="H578">
        <v>1</v>
      </c>
      <c r="I578">
        <v>193</v>
      </c>
      <c r="J578">
        <v>4936</v>
      </c>
      <c r="K578">
        <v>26760</v>
      </c>
      <c r="L578" s="1">
        <v>-12496</v>
      </c>
      <c r="M578">
        <v>-12496</v>
      </c>
      <c r="N578">
        <v>48.9</v>
      </c>
      <c r="O578">
        <v>1</v>
      </c>
      <c r="P578">
        <v>65535</v>
      </c>
      <c r="Q578">
        <v>631</v>
      </c>
      <c r="R578">
        <v>-32767</v>
      </c>
      <c r="S578">
        <v>42.3</v>
      </c>
      <c r="T578">
        <v>16</v>
      </c>
      <c r="U578">
        <v>100</v>
      </c>
      <c r="V578">
        <v>34000</v>
      </c>
      <c r="W578">
        <v>5000</v>
      </c>
      <c r="X578" t="s">
        <v>823</v>
      </c>
      <c r="Y578" t="s">
        <v>836</v>
      </c>
      <c r="Z578" t="s">
        <v>828</v>
      </c>
      <c r="AA578">
        <v>11</v>
      </c>
      <c r="AB578">
        <v>6</v>
      </c>
      <c r="AC578">
        <v>76</v>
      </c>
      <c r="AD578">
        <v>4</v>
      </c>
      <c r="AE578">
        <v>193</v>
      </c>
      <c r="AF578">
        <v>4936</v>
      </c>
      <c r="AG578">
        <v>826</v>
      </c>
      <c r="AH578">
        <v>4739</v>
      </c>
      <c r="AI578">
        <v>7</v>
      </c>
      <c r="AJ578">
        <v>87</v>
      </c>
      <c r="AK578">
        <v>1648</v>
      </c>
      <c r="AL578">
        <v>4220</v>
      </c>
      <c r="AM578">
        <v>14</v>
      </c>
      <c r="AN578">
        <v>917</v>
      </c>
      <c r="AO578" t="s">
        <v>826</v>
      </c>
    </row>
    <row r="579" spans="1:41">
      <c r="A579">
        <v>571</v>
      </c>
      <c r="B579" s="2">
        <v>45296.624837963</v>
      </c>
      <c r="C579">
        <v>835.041</v>
      </c>
      <c r="D579" t="s">
        <v>821</v>
      </c>
      <c r="E579" t="s">
        <v>822</v>
      </c>
      <c r="F579">
        <v>4</v>
      </c>
      <c r="G579">
        <f t="shared" ref="G579:G642" si="9">F578-F579</f>
        <v>0</v>
      </c>
      <c r="H579">
        <v>1</v>
      </c>
      <c r="I579">
        <v>189</v>
      </c>
      <c r="J579">
        <v>4936</v>
      </c>
      <c r="K579">
        <v>26744</v>
      </c>
      <c r="L579" s="1">
        <v>-12496</v>
      </c>
      <c r="M579">
        <v>-12496</v>
      </c>
      <c r="N579">
        <v>48.9</v>
      </c>
      <c r="O579">
        <v>1</v>
      </c>
      <c r="P579">
        <v>65535</v>
      </c>
      <c r="Q579">
        <v>617</v>
      </c>
      <c r="R579">
        <v>-32767</v>
      </c>
      <c r="S579">
        <v>42.3</v>
      </c>
      <c r="T579">
        <v>16</v>
      </c>
      <c r="U579">
        <v>100</v>
      </c>
      <c r="V579">
        <v>34000</v>
      </c>
      <c r="W579">
        <v>5000</v>
      </c>
      <c r="X579" t="s">
        <v>823</v>
      </c>
      <c r="Y579" t="s">
        <v>836</v>
      </c>
      <c r="Z579" t="s">
        <v>828</v>
      </c>
      <c r="AA579">
        <v>11</v>
      </c>
      <c r="AB579">
        <v>6</v>
      </c>
      <c r="AC579">
        <v>76</v>
      </c>
      <c r="AD579">
        <v>4</v>
      </c>
      <c r="AE579">
        <v>189</v>
      </c>
      <c r="AF579">
        <v>4936</v>
      </c>
      <c r="AG579">
        <v>827</v>
      </c>
      <c r="AH579">
        <v>4743</v>
      </c>
      <c r="AI579">
        <v>7</v>
      </c>
      <c r="AJ579">
        <v>87</v>
      </c>
      <c r="AK579">
        <v>1648</v>
      </c>
      <c r="AL579">
        <v>4224</v>
      </c>
      <c r="AM579">
        <v>14</v>
      </c>
      <c r="AN579">
        <v>904</v>
      </c>
      <c r="AO579" t="s">
        <v>826</v>
      </c>
    </row>
    <row r="580" spans="1:41">
      <c r="A580">
        <v>572</v>
      </c>
      <c r="B580" s="2">
        <v>45296.6248611111</v>
      </c>
      <c r="C580">
        <v>837.393</v>
      </c>
      <c r="D580" t="s">
        <v>821</v>
      </c>
      <c r="E580" t="s">
        <v>822</v>
      </c>
      <c r="F580">
        <v>4</v>
      </c>
      <c r="G580">
        <f t="shared" si="9"/>
        <v>0</v>
      </c>
      <c r="H580">
        <v>1</v>
      </c>
      <c r="I580">
        <v>182</v>
      </c>
      <c r="J580">
        <v>4936</v>
      </c>
      <c r="K580">
        <v>26736</v>
      </c>
      <c r="L580" s="1">
        <v>-12496</v>
      </c>
      <c r="M580">
        <v>-12496</v>
      </c>
      <c r="N580">
        <v>48.9</v>
      </c>
      <c r="O580">
        <v>1</v>
      </c>
      <c r="P580">
        <v>65535</v>
      </c>
      <c r="Q580">
        <v>594</v>
      </c>
      <c r="R580">
        <v>-32767</v>
      </c>
      <c r="S580">
        <v>42.3</v>
      </c>
      <c r="T580">
        <v>16</v>
      </c>
      <c r="U580">
        <v>100</v>
      </c>
      <c r="V580">
        <v>34000</v>
      </c>
      <c r="W580">
        <v>5000</v>
      </c>
      <c r="X580" t="s">
        <v>823</v>
      </c>
      <c r="Y580" t="s">
        <v>836</v>
      </c>
      <c r="Z580" t="s">
        <v>828</v>
      </c>
      <c r="AA580">
        <v>11</v>
      </c>
      <c r="AB580">
        <v>6</v>
      </c>
      <c r="AC580">
        <v>76</v>
      </c>
      <c r="AD580">
        <v>4</v>
      </c>
      <c r="AE580">
        <v>226</v>
      </c>
      <c r="AF580">
        <v>4980</v>
      </c>
      <c r="AG580">
        <v>829</v>
      </c>
      <c r="AH580">
        <v>4750</v>
      </c>
      <c r="AI580">
        <v>7</v>
      </c>
      <c r="AJ580">
        <v>87</v>
      </c>
      <c r="AK580">
        <v>1648</v>
      </c>
      <c r="AL580">
        <v>4231</v>
      </c>
      <c r="AM580">
        <v>14</v>
      </c>
      <c r="AN580">
        <v>911</v>
      </c>
      <c r="AO580" t="s">
        <v>826</v>
      </c>
    </row>
    <row r="581" spans="1:41">
      <c r="A581">
        <v>573</v>
      </c>
      <c r="B581" s="2">
        <v>45296.6248726852</v>
      </c>
      <c r="C581">
        <v>838.341</v>
      </c>
      <c r="D581" t="s">
        <v>821</v>
      </c>
      <c r="E581" t="s">
        <v>822</v>
      </c>
      <c r="F581">
        <v>5</v>
      </c>
      <c r="G581">
        <f t="shared" si="9"/>
        <v>-1</v>
      </c>
      <c r="H581">
        <v>1</v>
      </c>
      <c r="I581">
        <v>223</v>
      </c>
      <c r="J581">
        <v>4980</v>
      </c>
      <c r="K581">
        <v>26728</v>
      </c>
      <c r="L581" s="1">
        <v>-12496</v>
      </c>
      <c r="M581">
        <v>-12496</v>
      </c>
      <c r="N581">
        <v>48.9</v>
      </c>
      <c r="O581">
        <v>1</v>
      </c>
      <c r="P581">
        <v>65535</v>
      </c>
      <c r="Q581">
        <v>732</v>
      </c>
      <c r="R581">
        <v>-32767</v>
      </c>
      <c r="S581">
        <v>42.3</v>
      </c>
      <c r="T581">
        <v>16</v>
      </c>
      <c r="U581">
        <v>100</v>
      </c>
      <c r="V581">
        <v>34000</v>
      </c>
      <c r="W581">
        <v>5000</v>
      </c>
      <c r="X581" t="s">
        <v>823</v>
      </c>
      <c r="Y581" t="s">
        <v>836</v>
      </c>
      <c r="Z581" t="s">
        <v>828</v>
      </c>
      <c r="AA581">
        <v>11</v>
      </c>
      <c r="AB581">
        <v>6</v>
      </c>
      <c r="AC581">
        <v>76</v>
      </c>
      <c r="AD581">
        <v>4</v>
      </c>
      <c r="AE581">
        <v>223</v>
      </c>
      <c r="AF581">
        <v>4980</v>
      </c>
      <c r="AG581">
        <v>830</v>
      </c>
      <c r="AH581">
        <v>4753</v>
      </c>
      <c r="AI581">
        <v>7</v>
      </c>
      <c r="AJ581">
        <v>87</v>
      </c>
      <c r="AK581">
        <v>1648</v>
      </c>
      <c r="AL581">
        <v>4234</v>
      </c>
      <c r="AM581">
        <v>14</v>
      </c>
      <c r="AN581">
        <v>899</v>
      </c>
      <c r="AO581" t="s">
        <v>826</v>
      </c>
    </row>
    <row r="582" spans="1:41">
      <c r="A582">
        <v>574</v>
      </c>
      <c r="B582" s="2">
        <v>45296.6248958333</v>
      </c>
      <c r="C582">
        <v>840.709</v>
      </c>
      <c r="D582" t="s">
        <v>821</v>
      </c>
      <c r="E582" t="s">
        <v>822</v>
      </c>
      <c r="F582">
        <v>5</v>
      </c>
      <c r="G582">
        <f t="shared" si="9"/>
        <v>0</v>
      </c>
      <c r="H582">
        <v>1</v>
      </c>
      <c r="I582">
        <v>216</v>
      </c>
      <c r="J582">
        <v>4980</v>
      </c>
      <c r="K582">
        <v>26712</v>
      </c>
      <c r="L582" s="1">
        <v>-12496</v>
      </c>
      <c r="M582">
        <v>-12496</v>
      </c>
      <c r="N582">
        <v>48.9</v>
      </c>
      <c r="O582">
        <v>1</v>
      </c>
      <c r="P582">
        <v>65535</v>
      </c>
      <c r="Q582">
        <v>709</v>
      </c>
      <c r="R582">
        <v>-32767</v>
      </c>
      <c r="S582">
        <v>42.4</v>
      </c>
      <c r="T582">
        <v>16</v>
      </c>
      <c r="U582">
        <v>100</v>
      </c>
      <c r="V582">
        <v>34000</v>
      </c>
      <c r="W582">
        <v>5000</v>
      </c>
      <c r="X582" t="s">
        <v>823</v>
      </c>
      <c r="Y582" t="s">
        <v>836</v>
      </c>
      <c r="Z582" t="s">
        <v>828</v>
      </c>
      <c r="AA582">
        <v>11</v>
      </c>
      <c r="AB582">
        <v>6</v>
      </c>
      <c r="AC582">
        <v>76</v>
      </c>
      <c r="AD582">
        <v>4</v>
      </c>
      <c r="AE582">
        <v>212</v>
      </c>
      <c r="AF582">
        <v>4980</v>
      </c>
      <c r="AG582">
        <v>833</v>
      </c>
      <c r="AH582">
        <v>4764</v>
      </c>
      <c r="AI582">
        <v>7</v>
      </c>
      <c r="AJ582">
        <v>87</v>
      </c>
      <c r="AK582">
        <v>1648</v>
      </c>
      <c r="AL582">
        <v>4245</v>
      </c>
      <c r="AM582">
        <v>14</v>
      </c>
      <c r="AN582">
        <v>905</v>
      </c>
      <c r="AO582" t="s">
        <v>826</v>
      </c>
    </row>
    <row r="583" spans="1:41">
      <c r="A583">
        <v>575</v>
      </c>
      <c r="B583" s="2">
        <v>45296.6249074074</v>
      </c>
      <c r="C583">
        <v>841.654</v>
      </c>
      <c r="D583" t="s">
        <v>821</v>
      </c>
      <c r="E583" t="s">
        <v>822</v>
      </c>
      <c r="F583">
        <v>5</v>
      </c>
      <c r="G583">
        <f t="shared" si="9"/>
        <v>0</v>
      </c>
      <c r="H583">
        <v>1</v>
      </c>
      <c r="I583">
        <v>212</v>
      </c>
      <c r="J583">
        <v>4980</v>
      </c>
      <c r="K583">
        <v>26696</v>
      </c>
      <c r="L583" s="1">
        <v>-12496</v>
      </c>
      <c r="M583">
        <v>-12496</v>
      </c>
      <c r="N583">
        <v>48.9</v>
      </c>
      <c r="O583">
        <v>1</v>
      </c>
      <c r="P583">
        <v>65535</v>
      </c>
      <c r="Q583">
        <v>695</v>
      </c>
      <c r="R583">
        <v>-32767</v>
      </c>
      <c r="S583">
        <v>42.4</v>
      </c>
      <c r="T583">
        <v>16</v>
      </c>
      <c r="U583">
        <v>100</v>
      </c>
      <c r="V583">
        <v>34000</v>
      </c>
      <c r="W583">
        <v>5000</v>
      </c>
      <c r="X583" t="s">
        <v>823</v>
      </c>
      <c r="Y583" t="s">
        <v>836</v>
      </c>
      <c r="Z583" t="s">
        <v>828</v>
      </c>
      <c r="AA583">
        <v>11</v>
      </c>
      <c r="AB583">
        <v>6</v>
      </c>
      <c r="AC583">
        <v>76</v>
      </c>
      <c r="AD583">
        <v>4</v>
      </c>
      <c r="AE583">
        <v>209</v>
      </c>
      <c r="AF583">
        <v>4980</v>
      </c>
      <c r="AG583">
        <v>834</v>
      </c>
      <c r="AH583">
        <v>4767</v>
      </c>
      <c r="AI583">
        <v>7</v>
      </c>
      <c r="AJ583">
        <v>87</v>
      </c>
      <c r="AK583">
        <v>1648</v>
      </c>
      <c r="AL583">
        <v>4248</v>
      </c>
      <c r="AM583">
        <v>14</v>
      </c>
      <c r="AN583">
        <v>900</v>
      </c>
      <c r="AO583" t="s">
        <v>826</v>
      </c>
    </row>
    <row r="584" spans="1:41">
      <c r="A584">
        <v>576</v>
      </c>
      <c r="B584" s="2">
        <v>45296.6249189815</v>
      </c>
      <c r="C584">
        <v>842.604</v>
      </c>
      <c r="D584" t="s">
        <v>821</v>
      </c>
      <c r="E584" t="s">
        <v>822</v>
      </c>
      <c r="F584">
        <v>5</v>
      </c>
      <c r="G584">
        <f t="shared" si="9"/>
        <v>0</v>
      </c>
      <c r="H584">
        <v>1</v>
      </c>
      <c r="I584">
        <v>209</v>
      </c>
      <c r="J584">
        <v>4980</v>
      </c>
      <c r="K584">
        <v>26688</v>
      </c>
      <c r="L584" s="1">
        <v>-12496</v>
      </c>
      <c r="M584">
        <v>-12496</v>
      </c>
      <c r="N584">
        <v>48.9</v>
      </c>
      <c r="O584">
        <v>1</v>
      </c>
      <c r="P584">
        <v>65535</v>
      </c>
      <c r="Q584">
        <v>685</v>
      </c>
      <c r="R584">
        <v>-32767</v>
      </c>
      <c r="S584">
        <v>42.4</v>
      </c>
      <c r="T584">
        <v>16</v>
      </c>
      <c r="U584">
        <v>100</v>
      </c>
      <c r="V584">
        <v>34000</v>
      </c>
      <c r="W584">
        <v>5000</v>
      </c>
      <c r="X584" t="s">
        <v>823</v>
      </c>
      <c r="Y584" t="s">
        <v>836</v>
      </c>
      <c r="Z584" t="s">
        <v>828</v>
      </c>
      <c r="AA584">
        <v>11</v>
      </c>
      <c r="AB584">
        <v>6</v>
      </c>
      <c r="AC584">
        <v>76</v>
      </c>
      <c r="AD584">
        <v>4</v>
      </c>
      <c r="AE584">
        <v>209</v>
      </c>
      <c r="AF584">
        <v>4980</v>
      </c>
      <c r="AG584">
        <v>835</v>
      </c>
      <c r="AH584">
        <v>4771</v>
      </c>
      <c r="AI584">
        <v>7</v>
      </c>
      <c r="AJ584">
        <v>87</v>
      </c>
      <c r="AK584">
        <v>1648</v>
      </c>
      <c r="AL584">
        <v>4252</v>
      </c>
      <c r="AM584">
        <v>14</v>
      </c>
      <c r="AN584">
        <v>904</v>
      </c>
      <c r="AO584" t="s">
        <v>826</v>
      </c>
    </row>
    <row r="585" spans="1:41">
      <c r="A585">
        <v>577</v>
      </c>
      <c r="B585" s="2">
        <v>45296.6249537037</v>
      </c>
      <c r="C585">
        <v>844.973</v>
      </c>
      <c r="D585" t="s">
        <v>821</v>
      </c>
      <c r="E585" t="s">
        <v>822</v>
      </c>
      <c r="F585">
        <v>5</v>
      </c>
      <c r="G585">
        <f t="shared" si="9"/>
        <v>0</v>
      </c>
      <c r="H585">
        <v>1</v>
      </c>
      <c r="I585">
        <v>202</v>
      </c>
      <c r="J585">
        <v>4980</v>
      </c>
      <c r="K585">
        <v>26664</v>
      </c>
      <c r="L585" s="1">
        <v>-12496</v>
      </c>
      <c r="M585">
        <v>-12496</v>
      </c>
      <c r="N585">
        <v>49</v>
      </c>
      <c r="O585">
        <v>1</v>
      </c>
      <c r="P585">
        <v>65535</v>
      </c>
      <c r="Q585">
        <v>649</v>
      </c>
      <c r="R585">
        <v>-32767</v>
      </c>
      <c r="S585">
        <v>42.4</v>
      </c>
      <c r="T585">
        <v>16</v>
      </c>
      <c r="U585">
        <v>100</v>
      </c>
      <c r="V585">
        <v>34000</v>
      </c>
      <c r="W585">
        <v>5000</v>
      </c>
      <c r="X585" t="s">
        <v>823</v>
      </c>
      <c r="Y585" t="s">
        <v>836</v>
      </c>
      <c r="Z585" t="s">
        <v>828</v>
      </c>
      <c r="AA585">
        <v>11</v>
      </c>
      <c r="AB585">
        <v>6</v>
      </c>
      <c r="AC585">
        <v>76</v>
      </c>
      <c r="AD585">
        <v>4</v>
      </c>
      <c r="AE585">
        <v>198</v>
      </c>
      <c r="AF585">
        <v>4980</v>
      </c>
      <c r="AG585">
        <v>837</v>
      </c>
      <c r="AH585">
        <v>4778</v>
      </c>
      <c r="AI585">
        <v>7</v>
      </c>
      <c r="AJ585">
        <v>87</v>
      </c>
      <c r="AK585">
        <v>1648</v>
      </c>
      <c r="AL585">
        <v>4259</v>
      </c>
      <c r="AM585">
        <v>14</v>
      </c>
      <c r="AN585">
        <v>907</v>
      </c>
      <c r="AO585" t="s">
        <v>826</v>
      </c>
    </row>
    <row r="586" spans="1:41">
      <c r="A586">
        <v>578</v>
      </c>
      <c r="B586" s="2">
        <v>45296.6249652778</v>
      </c>
      <c r="C586">
        <v>845.943</v>
      </c>
      <c r="D586" t="s">
        <v>821</v>
      </c>
      <c r="E586" t="s">
        <v>822</v>
      </c>
      <c r="F586">
        <v>4</v>
      </c>
      <c r="G586">
        <f t="shared" si="9"/>
        <v>1</v>
      </c>
      <c r="H586">
        <v>1</v>
      </c>
      <c r="I586">
        <v>198</v>
      </c>
      <c r="J586">
        <v>4980</v>
      </c>
      <c r="K586">
        <v>26648</v>
      </c>
      <c r="L586" s="1">
        <v>-12496</v>
      </c>
      <c r="M586">
        <v>-12496</v>
      </c>
      <c r="N586">
        <v>49</v>
      </c>
      <c r="O586">
        <v>1</v>
      </c>
      <c r="P586">
        <v>65535</v>
      </c>
      <c r="Q586">
        <v>639</v>
      </c>
      <c r="R586">
        <v>-32767</v>
      </c>
      <c r="S586">
        <v>42.4</v>
      </c>
      <c r="T586">
        <v>16</v>
      </c>
      <c r="U586">
        <v>100</v>
      </c>
      <c r="V586">
        <v>34000</v>
      </c>
      <c r="W586">
        <v>5000</v>
      </c>
      <c r="X586" t="s">
        <v>823</v>
      </c>
      <c r="Y586" t="s">
        <v>836</v>
      </c>
      <c r="Z586" t="s">
        <v>828</v>
      </c>
      <c r="AA586">
        <v>11</v>
      </c>
      <c r="AB586">
        <v>6</v>
      </c>
      <c r="AC586">
        <v>76</v>
      </c>
      <c r="AD586">
        <v>4</v>
      </c>
      <c r="AE586">
        <v>195</v>
      </c>
      <c r="AF586">
        <v>4980</v>
      </c>
      <c r="AG586">
        <v>838</v>
      </c>
      <c r="AH586">
        <v>4781</v>
      </c>
      <c r="AI586">
        <v>7</v>
      </c>
      <c r="AJ586">
        <v>87</v>
      </c>
      <c r="AK586">
        <v>1648</v>
      </c>
      <c r="AL586">
        <v>4262</v>
      </c>
      <c r="AM586">
        <v>14</v>
      </c>
      <c r="AN586">
        <v>909</v>
      </c>
      <c r="AO586" t="s">
        <v>826</v>
      </c>
    </row>
    <row r="587" spans="1:41">
      <c r="A587">
        <v>579</v>
      </c>
      <c r="B587" s="2">
        <v>45296.6249768519</v>
      </c>
      <c r="C587">
        <v>846.946</v>
      </c>
      <c r="D587" t="s">
        <v>821</v>
      </c>
      <c r="E587" t="s">
        <v>822</v>
      </c>
      <c r="F587">
        <v>4</v>
      </c>
      <c r="G587">
        <f t="shared" si="9"/>
        <v>0</v>
      </c>
      <c r="H587">
        <v>1</v>
      </c>
      <c r="I587">
        <v>195</v>
      </c>
      <c r="J587">
        <v>4980</v>
      </c>
      <c r="K587">
        <v>26640</v>
      </c>
      <c r="L587" s="1">
        <v>-12496</v>
      </c>
      <c r="M587">
        <v>-12496</v>
      </c>
      <c r="N587">
        <v>49.1</v>
      </c>
      <c r="O587">
        <v>1</v>
      </c>
      <c r="P587">
        <v>65535</v>
      </c>
      <c r="Q587">
        <v>625</v>
      </c>
      <c r="R587">
        <v>-32767</v>
      </c>
      <c r="S587">
        <v>42.4</v>
      </c>
      <c r="T587">
        <v>16</v>
      </c>
      <c r="U587">
        <v>100</v>
      </c>
      <c r="V587">
        <v>34000</v>
      </c>
      <c r="W587">
        <v>5000</v>
      </c>
      <c r="X587" t="s">
        <v>823</v>
      </c>
      <c r="Y587" t="s">
        <v>836</v>
      </c>
      <c r="Z587" t="s">
        <v>828</v>
      </c>
      <c r="AA587">
        <v>11</v>
      </c>
      <c r="AB587">
        <v>6</v>
      </c>
      <c r="AC587">
        <v>76</v>
      </c>
      <c r="AD587">
        <v>4</v>
      </c>
      <c r="AE587">
        <v>191</v>
      </c>
      <c r="AF587">
        <v>4980</v>
      </c>
      <c r="AG587">
        <v>839</v>
      </c>
      <c r="AH587">
        <v>4785</v>
      </c>
      <c r="AI587">
        <v>7</v>
      </c>
      <c r="AJ587">
        <v>87</v>
      </c>
      <c r="AK587">
        <v>1648</v>
      </c>
      <c r="AL587">
        <v>4266</v>
      </c>
      <c r="AM587">
        <v>14</v>
      </c>
      <c r="AN587">
        <v>904</v>
      </c>
      <c r="AO587" t="s">
        <v>826</v>
      </c>
    </row>
    <row r="588" spans="1:41">
      <c r="A588">
        <v>580</v>
      </c>
      <c r="B588" s="2">
        <v>45296.625</v>
      </c>
      <c r="C588">
        <v>849.304</v>
      </c>
      <c r="D588" t="s">
        <v>821</v>
      </c>
      <c r="E588" t="s">
        <v>822</v>
      </c>
      <c r="F588">
        <v>4</v>
      </c>
      <c r="G588">
        <f t="shared" si="9"/>
        <v>0</v>
      </c>
      <c r="H588">
        <v>1</v>
      </c>
      <c r="I588">
        <v>185</v>
      </c>
      <c r="J588">
        <v>4980</v>
      </c>
      <c r="K588">
        <v>26624</v>
      </c>
      <c r="L588" s="1">
        <v>-12496</v>
      </c>
      <c r="M588">
        <v>-12496</v>
      </c>
      <c r="N588">
        <v>49.1</v>
      </c>
      <c r="O588">
        <v>1</v>
      </c>
      <c r="P588">
        <v>65535</v>
      </c>
      <c r="Q588">
        <v>605</v>
      </c>
      <c r="R588">
        <v>-32767</v>
      </c>
      <c r="S588">
        <v>42.5</v>
      </c>
      <c r="T588">
        <v>16</v>
      </c>
      <c r="U588">
        <v>100</v>
      </c>
      <c r="V588">
        <v>34000</v>
      </c>
      <c r="W588">
        <v>5000</v>
      </c>
      <c r="X588" t="s">
        <v>823</v>
      </c>
      <c r="Y588" t="s">
        <v>836</v>
      </c>
      <c r="Z588" t="s">
        <v>828</v>
      </c>
      <c r="AA588">
        <v>11</v>
      </c>
      <c r="AB588">
        <v>6</v>
      </c>
      <c r="AC588">
        <v>76</v>
      </c>
      <c r="AD588">
        <v>4</v>
      </c>
      <c r="AE588">
        <v>185</v>
      </c>
      <c r="AF588">
        <v>4980</v>
      </c>
      <c r="AG588">
        <v>841</v>
      </c>
      <c r="AH588">
        <v>4791</v>
      </c>
      <c r="AI588">
        <v>7</v>
      </c>
      <c r="AJ588">
        <v>87</v>
      </c>
      <c r="AK588">
        <v>1648</v>
      </c>
      <c r="AL588">
        <v>4272</v>
      </c>
      <c r="AM588">
        <v>14</v>
      </c>
      <c r="AN588">
        <v>904</v>
      </c>
      <c r="AO588" t="s">
        <v>826</v>
      </c>
    </row>
    <row r="589" spans="1:41">
      <c r="A589">
        <v>581</v>
      </c>
      <c r="B589" s="2">
        <v>45296.6250115741</v>
      </c>
      <c r="C589">
        <v>850.248</v>
      </c>
      <c r="D589" t="s">
        <v>821</v>
      </c>
      <c r="E589" t="s">
        <v>822</v>
      </c>
      <c r="F589">
        <v>4</v>
      </c>
      <c r="G589">
        <f t="shared" si="9"/>
        <v>0</v>
      </c>
      <c r="H589">
        <v>1</v>
      </c>
      <c r="I589">
        <v>181</v>
      </c>
      <c r="J589">
        <v>4980</v>
      </c>
      <c r="K589">
        <v>26616</v>
      </c>
      <c r="L589" s="1">
        <v>-12496</v>
      </c>
      <c r="M589">
        <v>-12496</v>
      </c>
      <c r="N589">
        <v>49.2</v>
      </c>
      <c r="O589">
        <v>1</v>
      </c>
      <c r="P589">
        <v>65535</v>
      </c>
      <c r="Q589">
        <v>592</v>
      </c>
      <c r="R589">
        <v>-32767</v>
      </c>
      <c r="S589">
        <v>42.5</v>
      </c>
      <c r="T589">
        <v>16</v>
      </c>
      <c r="U589">
        <v>100</v>
      </c>
      <c r="V589">
        <v>34000</v>
      </c>
      <c r="W589">
        <v>5000</v>
      </c>
      <c r="X589" t="s">
        <v>823</v>
      </c>
      <c r="Y589" t="s">
        <v>836</v>
      </c>
      <c r="Z589" t="s">
        <v>828</v>
      </c>
      <c r="AA589">
        <v>11</v>
      </c>
      <c r="AB589">
        <v>6</v>
      </c>
      <c r="AC589">
        <v>76</v>
      </c>
      <c r="AD589">
        <v>4</v>
      </c>
      <c r="AE589">
        <v>181</v>
      </c>
      <c r="AF589">
        <v>4980</v>
      </c>
      <c r="AG589">
        <v>842</v>
      </c>
      <c r="AH589">
        <v>4795</v>
      </c>
      <c r="AI589">
        <v>7</v>
      </c>
      <c r="AJ589">
        <v>87</v>
      </c>
      <c r="AK589">
        <v>1648</v>
      </c>
      <c r="AL589">
        <v>4276</v>
      </c>
      <c r="AM589">
        <v>14</v>
      </c>
      <c r="AN589">
        <v>900</v>
      </c>
      <c r="AO589" t="s">
        <v>826</v>
      </c>
    </row>
    <row r="590" spans="1:41">
      <c r="A590">
        <v>582</v>
      </c>
      <c r="B590" s="2">
        <v>45296.6250347222</v>
      </c>
      <c r="C590">
        <v>852.612</v>
      </c>
      <c r="D590" t="s">
        <v>821</v>
      </c>
      <c r="E590" t="s">
        <v>822</v>
      </c>
      <c r="F590">
        <v>4</v>
      </c>
      <c r="G590">
        <f t="shared" si="9"/>
        <v>0</v>
      </c>
      <c r="H590">
        <v>1</v>
      </c>
      <c r="I590">
        <v>174</v>
      </c>
      <c r="J590">
        <v>4980</v>
      </c>
      <c r="K590">
        <v>26592</v>
      </c>
      <c r="L590" s="1">
        <v>-12496</v>
      </c>
      <c r="M590">
        <v>-12496</v>
      </c>
      <c r="N590">
        <v>49.2</v>
      </c>
      <c r="O590">
        <v>1</v>
      </c>
      <c r="P590">
        <v>65535</v>
      </c>
      <c r="Q590">
        <v>569</v>
      </c>
      <c r="R590">
        <v>-32767</v>
      </c>
      <c r="S590">
        <v>42.5</v>
      </c>
      <c r="T590">
        <v>16</v>
      </c>
      <c r="U590">
        <v>100</v>
      </c>
      <c r="V590">
        <v>34000</v>
      </c>
      <c r="W590">
        <v>5000</v>
      </c>
      <c r="X590" t="s">
        <v>823</v>
      </c>
      <c r="Y590" t="s">
        <v>836</v>
      </c>
      <c r="Z590" t="s">
        <v>828</v>
      </c>
      <c r="AA590">
        <v>11</v>
      </c>
      <c r="AB590">
        <v>6</v>
      </c>
      <c r="AC590">
        <v>76</v>
      </c>
      <c r="AD590">
        <v>4</v>
      </c>
      <c r="AE590">
        <v>174</v>
      </c>
      <c r="AF590">
        <v>4980</v>
      </c>
      <c r="AG590">
        <v>845</v>
      </c>
      <c r="AH590">
        <v>4805</v>
      </c>
      <c r="AI590">
        <v>7</v>
      </c>
      <c r="AJ590">
        <v>87</v>
      </c>
      <c r="AK590">
        <v>1648</v>
      </c>
      <c r="AL590">
        <v>4286</v>
      </c>
      <c r="AM590">
        <v>14</v>
      </c>
      <c r="AN590">
        <v>907</v>
      </c>
      <c r="AO590" t="s">
        <v>826</v>
      </c>
    </row>
    <row r="591" spans="1:41">
      <c r="A591">
        <v>583</v>
      </c>
      <c r="B591" s="2">
        <v>45296.6250462963</v>
      </c>
      <c r="C591">
        <v>853.558</v>
      </c>
      <c r="D591" t="s">
        <v>821</v>
      </c>
      <c r="E591" t="s">
        <v>822</v>
      </c>
      <c r="F591">
        <v>4</v>
      </c>
      <c r="G591">
        <f t="shared" si="9"/>
        <v>0</v>
      </c>
      <c r="H591">
        <v>1</v>
      </c>
      <c r="I591">
        <v>171</v>
      </c>
      <c r="J591">
        <v>4980</v>
      </c>
      <c r="K591">
        <v>26584</v>
      </c>
      <c r="L591" s="1">
        <v>-12496</v>
      </c>
      <c r="M591">
        <v>-12496</v>
      </c>
      <c r="N591">
        <v>49.2</v>
      </c>
      <c r="O591">
        <v>1</v>
      </c>
      <c r="P591">
        <v>65535</v>
      </c>
      <c r="Q591">
        <v>559</v>
      </c>
      <c r="R591">
        <v>-32767</v>
      </c>
      <c r="S591">
        <v>42.5</v>
      </c>
      <c r="T591">
        <v>16</v>
      </c>
      <c r="U591">
        <v>100</v>
      </c>
      <c r="V591">
        <v>34000</v>
      </c>
      <c r="W591">
        <v>5000</v>
      </c>
      <c r="X591" t="s">
        <v>823</v>
      </c>
      <c r="Y591" t="s">
        <v>836</v>
      </c>
      <c r="Z591" t="s">
        <v>828</v>
      </c>
      <c r="AA591">
        <v>11</v>
      </c>
      <c r="AB591">
        <v>6</v>
      </c>
      <c r="AC591">
        <v>76</v>
      </c>
      <c r="AD591">
        <v>4</v>
      </c>
      <c r="AE591">
        <v>171</v>
      </c>
      <c r="AF591">
        <v>4980</v>
      </c>
      <c r="AG591">
        <v>845</v>
      </c>
      <c r="AH591">
        <v>4805</v>
      </c>
      <c r="AI591">
        <v>7</v>
      </c>
      <c r="AJ591">
        <v>87</v>
      </c>
      <c r="AK591">
        <v>1648</v>
      </c>
      <c r="AL591">
        <v>4290</v>
      </c>
      <c r="AM591">
        <v>14</v>
      </c>
      <c r="AN591">
        <v>903</v>
      </c>
      <c r="AO591" t="s">
        <v>826</v>
      </c>
    </row>
    <row r="592" spans="1:41">
      <c r="A592">
        <v>584</v>
      </c>
      <c r="B592" s="2">
        <v>45296.6250578704</v>
      </c>
      <c r="C592">
        <v>854.496</v>
      </c>
      <c r="D592" t="s">
        <v>821</v>
      </c>
      <c r="E592" t="s">
        <v>822</v>
      </c>
      <c r="F592">
        <v>4</v>
      </c>
      <c r="G592">
        <f t="shared" si="9"/>
        <v>0</v>
      </c>
      <c r="H592">
        <v>1</v>
      </c>
      <c r="I592">
        <v>167</v>
      </c>
      <c r="J592">
        <v>4980</v>
      </c>
      <c r="K592">
        <v>26576</v>
      </c>
      <c r="L592" s="1">
        <v>-12496</v>
      </c>
      <c r="M592">
        <v>-12496</v>
      </c>
      <c r="N592">
        <v>49.2</v>
      </c>
      <c r="O592">
        <v>1</v>
      </c>
      <c r="P592">
        <v>65535</v>
      </c>
      <c r="Q592">
        <v>545</v>
      </c>
      <c r="R592">
        <v>-32767</v>
      </c>
      <c r="S592">
        <v>42.5</v>
      </c>
      <c r="T592">
        <v>16</v>
      </c>
      <c r="U592">
        <v>100</v>
      </c>
      <c r="V592">
        <v>34000</v>
      </c>
      <c r="W592">
        <v>5000</v>
      </c>
      <c r="X592" t="s">
        <v>823</v>
      </c>
      <c r="Y592" t="s">
        <v>836</v>
      </c>
      <c r="Z592" t="s">
        <v>828</v>
      </c>
      <c r="AA592">
        <v>11</v>
      </c>
      <c r="AB592">
        <v>6</v>
      </c>
      <c r="AC592">
        <v>76</v>
      </c>
      <c r="AD592">
        <v>4</v>
      </c>
      <c r="AE592">
        <v>167</v>
      </c>
      <c r="AF592">
        <v>4980</v>
      </c>
      <c r="AG592">
        <v>846</v>
      </c>
      <c r="AH592">
        <v>4809</v>
      </c>
      <c r="AI592">
        <v>7</v>
      </c>
      <c r="AJ592">
        <v>87</v>
      </c>
      <c r="AK592">
        <v>1648</v>
      </c>
      <c r="AL592">
        <v>4290</v>
      </c>
      <c r="AM592">
        <v>14</v>
      </c>
      <c r="AN592">
        <v>904</v>
      </c>
      <c r="AO592" t="s">
        <v>826</v>
      </c>
    </row>
    <row r="593" spans="1:41">
      <c r="A593">
        <v>585</v>
      </c>
      <c r="B593" s="2">
        <v>45296.6250810185</v>
      </c>
      <c r="C593">
        <v>856.846</v>
      </c>
      <c r="D593" t="s">
        <v>821</v>
      </c>
      <c r="E593" t="s">
        <v>822</v>
      </c>
      <c r="F593">
        <v>4</v>
      </c>
      <c r="G593">
        <f t="shared" si="9"/>
        <v>0</v>
      </c>
      <c r="H593">
        <v>1</v>
      </c>
      <c r="I593">
        <v>160</v>
      </c>
      <c r="J593">
        <v>4980</v>
      </c>
      <c r="K593">
        <v>26552</v>
      </c>
      <c r="L593" s="1">
        <v>-12495</v>
      </c>
      <c r="M593">
        <v>-12496</v>
      </c>
      <c r="N593">
        <v>49.2</v>
      </c>
      <c r="O593">
        <v>1</v>
      </c>
      <c r="P593">
        <v>65535</v>
      </c>
      <c r="Q593">
        <v>522</v>
      </c>
      <c r="R593">
        <v>-32767</v>
      </c>
      <c r="S593">
        <v>42.5</v>
      </c>
      <c r="T593">
        <v>16</v>
      </c>
      <c r="U593">
        <v>100</v>
      </c>
      <c r="V593">
        <v>34000</v>
      </c>
      <c r="W593">
        <v>5000</v>
      </c>
      <c r="X593" t="s">
        <v>823</v>
      </c>
      <c r="Y593" t="s">
        <v>836</v>
      </c>
      <c r="Z593" t="s">
        <v>828</v>
      </c>
      <c r="AA593">
        <v>11</v>
      </c>
      <c r="AB593">
        <v>6</v>
      </c>
      <c r="AC593">
        <v>76</v>
      </c>
      <c r="AD593">
        <v>4</v>
      </c>
      <c r="AE593">
        <v>157</v>
      </c>
      <c r="AF593">
        <v>4980</v>
      </c>
      <c r="AG593">
        <v>849</v>
      </c>
      <c r="AH593">
        <v>4819</v>
      </c>
      <c r="AI593">
        <v>7</v>
      </c>
      <c r="AJ593">
        <v>87</v>
      </c>
      <c r="AK593">
        <v>1648</v>
      </c>
      <c r="AL593">
        <v>4300</v>
      </c>
      <c r="AM593">
        <v>14</v>
      </c>
      <c r="AN593">
        <v>908</v>
      </c>
      <c r="AO593" t="s">
        <v>826</v>
      </c>
    </row>
    <row r="594" spans="1:41">
      <c r="A594">
        <v>586</v>
      </c>
      <c r="B594" s="2">
        <v>45296.6250925926</v>
      </c>
      <c r="C594">
        <v>857.796</v>
      </c>
      <c r="D594" t="s">
        <v>821</v>
      </c>
      <c r="E594" t="s">
        <v>822</v>
      </c>
      <c r="F594">
        <v>4</v>
      </c>
      <c r="G594">
        <f t="shared" si="9"/>
        <v>0</v>
      </c>
      <c r="H594">
        <v>1</v>
      </c>
      <c r="I594">
        <v>157</v>
      </c>
      <c r="J594">
        <v>4980</v>
      </c>
      <c r="K594">
        <v>26536</v>
      </c>
      <c r="L594" s="1">
        <v>-12496</v>
      </c>
      <c r="M594">
        <v>-12496</v>
      </c>
      <c r="N594">
        <v>49.2</v>
      </c>
      <c r="O594">
        <v>1</v>
      </c>
      <c r="P594">
        <v>65535</v>
      </c>
      <c r="Q594">
        <v>512</v>
      </c>
      <c r="R594">
        <v>-32767</v>
      </c>
      <c r="S594">
        <v>42.6</v>
      </c>
      <c r="T594">
        <v>16</v>
      </c>
      <c r="U594">
        <v>100</v>
      </c>
      <c r="V594">
        <v>34000</v>
      </c>
      <c r="W594">
        <v>5000</v>
      </c>
      <c r="X594" t="s">
        <v>823</v>
      </c>
      <c r="Y594" t="s">
        <v>836</v>
      </c>
      <c r="Z594" t="s">
        <v>828</v>
      </c>
      <c r="AA594">
        <v>11</v>
      </c>
      <c r="AB594">
        <v>6</v>
      </c>
      <c r="AC594">
        <v>76</v>
      </c>
      <c r="AD594">
        <v>4</v>
      </c>
      <c r="AE594">
        <v>153</v>
      </c>
      <c r="AF594">
        <v>4980</v>
      </c>
      <c r="AG594">
        <v>850</v>
      </c>
      <c r="AH594">
        <v>4823</v>
      </c>
      <c r="AI594">
        <v>7</v>
      </c>
      <c r="AJ594">
        <v>87</v>
      </c>
      <c r="AK594">
        <v>1648</v>
      </c>
      <c r="AL594">
        <v>4304</v>
      </c>
      <c r="AM594">
        <v>14</v>
      </c>
      <c r="AN594">
        <v>899</v>
      </c>
      <c r="AO594" t="s">
        <v>826</v>
      </c>
    </row>
    <row r="595" spans="1:41">
      <c r="A595">
        <v>587</v>
      </c>
      <c r="B595" s="2">
        <v>45296.6251041667</v>
      </c>
      <c r="C595">
        <v>858.742</v>
      </c>
      <c r="D595" t="s">
        <v>821</v>
      </c>
      <c r="E595" t="s">
        <v>822</v>
      </c>
      <c r="F595">
        <v>4</v>
      </c>
      <c r="G595">
        <f t="shared" si="9"/>
        <v>0</v>
      </c>
      <c r="H595">
        <v>1</v>
      </c>
      <c r="I595">
        <v>153</v>
      </c>
      <c r="J595">
        <v>4980</v>
      </c>
      <c r="K595">
        <v>26528</v>
      </c>
      <c r="L595" s="1">
        <v>-12496</v>
      </c>
      <c r="M595">
        <v>-12496</v>
      </c>
      <c r="N595">
        <v>49.2</v>
      </c>
      <c r="O595">
        <v>1</v>
      </c>
      <c r="P595">
        <v>65535</v>
      </c>
      <c r="Q595">
        <v>499</v>
      </c>
      <c r="R595">
        <v>-32767</v>
      </c>
      <c r="S595">
        <v>42.6</v>
      </c>
      <c r="T595">
        <v>16</v>
      </c>
      <c r="U595">
        <v>100</v>
      </c>
      <c r="V595">
        <v>34000</v>
      </c>
      <c r="W595">
        <v>5000</v>
      </c>
      <c r="X595" t="s">
        <v>823</v>
      </c>
      <c r="Y595" t="s">
        <v>836</v>
      </c>
      <c r="Z595" t="s">
        <v>828</v>
      </c>
      <c r="AA595">
        <v>11</v>
      </c>
      <c r="AB595">
        <v>6</v>
      </c>
      <c r="AC595">
        <v>76</v>
      </c>
      <c r="AD595">
        <v>4</v>
      </c>
      <c r="AE595">
        <v>150</v>
      </c>
      <c r="AF595">
        <v>4980</v>
      </c>
      <c r="AG595">
        <v>851</v>
      </c>
      <c r="AH595">
        <v>4826</v>
      </c>
      <c r="AI595">
        <v>7</v>
      </c>
      <c r="AJ595">
        <v>87</v>
      </c>
      <c r="AK595">
        <v>1648</v>
      </c>
      <c r="AL595">
        <v>4307</v>
      </c>
      <c r="AM595">
        <v>14</v>
      </c>
      <c r="AN595">
        <v>906</v>
      </c>
      <c r="AO595" t="s">
        <v>826</v>
      </c>
    </row>
    <row r="596" spans="1:41">
      <c r="A596">
        <v>588</v>
      </c>
      <c r="B596" s="2">
        <v>45296.6251388889</v>
      </c>
      <c r="C596">
        <v>861.098</v>
      </c>
      <c r="D596" t="s">
        <v>821</v>
      </c>
      <c r="E596" t="s">
        <v>822</v>
      </c>
      <c r="F596">
        <v>3</v>
      </c>
      <c r="G596">
        <f t="shared" si="9"/>
        <v>1</v>
      </c>
      <c r="H596">
        <v>1</v>
      </c>
      <c r="I596">
        <v>143</v>
      </c>
      <c r="J596">
        <v>4980</v>
      </c>
      <c r="K596">
        <v>26496</v>
      </c>
      <c r="L596" s="1">
        <v>-12496</v>
      </c>
      <c r="M596">
        <v>-12496</v>
      </c>
      <c r="N596">
        <v>49.3</v>
      </c>
      <c r="O596">
        <v>1</v>
      </c>
      <c r="P596">
        <v>65535</v>
      </c>
      <c r="Q596">
        <v>466</v>
      </c>
      <c r="R596">
        <v>-32767</v>
      </c>
      <c r="S596">
        <v>42.6</v>
      </c>
      <c r="T596">
        <v>16</v>
      </c>
      <c r="U596">
        <v>100</v>
      </c>
      <c r="V596">
        <v>34000</v>
      </c>
      <c r="W596">
        <v>5000</v>
      </c>
      <c r="X596" t="s">
        <v>823</v>
      </c>
      <c r="Y596" t="s">
        <v>837</v>
      </c>
      <c r="Z596" t="s">
        <v>828</v>
      </c>
      <c r="AA596">
        <v>11</v>
      </c>
      <c r="AB596">
        <v>6</v>
      </c>
      <c r="AC596">
        <v>76</v>
      </c>
      <c r="AD596">
        <v>4</v>
      </c>
      <c r="AE596">
        <v>143</v>
      </c>
      <c r="AF596">
        <v>4980</v>
      </c>
      <c r="AG596">
        <v>853</v>
      </c>
      <c r="AH596">
        <v>4833</v>
      </c>
      <c r="AI596">
        <v>7</v>
      </c>
      <c r="AJ596">
        <v>87</v>
      </c>
      <c r="AK596">
        <v>1648</v>
      </c>
      <c r="AL596">
        <v>4314</v>
      </c>
      <c r="AM596">
        <v>14</v>
      </c>
      <c r="AN596">
        <v>906</v>
      </c>
      <c r="AO596" t="s">
        <v>826</v>
      </c>
    </row>
    <row r="597" spans="1:41">
      <c r="A597">
        <v>589</v>
      </c>
      <c r="B597" s="2">
        <v>45296.625150463</v>
      </c>
      <c r="C597">
        <v>862.044</v>
      </c>
      <c r="D597" t="s">
        <v>821</v>
      </c>
      <c r="E597" t="s">
        <v>822</v>
      </c>
      <c r="F597">
        <v>3</v>
      </c>
      <c r="G597">
        <f t="shared" si="9"/>
        <v>0</v>
      </c>
      <c r="H597">
        <v>1</v>
      </c>
      <c r="I597">
        <v>139</v>
      </c>
      <c r="J597">
        <v>4980</v>
      </c>
      <c r="K597">
        <v>26480</v>
      </c>
      <c r="L597" s="1">
        <v>-12496</v>
      </c>
      <c r="M597">
        <v>-12496</v>
      </c>
      <c r="N597">
        <v>49.4</v>
      </c>
      <c r="O597">
        <v>1</v>
      </c>
      <c r="P597">
        <v>65535</v>
      </c>
      <c r="Q597">
        <v>453</v>
      </c>
      <c r="R597">
        <v>-32767</v>
      </c>
      <c r="S597">
        <v>42.6</v>
      </c>
      <c r="T597">
        <v>16</v>
      </c>
      <c r="U597">
        <v>100</v>
      </c>
      <c r="V597">
        <v>34000</v>
      </c>
      <c r="W597">
        <v>5000</v>
      </c>
      <c r="X597" t="s">
        <v>823</v>
      </c>
      <c r="Y597" t="s">
        <v>837</v>
      </c>
      <c r="Z597" t="s">
        <v>828</v>
      </c>
      <c r="AA597">
        <v>11</v>
      </c>
      <c r="AB597">
        <v>6</v>
      </c>
      <c r="AC597">
        <v>76</v>
      </c>
      <c r="AD597">
        <v>4</v>
      </c>
      <c r="AE597">
        <v>139</v>
      </c>
      <c r="AF597">
        <v>4980</v>
      </c>
      <c r="AG597">
        <v>854</v>
      </c>
      <c r="AH597">
        <v>4837</v>
      </c>
      <c r="AI597">
        <v>7</v>
      </c>
      <c r="AJ597">
        <v>87</v>
      </c>
      <c r="AK597">
        <v>1648</v>
      </c>
      <c r="AL597">
        <v>4318</v>
      </c>
      <c r="AM597">
        <v>14</v>
      </c>
      <c r="AN597">
        <v>902</v>
      </c>
      <c r="AO597" t="s">
        <v>826</v>
      </c>
    </row>
    <row r="598" spans="1:41">
      <c r="A598">
        <v>590</v>
      </c>
      <c r="B598" s="2">
        <v>45296.625162037</v>
      </c>
      <c r="C598">
        <v>863.007</v>
      </c>
      <c r="D598" t="s">
        <v>821</v>
      </c>
      <c r="E598" t="s">
        <v>822</v>
      </c>
      <c r="F598">
        <v>3</v>
      </c>
      <c r="G598">
        <f t="shared" si="9"/>
        <v>0</v>
      </c>
      <c r="H598">
        <v>1</v>
      </c>
      <c r="I598">
        <v>136</v>
      </c>
      <c r="J598">
        <v>4980</v>
      </c>
      <c r="K598">
        <v>26472</v>
      </c>
      <c r="L598" s="1">
        <v>-12496</v>
      </c>
      <c r="M598">
        <v>-12496</v>
      </c>
      <c r="N598">
        <v>49.4</v>
      </c>
      <c r="O598">
        <v>1</v>
      </c>
      <c r="P598">
        <v>65535</v>
      </c>
      <c r="Q598">
        <v>443</v>
      </c>
      <c r="R598">
        <v>-32767</v>
      </c>
      <c r="S598">
        <v>42.6</v>
      </c>
      <c r="T598">
        <v>16</v>
      </c>
      <c r="U598">
        <v>100</v>
      </c>
      <c r="V598">
        <v>34000</v>
      </c>
      <c r="W598">
        <v>5000</v>
      </c>
      <c r="X598" t="s">
        <v>823</v>
      </c>
      <c r="Y598" t="s">
        <v>837</v>
      </c>
      <c r="Z598" t="s">
        <v>828</v>
      </c>
      <c r="AA598">
        <v>11</v>
      </c>
      <c r="AB598">
        <v>6</v>
      </c>
      <c r="AC598">
        <v>76</v>
      </c>
      <c r="AD598">
        <v>4</v>
      </c>
      <c r="AE598">
        <v>136</v>
      </c>
      <c r="AF598">
        <v>4980</v>
      </c>
      <c r="AG598">
        <v>855</v>
      </c>
      <c r="AH598">
        <v>4840</v>
      </c>
      <c r="AI598">
        <v>7</v>
      </c>
      <c r="AJ598">
        <v>87</v>
      </c>
      <c r="AK598">
        <v>1648</v>
      </c>
      <c r="AL598">
        <v>4321</v>
      </c>
      <c r="AM598">
        <v>14</v>
      </c>
      <c r="AN598">
        <v>909</v>
      </c>
      <c r="AO598" t="s">
        <v>826</v>
      </c>
    </row>
    <row r="599" spans="1:41">
      <c r="A599">
        <v>591</v>
      </c>
      <c r="B599" s="2">
        <v>45296.6251851852</v>
      </c>
      <c r="C599">
        <v>865.356</v>
      </c>
      <c r="D599" t="s">
        <v>821</v>
      </c>
      <c r="E599" t="s">
        <v>822</v>
      </c>
      <c r="F599">
        <v>3</v>
      </c>
      <c r="G599">
        <f t="shared" si="9"/>
        <v>0</v>
      </c>
      <c r="H599">
        <v>1</v>
      </c>
      <c r="I599">
        <v>129</v>
      </c>
      <c r="J599">
        <v>4980</v>
      </c>
      <c r="K599">
        <v>26448</v>
      </c>
      <c r="L599" s="1">
        <v>-12495</v>
      </c>
      <c r="M599">
        <v>-12496</v>
      </c>
      <c r="N599">
        <v>49.5</v>
      </c>
      <c r="O599">
        <v>1</v>
      </c>
      <c r="P599">
        <v>65535</v>
      </c>
      <c r="Q599">
        <v>419</v>
      </c>
      <c r="R599">
        <v>-32767</v>
      </c>
      <c r="S599">
        <v>42.6</v>
      </c>
      <c r="T599">
        <v>16</v>
      </c>
      <c r="U599">
        <v>100</v>
      </c>
      <c r="V599">
        <v>34000</v>
      </c>
      <c r="W599">
        <v>5000</v>
      </c>
      <c r="X599" t="s">
        <v>823</v>
      </c>
      <c r="Y599" t="s">
        <v>837</v>
      </c>
      <c r="Z599" t="s">
        <v>828</v>
      </c>
      <c r="AA599">
        <v>11</v>
      </c>
      <c r="AB599">
        <v>6</v>
      </c>
      <c r="AC599">
        <v>76</v>
      </c>
      <c r="AD599">
        <v>4</v>
      </c>
      <c r="AE599">
        <v>129</v>
      </c>
      <c r="AF599">
        <v>4980</v>
      </c>
      <c r="AG599">
        <v>857</v>
      </c>
      <c r="AH599">
        <v>4847</v>
      </c>
      <c r="AI599">
        <v>7</v>
      </c>
      <c r="AJ599">
        <v>87</v>
      </c>
      <c r="AK599">
        <v>1648</v>
      </c>
      <c r="AL599">
        <v>4328</v>
      </c>
      <c r="AM599">
        <v>14</v>
      </c>
      <c r="AN599">
        <v>901</v>
      </c>
      <c r="AO599" t="s">
        <v>826</v>
      </c>
    </row>
    <row r="600" spans="1:41">
      <c r="A600">
        <v>592</v>
      </c>
      <c r="B600" s="2">
        <v>45296.6251967593</v>
      </c>
      <c r="C600">
        <v>866.295</v>
      </c>
      <c r="D600" t="s">
        <v>821</v>
      </c>
      <c r="E600" t="s">
        <v>822</v>
      </c>
      <c r="F600">
        <v>3</v>
      </c>
      <c r="G600">
        <f t="shared" si="9"/>
        <v>0</v>
      </c>
      <c r="H600">
        <v>1</v>
      </c>
      <c r="I600">
        <v>126</v>
      </c>
      <c r="J600">
        <v>4980</v>
      </c>
      <c r="K600">
        <v>26432</v>
      </c>
      <c r="L600" s="1">
        <v>-12496</v>
      </c>
      <c r="M600">
        <v>-12496</v>
      </c>
      <c r="N600">
        <v>49.5</v>
      </c>
      <c r="O600">
        <v>1</v>
      </c>
      <c r="P600">
        <v>65535</v>
      </c>
      <c r="Q600">
        <v>410</v>
      </c>
      <c r="R600">
        <v>-32767</v>
      </c>
      <c r="S600">
        <v>42.6</v>
      </c>
      <c r="T600">
        <v>16</v>
      </c>
      <c r="U600">
        <v>100</v>
      </c>
      <c r="V600">
        <v>34000</v>
      </c>
      <c r="W600">
        <v>5000</v>
      </c>
      <c r="X600" t="s">
        <v>823</v>
      </c>
      <c r="Y600" t="s">
        <v>837</v>
      </c>
      <c r="Z600" t="s">
        <v>828</v>
      </c>
      <c r="AA600">
        <v>11</v>
      </c>
      <c r="AB600">
        <v>6</v>
      </c>
      <c r="AC600">
        <v>76</v>
      </c>
      <c r="AD600">
        <v>4</v>
      </c>
      <c r="AE600">
        <v>126</v>
      </c>
      <c r="AF600">
        <v>4980</v>
      </c>
      <c r="AG600">
        <v>858</v>
      </c>
      <c r="AH600">
        <v>4850</v>
      </c>
      <c r="AI600">
        <v>7</v>
      </c>
      <c r="AJ600">
        <v>87</v>
      </c>
      <c r="AK600">
        <v>1648</v>
      </c>
      <c r="AL600">
        <v>4331</v>
      </c>
      <c r="AM600">
        <v>14</v>
      </c>
      <c r="AN600">
        <v>915</v>
      </c>
      <c r="AO600" t="s">
        <v>826</v>
      </c>
    </row>
    <row r="601" spans="1:41">
      <c r="A601">
        <v>593</v>
      </c>
      <c r="B601" s="2">
        <v>45296.6252199074</v>
      </c>
      <c r="C601">
        <v>868.67</v>
      </c>
      <c r="D601" t="s">
        <v>821</v>
      </c>
      <c r="E601" t="s">
        <v>822</v>
      </c>
      <c r="F601">
        <v>4</v>
      </c>
      <c r="G601">
        <f t="shared" si="9"/>
        <v>-1</v>
      </c>
      <c r="H601">
        <v>1</v>
      </c>
      <c r="I601">
        <v>195</v>
      </c>
      <c r="J601">
        <v>5056</v>
      </c>
      <c r="K601">
        <v>26408</v>
      </c>
      <c r="L601" s="1">
        <v>-12496</v>
      </c>
      <c r="M601">
        <v>-12496</v>
      </c>
      <c r="N601">
        <v>49.6</v>
      </c>
      <c r="O601">
        <v>1</v>
      </c>
      <c r="P601">
        <v>65535</v>
      </c>
      <c r="Q601">
        <v>628</v>
      </c>
      <c r="R601">
        <v>-32767</v>
      </c>
      <c r="S601">
        <v>42.6</v>
      </c>
      <c r="T601">
        <v>16</v>
      </c>
      <c r="U601">
        <v>100</v>
      </c>
      <c r="V601">
        <v>34000</v>
      </c>
      <c r="W601">
        <v>5000</v>
      </c>
      <c r="X601" t="s">
        <v>823</v>
      </c>
      <c r="Y601" t="s">
        <v>836</v>
      </c>
      <c r="Z601" t="s">
        <v>828</v>
      </c>
      <c r="AA601">
        <v>11</v>
      </c>
      <c r="AB601">
        <v>6</v>
      </c>
      <c r="AC601">
        <v>76</v>
      </c>
      <c r="AD601">
        <v>4</v>
      </c>
      <c r="AE601">
        <v>191</v>
      </c>
      <c r="AF601">
        <v>5056</v>
      </c>
      <c r="AG601">
        <v>861</v>
      </c>
      <c r="AH601">
        <v>4861</v>
      </c>
      <c r="AI601">
        <v>7</v>
      </c>
      <c r="AJ601">
        <v>87</v>
      </c>
      <c r="AK601">
        <v>1648</v>
      </c>
      <c r="AL601">
        <v>4342</v>
      </c>
      <c r="AM601">
        <v>14</v>
      </c>
      <c r="AN601">
        <v>900</v>
      </c>
      <c r="AO601" t="s">
        <v>826</v>
      </c>
    </row>
    <row r="602" spans="1:41">
      <c r="A602">
        <v>594</v>
      </c>
      <c r="B602" s="2">
        <v>45296.6252314815</v>
      </c>
      <c r="C602">
        <v>869.619</v>
      </c>
      <c r="D602" t="s">
        <v>821</v>
      </c>
      <c r="E602" t="s">
        <v>822</v>
      </c>
      <c r="F602">
        <v>4</v>
      </c>
      <c r="G602">
        <f t="shared" si="9"/>
        <v>0</v>
      </c>
      <c r="H602">
        <v>1</v>
      </c>
      <c r="I602">
        <v>191</v>
      </c>
      <c r="J602">
        <v>5056</v>
      </c>
      <c r="K602">
        <v>26392</v>
      </c>
      <c r="L602" s="1">
        <v>-12496</v>
      </c>
      <c r="M602">
        <v>-12496</v>
      </c>
      <c r="N602">
        <v>49.6</v>
      </c>
      <c r="O602">
        <v>1</v>
      </c>
      <c r="P602">
        <v>65535</v>
      </c>
      <c r="Q602">
        <v>615</v>
      </c>
      <c r="R602">
        <v>-32767</v>
      </c>
      <c r="S602">
        <v>42.7</v>
      </c>
      <c r="T602">
        <v>16</v>
      </c>
      <c r="U602">
        <v>100</v>
      </c>
      <c r="V602">
        <v>34000</v>
      </c>
      <c r="W602">
        <v>5000</v>
      </c>
      <c r="X602" t="s">
        <v>823</v>
      </c>
      <c r="Y602" t="s">
        <v>836</v>
      </c>
      <c r="Z602" t="s">
        <v>828</v>
      </c>
      <c r="AA602">
        <v>11</v>
      </c>
      <c r="AB602">
        <v>6</v>
      </c>
      <c r="AC602">
        <v>76</v>
      </c>
      <c r="AD602">
        <v>4</v>
      </c>
      <c r="AE602">
        <v>191</v>
      </c>
      <c r="AF602">
        <v>5056</v>
      </c>
      <c r="AG602">
        <v>861</v>
      </c>
      <c r="AH602">
        <v>4864</v>
      </c>
      <c r="AI602">
        <v>7</v>
      </c>
      <c r="AJ602">
        <v>87</v>
      </c>
      <c r="AK602">
        <v>1648</v>
      </c>
      <c r="AL602">
        <v>4345</v>
      </c>
      <c r="AM602">
        <v>14</v>
      </c>
      <c r="AN602">
        <v>902</v>
      </c>
      <c r="AO602" t="s">
        <v>826</v>
      </c>
    </row>
    <row r="603" spans="1:41">
      <c r="A603">
        <v>595</v>
      </c>
      <c r="B603" s="2">
        <v>45296.6252430556</v>
      </c>
      <c r="C603">
        <v>870.558</v>
      </c>
      <c r="D603" t="s">
        <v>821</v>
      </c>
      <c r="E603" t="s">
        <v>822</v>
      </c>
      <c r="F603">
        <v>4</v>
      </c>
      <c r="G603">
        <f t="shared" si="9"/>
        <v>0</v>
      </c>
      <c r="H603">
        <v>1</v>
      </c>
      <c r="I603">
        <v>188</v>
      </c>
      <c r="J603">
        <v>5056</v>
      </c>
      <c r="K603">
        <v>26384</v>
      </c>
      <c r="L603" s="1">
        <v>-12496</v>
      </c>
      <c r="M603">
        <v>-12496</v>
      </c>
      <c r="N603">
        <v>49.6</v>
      </c>
      <c r="O603">
        <v>1</v>
      </c>
      <c r="P603">
        <v>65535</v>
      </c>
      <c r="Q603">
        <v>605</v>
      </c>
      <c r="R603">
        <v>-32767</v>
      </c>
      <c r="S603">
        <v>42.7</v>
      </c>
      <c r="T603">
        <v>16</v>
      </c>
      <c r="U603">
        <v>100</v>
      </c>
      <c r="V603">
        <v>34000</v>
      </c>
      <c r="W603">
        <v>5000</v>
      </c>
      <c r="X603" t="s">
        <v>823</v>
      </c>
      <c r="Y603" t="s">
        <v>836</v>
      </c>
      <c r="Z603" t="s">
        <v>828</v>
      </c>
      <c r="AA603">
        <v>11</v>
      </c>
      <c r="AB603">
        <v>6</v>
      </c>
      <c r="AC603">
        <v>76</v>
      </c>
      <c r="AD603">
        <v>4</v>
      </c>
      <c r="AE603">
        <v>188</v>
      </c>
      <c r="AF603">
        <v>5056</v>
      </c>
      <c r="AG603">
        <v>862</v>
      </c>
      <c r="AH603">
        <v>4864</v>
      </c>
      <c r="AI603">
        <v>7</v>
      </c>
      <c r="AJ603">
        <v>87</v>
      </c>
      <c r="AK603">
        <v>1648</v>
      </c>
      <c r="AL603">
        <v>4349</v>
      </c>
      <c r="AM603">
        <v>14</v>
      </c>
      <c r="AN603">
        <v>902</v>
      </c>
      <c r="AO603" t="s">
        <v>826</v>
      </c>
    </row>
    <row r="604" spans="1:41">
      <c r="A604">
        <v>596</v>
      </c>
      <c r="B604" s="2">
        <v>45296.6252777778</v>
      </c>
      <c r="C604">
        <v>872.924</v>
      </c>
      <c r="D604" t="s">
        <v>821</v>
      </c>
      <c r="E604" t="s">
        <v>822</v>
      </c>
      <c r="F604">
        <v>4</v>
      </c>
      <c r="G604">
        <f t="shared" si="9"/>
        <v>0</v>
      </c>
      <c r="H604">
        <v>1</v>
      </c>
      <c r="I604">
        <v>181</v>
      </c>
      <c r="J604">
        <v>5056</v>
      </c>
      <c r="K604">
        <v>26352</v>
      </c>
      <c r="L604" s="1">
        <v>-12496</v>
      </c>
      <c r="M604">
        <v>-12496</v>
      </c>
      <c r="N604">
        <v>49.6</v>
      </c>
      <c r="O604">
        <v>1</v>
      </c>
      <c r="P604">
        <v>65535</v>
      </c>
      <c r="Q604">
        <v>569</v>
      </c>
      <c r="R604">
        <v>-32767</v>
      </c>
      <c r="S604">
        <v>42.7</v>
      </c>
      <c r="T604">
        <v>16</v>
      </c>
      <c r="U604">
        <v>100</v>
      </c>
      <c r="V604">
        <v>34000</v>
      </c>
      <c r="W604">
        <v>5000</v>
      </c>
      <c r="X604" t="s">
        <v>823</v>
      </c>
      <c r="Y604" t="s">
        <v>836</v>
      </c>
      <c r="Z604" t="s">
        <v>828</v>
      </c>
      <c r="AA604">
        <v>11</v>
      </c>
      <c r="AB604">
        <v>6</v>
      </c>
      <c r="AC604">
        <v>76</v>
      </c>
      <c r="AD604">
        <v>4</v>
      </c>
      <c r="AE604">
        <v>177</v>
      </c>
      <c r="AF604">
        <v>5056</v>
      </c>
      <c r="AG604">
        <v>865</v>
      </c>
      <c r="AH604">
        <v>4875</v>
      </c>
      <c r="AI604">
        <v>7</v>
      </c>
      <c r="AJ604">
        <v>87</v>
      </c>
      <c r="AK604">
        <v>1648</v>
      </c>
      <c r="AL604">
        <v>4356</v>
      </c>
      <c r="AM604">
        <v>14</v>
      </c>
      <c r="AN604">
        <v>912</v>
      </c>
      <c r="AO604" t="s">
        <v>826</v>
      </c>
    </row>
    <row r="605" spans="1:41">
      <c r="A605">
        <v>597</v>
      </c>
      <c r="B605" s="2">
        <v>45296.6252777778</v>
      </c>
      <c r="C605">
        <v>873.873</v>
      </c>
      <c r="D605" t="s">
        <v>821</v>
      </c>
      <c r="E605" t="s">
        <v>822</v>
      </c>
      <c r="F605">
        <v>4</v>
      </c>
      <c r="G605">
        <f t="shared" si="9"/>
        <v>0</v>
      </c>
      <c r="H605">
        <v>1</v>
      </c>
      <c r="I605">
        <v>177</v>
      </c>
      <c r="J605">
        <v>5056</v>
      </c>
      <c r="K605">
        <v>26336</v>
      </c>
      <c r="L605" s="1">
        <v>-12496</v>
      </c>
      <c r="M605">
        <v>-12496</v>
      </c>
      <c r="N605">
        <v>49.6</v>
      </c>
      <c r="O605">
        <v>1</v>
      </c>
      <c r="P605">
        <v>65535</v>
      </c>
      <c r="Q605">
        <v>559</v>
      </c>
      <c r="R605">
        <v>-32767</v>
      </c>
      <c r="S605">
        <v>42.7</v>
      </c>
      <c r="T605">
        <v>16</v>
      </c>
      <c r="U605">
        <v>100</v>
      </c>
      <c r="V605">
        <v>34000</v>
      </c>
      <c r="W605">
        <v>5000</v>
      </c>
      <c r="X605" t="s">
        <v>823</v>
      </c>
      <c r="Y605" t="s">
        <v>836</v>
      </c>
      <c r="Z605" t="s">
        <v>828</v>
      </c>
      <c r="AA605">
        <v>11</v>
      </c>
      <c r="AB605">
        <v>6</v>
      </c>
      <c r="AC605">
        <v>76</v>
      </c>
      <c r="AD605">
        <v>4</v>
      </c>
      <c r="AE605">
        <v>174</v>
      </c>
      <c r="AF605">
        <v>5056</v>
      </c>
      <c r="AG605">
        <v>866</v>
      </c>
      <c r="AH605">
        <v>4878</v>
      </c>
      <c r="AI605">
        <v>7</v>
      </c>
      <c r="AJ605">
        <v>87</v>
      </c>
      <c r="AK605">
        <v>1648</v>
      </c>
      <c r="AL605">
        <v>4359</v>
      </c>
      <c r="AM605">
        <v>14</v>
      </c>
      <c r="AN605">
        <v>916</v>
      </c>
      <c r="AO605" t="s">
        <v>826</v>
      </c>
    </row>
    <row r="606" spans="1:41">
      <c r="A606">
        <v>598</v>
      </c>
      <c r="B606" s="2">
        <v>45296.6252893519</v>
      </c>
      <c r="C606">
        <v>874.824</v>
      </c>
      <c r="D606" t="s">
        <v>821</v>
      </c>
      <c r="E606" t="s">
        <v>822</v>
      </c>
      <c r="F606">
        <v>4</v>
      </c>
      <c r="G606">
        <f t="shared" si="9"/>
        <v>0</v>
      </c>
      <c r="H606">
        <v>1</v>
      </c>
      <c r="I606">
        <v>174</v>
      </c>
      <c r="J606">
        <v>5056</v>
      </c>
      <c r="K606">
        <v>26320</v>
      </c>
      <c r="L606" s="1">
        <v>-12496</v>
      </c>
      <c r="M606">
        <v>-12496</v>
      </c>
      <c r="N606">
        <v>49.7</v>
      </c>
      <c r="O606">
        <v>1</v>
      </c>
      <c r="P606">
        <v>65535</v>
      </c>
      <c r="Q606">
        <v>559</v>
      </c>
      <c r="R606">
        <v>-32767</v>
      </c>
      <c r="S606">
        <v>42.7</v>
      </c>
      <c r="T606">
        <v>16</v>
      </c>
      <c r="U606">
        <v>100</v>
      </c>
      <c r="V606">
        <v>34000</v>
      </c>
      <c r="W606">
        <v>5000</v>
      </c>
      <c r="X606" t="s">
        <v>823</v>
      </c>
      <c r="Y606" t="s">
        <v>836</v>
      </c>
      <c r="Z606" t="s">
        <v>828</v>
      </c>
      <c r="AA606">
        <v>11</v>
      </c>
      <c r="AB606">
        <v>6</v>
      </c>
      <c r="AC606">
        <v>76</v>
      </c>
      <c r="AD606">
        <v>4</v>
      </c>
      <c r="AE606">
        <v>170</v>
      </c>
      <c r="AF606">
        <v>5056</v>
      </c>
      <c r="AG606">
        <v>867</v>
      </c>
      <c r="AH606">
        <v>4882</v>
      </c>
      <c r="AI606">
        <v>7</v>
      </c>
      <c r="AJ606">
        <v>87</v>
      </c>
      <c r="AK606">
        <v>1648</v>
      </c>
      <c r="AL606">
        <v>4363</v>
      </c>
      <c r="AM606">
        <v>14</v>
      </c>
      <c r="AN606">
        <v>902</v>
      </c>
      <c r="AO606" t="s">
        <v>826</v>
      </c>
    </row>
    <row r="607" spans="1:41">
      <c r="A607">
        <v>599</v>
      </c>
      <c r="B607" s="2">
        <v>45296.6253240741</v>
      </c>
      <c r="C607">
        <v>877.188</v>
      </c>
      <c r="D607" t="s">
        <v>821</v>
      </c>
      <c r="E607" t="s">
        <v>822</v>
      </c>
      <c r="F607">
        <v>4</v>
      </c>
      <c r="G607">
        <f t="shared" si="9"/>
        <v>0</v>
      </c>
      <c r="H607">
        <v>1</v>
      </c>
      <c r="I607">
        <v>163</v>
      </c>
      <c r="J607">
        <v>5056</v>
      </c>
      <c r="K607">
        <v>26280</v>
      </c>
      <c r="L607" s="1">
        <v>-12496</v>
      </c>
      <c r="M607">
        <v>-12496</v>
      </c>
      <c r="N607">
        <v>49.8</v>
      </c>
      <c r="O607">
        <v>1</v>
      </c>
      <c r="P607">
        <v>65535</v>
      </c>
      <c r="Q607">
        <v>523</v>
      </c>
      <c r="R607">
        <v>-32767</v>
      </c>
      <c r="S607">
        <v>42.7</v>
      </c>
      <c r="T607">
        <v>16</v>
      </c>
      <c r="U607">
        <v>100</v>
      </c>
      <c r="V607">
        <v>34000</v>
      </c>
      <c r="W607">
        <v>5000</v>
      </c>
      <c r="X607" t="s">
        <v>823</v>
      </c>
      <c r="Y607" t="s">
        <v>836</v>
      </c>
      <c r="Z607" t="s">
        <v>828</v>
      </c>
      <c r="AA607">
        <v>12</v>
      </c>
      <c r="AB607">
        <v>6</v>
      </c>
      <c r="AC607">
        <v>76</v>
      </c>
      <c r="AD607">
        <v>4</v>
      </c>
      <c r="AE607">
        <v>163</v>
      </c>
      <c r="AF607">
        <v>5056</v>
      </c>
      <c r="AG607">
        <v>869</v>
      </c>
      <c r="AH607">
        <v>4889</v>
      </c>
      <c r="AI607">
        <v>7</v>
      </c>
      <c r="AJ607">
        <v>87</v>
      </c>
      <c r="AK607">
        <v>1648</v>
      </c>
      <c r="AL607">
        <v>4370</v>
      </c>
      <c r="AM607">
        <v>14</v>
      </c>
      <c r="AN607">
        <v>912</v>
      </c>
      <c r="AO607" t="s">
        <v>826</v>
      </c>
    </row>
    <row r="608" spans="1:41">
      <c r="A608">
        <v>600</v>
      </c>
      <c r="B608" s="2">
        <v>45296.6253356481</v>
      </c>
      <c r="C608">
        <v>878.141</v>
      </c>
      <c r="D608" t="s">
        <v>821</v>
      </c>
      <c r="E608" t="s">
        <v>822</v>
      </c>
      <c r="F608">
        <v>4</v>
      </c>
      <c r="G608">
        <f t="shared" si="9"/>
        <v>0</v>
      </c>
      <c r="H608">
        <v>1</v>
      </c>
      <c r="I608">
        <v>160</v>
      </c>
      <c r="J608">
        <v>5056</v>
      </c>
      <c r="K608">
        <v>26264</v>
      </c>
      <c r="L608" s="1">
        <v>-12496</v>
      </c>
      <c r="M608">
        <v>-12496</v>
      </c>
      <c r="N608">
        <v>49.8</v>
      </c>
      <c r="O608">
        <v>1</v>
      </c>
      <c r="P608">
        <v>65535</v>
      </c>
      <c r="Q608">
        <v>513</v>
      </c>
      <c r="R608">
        <v>-32767</v>
      </c>
      <c r="S608">
        <v>42.8</v>
      </c>
      <c r="T608">
        <v>16</v>
      </c>
      <c r="U608">
        <v>100</v>
      </c>
      <c r="V608">
        <v>34000</v>
      </c>
      <c r="W608">
        <v>5000</v>
      </c>
      <c r="X608" t="s">
        <v>823</v>
      </c>
      <c r="Y608" t="s">
        <v>836</v>
      </c>
      <c r="Z608" t="s">
        <v>828</v>
      </c>
      <c r="AA608">
        <v>12</v>
      </c>
      <c r="AB608">
        <v>6</v>
      </c>
      <c r="AC608">
        <v>76</v>
      </c>
      <c r="AD608">
        <v>4</v>
      </c>
      <c r="AE608">
        <v>160</v>
      </c>
      <c r="AF608">
        <v>5056</v>
      </c>
      <c r="AG608">
        <v>870</v>
      </c>
      <c r="AH608">
        <v>4892</v>
      </c>
      <c r="AI608">
        <v>7</v>
      </c>
      <c r="AJ608">
        <v>87</v>
      </c>
      <c r="AK608">
        <v>1648</v>
      </c>
      <c r="AL608">
        <v>4373</v>
      </c>
      <c r="AM608">
        <v>14</v>
      </c>
      <c r="AN608">
        <v>929</v>
      </c>
      <c r="AO608" t="s">
        <v>826</v>
      </c>
    </row>
    <row r="609" spans="1:41">
      <c r="A609">
        <v>601</v>
      </c>
      <c r="B609" s="2">
        <v>45296.6253472222</v>
      </c>
      <c r="C609">
        <v>879.105</v>
      </c>
      <c r="D609" t="s">
        <v>821</v>
      </c>
      <c r="E609" t="s">
        <v>822</v>
      </c>
      <c r="F609">
        <v>4</v>
      </c>
      <c r="G609">
        <f t="shared" si="9"/>
        <v>0</v>
      </c>
      <c r="H609">
        <v>1</v>
      </c>
      <c r="I609">
        <v>156</v>
      </c>
      <c r="J609">
        <v>5056</v>
      </c>
      <c r="K609">
        <v>26248</v>
      </c>
      <c r="L609" s="1">
        <v>-12496</v>
      </c>
      <c r="M609">
        <v>-12496</v>
      </c>
      <c r="N609">
        <v>49.8</v>
      </c>
      <c r="O609">
        <v>1</v>
      </c>
      <c r="P609">
        <v>65535</v>
      </c>
      <c r="Q609">
        <v>500</v>
      </c>
      <c r="R609">
        <v>-32767</v>
      </c>
      <c r="S609">
        <v>42.8</v>
      </c>
      <c r="T609">
        <v>16</v>
      </c>
      <c r="U609">
        <v>100</v>
      </c>
      <c r="V609">
        <v>34000</v>
      </c>
      <c r="W609">
        <v>5000</v>
      </c>
      <c r="X609" t="s">
        <v>823</v>
      </c>
      <c r="Y609" t="s">
        <v>836</v>
      </c>
      <c r="Z609" t="s">
        <v>828</v>
      </c>
      <c r="AA609">
        <v>12</v>
      </c>
      <c r="AB609">
        <v>6</v>
      </c>
      <c r="AC609">
        <v>76</v>
      </c>
      <c r="AD609">
        <v>4</v>
      </c>
      <c r="AE609">
        <v>156</v>
      </c>
      <c r="AF609">
        <v>5056</v>
      </c>
      <c r="AG609">
        <v>871</v>
      </c>
      <c r="AH609">
        <v>4896</v>
      </c>
      <c r="AI609">
        <v>7</v>
      </c>
      <c r="AJ609">
        <v>87</v>
      </c>
      <c r="AK609">
        <v>1648</v>
      </c>
      <c r="AL609">
        <v>4377</v>
      </c>
      <c r="AM609">
        <v>14</v>
      </c>
      <c r="AN609">
        <v>902</v>
      </c>
      <c r="AO609" t="s">
        <v>826</v>
      </c>
    </row>
    <row r="610" spans="1:41">
      <c r="A610">
        <v>602</v>
      </c>
      <c r="B610" s="2">
        <v>45296.6253703704</v>
      </c>
      <c r="C610">
        <v>881.467</v>
      </c>
      <c r="D610" t="s">
        <v>821</v>
      </c>
      <c r="E610" t="s">
        <v>822</v>
      </c>
      <c r="F610">
        <v>3</v>
      </c>
      <c r="G610">
        <f t="shared" si="9"/>
        <v>1</v>
      </c>
      <c r="H610">
        <v>1</v>
      </c>
      <c r="I610">
        <v>149</v>
      </c>
      <c r="J610">
        <v>5056</v>
      </c>
      <c r="K610">
        <v>26208</v>
      </c>
      <c r="L610" s="1">
        <v>-12496</v>
      </c>
      <c r="M610">
        <v>-12496</v>
      </c>
      <c r="N610">
        <v>49.8</v>
      </c>
      <c r="O610">
        <v>1</v>
      </c>
      <c r="P610">
        <v>65535</v>
      </c>
      <c r="Q610">
        <v>477</v>
      </c>
      <c r="R610">
        <v>-32767</v>
      </c>
      <c r="S610">
        <v>42.8</v>
      </c>
      <c r="T610">
        <v>16</v>
      </c>
      <c r="U610">
        <v>100</v>
      </c>
      <c r="V610">
        <v>34000</v>
      </c>
      <c r="W610">
        <v>5000</v>
      </c>
      <c r="X610" t="s">
        <v>823</v>
      </c>
      <c r="Y610" t="s">
        <v>837</v>
      </c>
      <c r="Z610" t="s">
        <v>828</v>
      </c>
      <c r="AA610">
        <v>12</v>
      </c>
      <c r="AB610">
        <v>6</v>
      </c>
      <c r="AC610">
        <v>76</v>
      </c>
      <c r="AD610">
        <v>4</v>
      </c>
      <c r="AE610">
        <v>149</v>
      </c>
      <c r="AF610">
        <v>5056</v>
      </c>
      <c r="AG610">
        <v>873</v>
      </c>
      <c r="AH610">
        <v>4903</v>
      </c>
      <c r="AI610">
        <v>7</v>
      </c>
      <c r="AJ610">
        <v>87</v>
      </c>
      <c r="AK610">
        <v>1648</v>
      </c>
      <c r="AL610">
        <v>4384</v>
      </c>
      <c r="AM610">
        <v>14</v>
      </c>
      <c r="AN610">
        <v>913</v>
      </c>
      <c r="AO610" t="s">
        <v>826</v>
      </c>
    </row>
    <row r="611" spans="1:41">
      <c r="A611">
        <v>603</v>
      </c>
      <c r="B611" s="2">
        <v>45296.6253819444</v>
      </c>
      <c r="C611">
        <v>882.417</v>
      </c>
      <c r="D611" t="s">
        <v>821</v>
      </c>
      <c r="E611" t="s">
        <v>822</v>
      </c>
      <c r="F611">
        <v>3</v>
      </c>
      <c r="G611">
        <f t="shared" si="9"/>
        <v>0</v>
      </c>
      <c r="H611">
        <v>1</v>
      </c>
      <c r="I611">
        <v>146</v>
      </c>
      <c r="J611">
        <v>5056</v>
      </c>
      <c r="K611">
        <v>26192</v>
      </c>
      <c r="L611" s="1">
        <v>-12496</v>
      </c>
      <c r="M611">
        <v>-12496</v>
      </c>
      <c r="N611">
        <v>49.8</v>
      </c>
      <c r="O611">
        <v>1</v>
      </c>
      <c r="P611">
        <v>65535</v>
      </c>
      <c r="Q611">
        <v>467</v>
      </c>
      <c r="R611">
        <v>-32767</v>
      </c>
      <c r="S611">
        <v>42.8</v>
      </c>
      <c r="T611">
        <v>16</v>
      </c>
      <c r="U611">
        <v>100</v>
      </c>
      <c r="V611">
        <v>34000</v>
      </c>
      <c r="W611">
        <v>5000</v>
      </c>
      <c r="X611" t="s">
        <v>823</v>
      </c>
      <c r="Y611" t="s">
        <v>837</v>
      </c>
      <c r="Z611" t="s">
        <v>828</v>
      </c>
      <c r="AA611">
        <v>12</v>
      </c>
      <c r="AB611">
        <v>6</v>
      </c>
      <c r="AC611">
        <v>76</v>
      </c>
      <c r="AD611">
        <v>4</v>
      </c>
      <c r="AE611">
        <v>146</v>
      </c>
      <c r="AF611">
        <v>5056</v>
      </c>
      <c r="AG611">
        <v>874</v>
      </c>
      <c r="AH611">
        <v>4906</v>
      </c>
      <c r="AI611">
        <v>7</v>
      </c>
      <c r="AJ611">
        <v>87</v>
      </c>
      <c r="AK611">
        <v>1648</v>
      </c>
      <c r="AL611">
        <v>4387</v>
      </c>
      <c r="AM611">
        <v>14</v>
      </c>
      <c r="AN611">
        <v>904</v>
      </c>
      <c r="AO611" t="s">
        <v>826</v>
      </c>
    </row>
    <row r="612" spans="1:41">
      <c r="A612">
        <v>604</v>
      </c>
      <c r="B612" s="2">
        <v>45296.6254050926</v>
      </c>
      <c r="C612">
        <v>884.772</v>
      </c>
      <c r="D612" t="s">
        <v>821</v>
      </c>
      <c r="E612" t="s">
        <v>822</v>
      </c>
      <c r="F612">
        <v>3</v>
      </c>
      <c r="G612">
        <f t="shared" si="9"/>
        <v>0</v>
      </c>
      <c r="H612">
        <v>1</v>
      </c>
      <c r="I612">
        <v>139</v>
      </c>
      <c r="J612">
        <v>5056</v>
      </c>
      <c r="K612">
        <v>26152</v>
      </c>
      <c r="L612" s="1">
        <v>-12496</v>
      </c>
      <c r="M612">
        <v>-12496</v>
      </c>
      <c r="N612">
        <v>49.9</v>
      </c>
      <c r="O612">
        <v>1</v>
      </c>
      <c r="P612">
        <v>65535</v>
      </c>
      <c r="Q612">
        <v>444</v>
      </c>
      <c r="R612">
        <v>-32767</v>
      </c>
      <c r="S612">
        <v>42.8</v>
      </c>
      <c r="T612">
        <v>16</v>
      </c>
      <c r="U612">
        <v>100</v>
      </c>
      <c r="V612">
        <v>34000</v>
      </c>
      <c r="W612">
        <v>5000</v>
      </c>
      <c r="X612" t="s">
        <v>823</v>
      </c>
      <c r="Y612" t="s">
        <v>837</v>
      </c>
      <c r="Z612" t="s">
        <v>828</v>
      </c>
      <c r="AA612">
        <v>12</v>
      </c>
      <c r="AB612">
        <v>6</v>
      </c>
      <c r="AC612">
        <v>76</v>
      </c>
      <c r="AD612">
        <v>4</v>
      </c>
      <c r="AE612">
        <v>136</v>
      </c>
      <c r="AF612">
        <v>5056</v>
      </c>
      <c r="AG612">
        <v>877</v>
      </c>
      <c r="AH612">
        <v>4916</v>
      </c>
      <c r="AI612">
        <v>7</v>
      </c>
      <c r="AJ612">
        <v>87</v>
      </c>
      <c r="AK612">
        <v>1648</v>
      </c>
      <c r="AL612">
        <v>4397</v>
      </c>
      <c r="AM612">
        <v>14</v>
      </c>
      <c r="AN612">
        <v>904</v>
      </c>
      <c r="AO612" t="s">
        <v>826</v>
      </c>
    </row>
    <row r="613" spans="1:41">
      <c r="A613">
        <v>605</v>
      </c>
      <c r="B613" s="2">
        <v>45296.6254166667</v>
      </c>
      <c r="C613">
        <v>885.717</v>
      </c>
      <c r="D613" t="s">
        <v>821</v>
      </c>
      <c r="E613" t="s">
        <v>822</v>
      </c>
      <c r="F613">
        <v>3</v>
      </c>
      <c r="G613">
        <f t="shared" si="9"/>
        <v>0</v>
      </c>
      <c r="H613">
        <v>1</v>
      </c>
      <c r="I613">
        <v>136</v>
      </c>
      <c r="J613">
        <v>5056</v>
      </c>
      <c r="K613">
        <v>26136</v>
      </c>
      <c r="L613" s="1">
        <v>-12496</v>
      </c>
      <c r="M613">
        <v>-12496</v>
      </c>
      <c r="N613">
        <v>49.9</v>
      </c>
      <c r="O613">
        <v>1</v>
      </c>
      <c r="P613">
        <v>65535</v>
      </c>
      <c r="Q613">
        <v>435</v>
      </c>
      <c r="R613">
        <v>-32767</v>
      </c>
      <c r="S613">
        <v>42.8</v>
      </c>
      <c r="T613">
        <v>16</v>
      </c>
      <c r="U613">
        <v>100</v>
      </c>
      <c r="V613">
        <v>34000</v>
      </c>
      <c r="W613">
        <v>5000</v>
      </c>
      <c r="X613" t="s">
        <v>823</v>
      </c>
      <c r="Y613" t="s">
        <v>837</v>
      </c>
      <c r="Z613" t="s">
        <v>828</v>
      </c>
      <c r="AA613">
        <v>12</v>
      </c>
      <c r="AB613">
        <v>6</v>
      </c>
      <c r="AC613">
        <v>76</v>
      </c>
      <c r="AD613">
        <v>4</v>
      </c>
      <c r="AE613">
        <v>132</v>
      </c>
      <c r="AF613">
        <v>5056</v>
      </c>
      <c r="AG613">
        <v>878</v>
      </c>
      <c r="AH613">
        <v>4920</v>
      </c>
      <c r="AI613">
        <v>7</v>
      </c>
      <c r="AJ613">
        <v>87</v>
      </c>
      <c r="AK613">
        <v>1648</v>
      </c>
      <c r="AL613">
        <v>4401</v>
      </c>
      <c r="AM613">
        <v>14</v>
      </c>
      <c r="AN613">
        <v>901</v>
      </c>
      <c r="AO613" t="s">
        <v>826</v>
      </c>
    </row>
    <row r="614" spans="1:41">
      <c r="A614">
        <v>606</v>
      </c>
      <c r="B614" s="2">
        <v>45296.6254282407</v>
      </c>
      <c r="C614">
        <v>886.653</v>
      </c>
      <c r="D614" t="s">
        <v>821</v>
      </c>
      <c r="E614" t="s">
        <v>822</v>
      </c>
      <c r="F614">
        <v>3</v>
      </c>
      <c r="G614">
        <f t="shared" si="9"/>
        <v>0</v>
      </c>
      <c r="H614">
        <v>1</v>
      </c>
      <c r="I614">
        <v>132</v>
      </c>
      <c r="J614">
        <v>5056</v>
      </c>
      <c r="K614">
        <v>26112</v>
      </c>
      <c r="L614" s="1">
        <v>-12496</v>
      </c>
      <c r="M614">
        <v>-12496</v>
      </c>
      <c r="N614">
        <v>49.9</v>
      </c>
      <c r="O614">
        <v>1</v>
      </c>
      <c r="P614">
        <v>65535</v>
      </c>
      <c r="Q614">
        <v>422</v>
      </c>
      <c r="R614">
        <v>-32767</v>
      </c>
      <c r="S614">
        <v>42.9</v>
      </c>
      <c r="T614">
        <v>16</v>
      </c>
      <c r="U614">
        <v>100</v>
      </c>
      <c r="V614">
        <v>34000</v>
      </c>
      <c r="W614">
        <v>5000</v>
      </c>
      <c r="X614" t="s">
        <v>823</v>
      </c>
      <c r="Y614" t="s">
        <v>837</v>
      </c>
      <c r="Z614" t="s">
        <v>828</v>
      </c>
      <c r="AA614">
        <v>12</v>
      </c>
      <c r="AB614">
        <v>6</v>
      </c>
      <c r="AC614">
        <v>76</v>
      </c>
      <c r="AD614">
        <v>4</v>
      </c>
      <c r="AE614">
        <v>132</v>
      </c>
      <c r="AF614">
        <v>5056</v>
      </c>
      <c r="AG614">
        <v>879</v>
      </c>
      <c r="AH614">
        <v>4923</v>
      </c>
      <c r="AI614">
        <v>7</v>
      </c>
      <c r="AJ614">
        <v>87</v>
      </c>
      <c r="AK614">
        <v>1648</v>
      </c>
      <c r="AL614">
        <v>4404</v>
      </c>
      <c r="AM614">
        <v>14</v>
      </c>
      <c r="AN614">
        <v>902</v>
      </c>
      <c r="AO614" t="s">
        <v>826</v>
      </c>
    </row>
    <row r="615" spans="1:41">
      <c r="A615">
        <v>607</v>
      </c>
      <c r="B615" s="2">
        <v>45296.625462963</v>
      </c>
      <c r="C615">
        <v>889.029</v>
      </c>
      <c r="D615" t="s">
        <v>821</v>
      </c>
      <c r="E615" t="s">
        <v>822</v>
      </c>
      <c r="F615">
        <v>3</v>
      </c>
      <c r="G615">
        <f t="shared" si="9"/>
        <v>0</v>
      </c>
      <c r="H615">
        <v>1</v>
      </c>
      <c r="I615">
        <v>125</v>
      </c>
      <c r="J615">
        <v>5056</v>
      </c>
      <c r="K615">
        <v>26064</v>
      </c>
      <c r="L615" s="1">
        <v>-12496</v>
      </c>
      <c r="M615">
        <v>-12496</v>
      </c>
      <c r="N615">
        <v>50</v>
      </c>
      <c r="O615">
        <v>1</v>
      </c>
      <c r="P615">
        <v>65535</v>
      </c>
      <c r="Q615">
        <v>389</v>
      </c>
      <c r="R615">
        <v>-32767</v>
      </c>
      <c r="S615">
        <v>42.9</v>
      </c>
      <c r="T615">
        <v>16</v>
      </c>
      <c r="U615">
        <v>100</v>
      </c>
      <c r="V615">
        <v>34000</v>
      </c>
      <c r="W615">
        <v>5000</v>
      </c>
      <c r="X615" t="s">
        <v>823</v>
      </c>
      <c r="Y615" t="s">
        <v>837</v>
      </c>
      <c r="Z615" t="s">
        <v>828</v>
      </c>
      <c r="AA615">
        <v>12</v>
      </c>
      <c r="AB615">
        <v>6</v>
      </c>
      <c r="AC615">
        <v>76</v>
      </c>
      <c r="AD615">
        <v>4</v>
      </c>
      <c r="AE615">
        <v>122</v>
      </c>
      <c r="AF615">
        <v>5056</v>
      </c>
      <c r="AG615">
        <v>881</v>
      </c>
      <c r="AH615">
        <v>4930</v>
      </c>
      <c r="AI615">
        <v>7</v>
      </c>
      <c r="AJ615">
        <v>87</v>
      </c>
      <c r="AK615">
        <v>1648</v>
      </c>
      <c r="AL615">
        <v>4411</v>
      </c>
      <c r="AM615">
        <v>14</v>
      </c>
      <c r="AN615">
        <v>1023</v>
      </c>
      <c r="AO615" t="s">
        <v>826</v>
      </c>
    </row>
    <row r="616" spans="1:41">
      <c r="A616">
        <v>608</v>
      </c>
      <c r="B616" s="2">
        <v>45296.625474537</v>
      </c>
      <c r="C616">
        <v>890.098</v>
      </c>
      <c r="D616" t="s">
        <v>821</v>
      </c>
      <c r="E616" t="s">
        <v>822</v>
      </c>
      <c r="F616">
        <v>3</v>
      </c>
      <c r="G616">
        <f t="shared" si="9"/>
        <v>0</v>
      </c>
      <c r="H616">
        <v>1</v>
      </c>
      <c r="I616">
        <v>118</v>
      </c>
      <c r="J616">
        <v>5056</v>
      </c>
      <c r="K616">
        <v>26024</v>
      </c>
      <c r="L616" s="1">
        <v>-12496</v>
      </c>
      <c r="M616">
        <v>-12496</v>
      </c>
      <c r="N616">
        <v>50.1</v>
      </c>
      <c r="O616">
        <v>1</v>
      </c>
      <c r="P616">
        <v>65535</v>
      </c>
      <c r="Q616">
        <v>376</v>
      </c>
      <c r="R616">
        <v>-32767</v>
      </c>
      <c r="S616">
        <v>42.9</v>
      </c>
      <c r="T616">
        <v>16</v>
      </c>
      <c r="U616">
        <v>100</v>
      </c>
      <c r="V616">
        <v>34000</v>
      </c>
      <c r="W616">
        <v>5000</v>
      </c>
      <c r="X616" t="s">
        <v>823</v>
      </c>
      <c r="Y616" t="s">
        <v>837</v>
      </c>
      <c r="Z616" t="s">
        <v>828</v>
      </c>
      <c r="AA616">
        <v>12</v>
      </c>
      <c r="AB616">
        <v>6</v>
      </c>
      <c r="AC616">
        <v>76</v>
      </c>
      <c r="AD616">
        <v>4</v>
      </c>
      <c r="AE616">
        <v>118</v>
      </c>
      <c r="AF616">
        <v>5056</v>
      </c>
      <c r="AG616">
        <v>882</v>
      </c>
      <c r="AH616">
        <v>4934</v>
      </c>
      <c r="AI616">
        <v>7</v>
      </c>
      <c r="AJ616">
        <v>87</v>
      </c>
      <c r="AK616">
        <v>1648</v>
      </c>
      <c r="AL616">
        <v>4415</v>
      </c>
      <c r="AM616">
        <v>14</v>
      </c>
      <c r="AN616">
        <v>907</v>
      </c>
      <c r="AO616" t="s">
        <v>826</v>
      </c>
    </row>
    <row r="617" spans="1:41">
      <c r="A617">
        <v>609</v>
      </c>
      <c r="B617" s="2">
        <v>45296.6254861111</v>
      </c>
      <c r="C617">
        <v>891.043</v>
      </c>
      <c r="D617" t="s">
        <v>821</v>
      </c>
      <c r="E617" t="s">
        <v>822</v>
      </c>
      <c r="F617">
        <v>3</v>
      </c>
      <c r="G617">
        <f t="shared" si="9"/>
        <v>0</v>
      </c>
      <c r="H617">
        <v>1</v>
      </c>
      <c r="I617">
        <v>115</v>
      </c>
      <c r="J617">
        <v>5056</v>
      </c>
      <c r="K617">
        <v>26016</v>
      </c>
      <c r="L617" s="1">
        <v>-12496</v>
      </c>
      <c r="M617">
        <v>-12496</v>
      </c>
      <c r="N617">
        <v>50.1</v>
      </c>
      <c r="O617">
        <v>1</v>
      </c>
      <c r="P617">
        <v>65535</v>
      </c>
      <c r="Q617">
        <v>366</v>
      </c>
      <c r="R617">
        <v>-32767</v>
      </c>
      <c r="S617">
        <v>42.9</v>
      </c>
      <c r="T617">
        <v>16</v>
      </c>
      <c r="U617">
        <v>100</v>
      </c>
      <c r="V617">
        <v>34000</v>
      </c>
      <c r="W617">
        <v>5000</v>
      </c>
      <c r="X617" t="s">
        <v>823</v>
      </c>
      <c r="Y617" t="s">
        <v>837</v>
      </c>
      <c r="Z617" t="s">
        <v>828</v>
      </c>
      <c r="AA617">
        <v>12</v>
      </c>
      <c r="AB617">
        <v>6</v>
      </c>
      <c r="AC617">
        <v>76</v>
      </c>
      <c r="AD617">
        <v>4</v>
      </c>
      <c r="AE617">
        <v>115</v>
      </c>
      <c r="AF617">
        <v>5056</v>
      </c>
      <c r="AG617">
        <v>883</v>
      </c>
      <c r="AH617">
        <v>4937</v>
      </c>
      <c r="AI617">
        <v>7</v>
      </c>
      <c r="AJ617">
        <v>87</v>
      </c>
      <c r="AK617">
        <v>1648</v>
      </c>
      <c r="AL617">
        <v>4418</v>
      </c>
      <c r="AM617">
        <v>14</v>
      </c>
      <c r="AN617">
        <v>903</v>
      </c>
      <c r="AO617" t="s">
        <v>826</v>
      </c>
    </row>
    <row r="618" spans="1:41">
      <c r="A618">
        <v>610</v>
      </c>
      <c r="B618" s="2">
        <v>45296.6255092593</v>
      </c>
      <c r="C618">
        <v>893.412</v>
      </c>
      <c r="D618" t="s">
        <v>821</v>
      </c>
      <c r="E618" t="s">
        <v>822</v>
      </c>
      <c r="F618">
        <v>3</v>
      </c>
      <c r="G618">
        <f t="shared" si="9"/>
        <v>0</v>
      </c>
      <c r="H618">
        <v>1</v>
      </c>
      <c r="I618">
        <v>108</v>
      </c>
      <c r="J618">
        <v>5056</v>
      </c>
      <c r="K618">
        <v>25976</v>
      </c>
      <c r="L618" s="1">
        <v>-12496</v>
      </c>
      <c r="M618">
        <v>-12496</v>
      </c>
      <c r="N618">
        <v>50.1</v>
      </c>
      <c r="O618">
        <v>1</v>
      </c>
      <c r="P618">
        <v>65535</v>
      </c>
      <c r="Q618">
        <v>344</v>
      </c>
      <c r="R618">
        <v>-32767</v>
      </c>
      <c r="S618">
        <v>42.9</v>
      </c>
      <c r="T618">
        <v>16</v>
      </c>
      <c r="U618">
        <v>100</v>
      </c>
      <c r="V618">
        <v>34000</v>
      </c>
      <c r="W618">
        <v>5000</v>
      </c>
      <c r="X618" t="s">
        <v>823</v>
      </c>
      <c r="Y618" t="s">
        <v>837</v>
      </c>
      <c r="Z618" t="s">
        <v>828</v>
      </c>
      <c r="AA618">
        <v>12</v>
      </c>
      <c r="AB618">
        <v>6</v>
      </c>
      <c r="AC618">
        <v>76</v>
      </c>
      <c r="AD618">
        <v>4</v>
      </c>
      <c r="AE618">
        <v>108</v>
      </c>
      <c r="AF618">
        <v>5056</v>
      </c>
      <c r="AG618">
        <v>885</v>
      </c>
      <c r="AH618">
        <v>4944</v>
      </c>
      <c r="AI618">
        <v>7</v>
      </c>
      <c r="AJ618">
        <v>87</v>
      </c>
      <c r="AK618">
        <v>1648</v>
      </c>
      <c r="AL618">
        <v>4425</v>
      </c>
      <c r="AM618">
        <v>14</v>
      </c>
      <c r="AN618">
        <v>905</v>
      </c>
      <c r="AO618" t="s">
        <v>826</v>
      </c>
    </row>
    <row r="619" spans="1:41">
      <c r="A619">
        <v>611</v>
      </c>
      <c r="B619" s="2">
        <v>45296.6255208333</v>
      </c>
      <c r="C619">
        <v>894.356</v>
      </c>
      <c r="D619" t="s">
        <v>821</v>
      </c>
      <c r="E619" t="s">
        <v>822</v>
      </c>
      <c r="F619">
        <v>3</v>
      </c>
      <c r="G619">
        <f t="shared" si="9"/>
        <v>0</v>
      </c>
      <c r="H619">
        <v>1</v>
      </c>
      <c r="I619">
        <v>104</v>
      </c>
      <c r="J619">
        <v>5056</v>
      </c>
      <c r="K619">
        <v>25944</v>
      </c>
      <c r="L619" s="1">
        <v>-12498</v>
      </c>
      <c r="M619">
        <v>-12496</v>
      </c>
      <c r="N619">
        <v>50.1</v>
      </c>
      <c r="O619">
        <v>0</v>
      </c>
      <c r="P619">
        <v>65535</v>
      </c>
      <c r="Q619">
        <v>331</v>
      </c>
      <c r="R619">
        <v>-32767</v>
      </c>
      <c r="S619">
        <v>42.9</v>
      </c>
      <c r="T619">
        <v>16</v>
      </c>
      <c r="U619">
        <v>100</v>
      </c>
      <c r="V619">
        <v>34000</v>
      </c>
      <c r="W619">
        <v>5000</v>
      </c>
      <c r="X619" t="s">
        <v>823</v>
      </c>
      <c r="Y619" t="s">
        <v>837</v>
      </c>
      <c r="Z619" t="s">
        <v>828</v>
      </c>
      <c r="AA619">
        <v>12</v>
      </c>
      <c r="AB619">
        <v>6</v>
      </c>
      <c r="AC619">
        <v>76</v>
      </c>
      <c r="AD619">
        <v>4</v>
      </c>
      <c r="AE619">
        <v>104</v>
      </c>
      <c r="AF619">
        <v>5056</v>
      </c>
      <c r="AG619">
        <v>886</v>
      </c>
      <c r="AH619">
        <v>4948</v>
      </c>
      <c r="AI619">
        <v>7</v>
      </c>
      <c r="AJ619">
        <v>87</v>
      </c>
      <c r="AK619">
        <v>1648</v>
      </c>
      <c r="AL619">
        <v>4429</v>
      </c>
      <c r="AM619">
        <v>14</v>
      </c>
      <c r="AN619">
        <v>901</v>
      </c>
      <c r="AO619" t="s">
        <v>826</v>
      </c>
    </row>
    <row r="620" spans="1:41">
      <c r="A620">
        <v>612</v>
      </c>
      <c r="B620" s="2">
        <v>45296.6255439815</v>
      </c>
      <c r="C620">
        <v>896.734</v>
      </c>
      <c r="D620" t="s">
        <v>821</v>
      </c>
      <c r="E620" t="s">
        <v>822</v>
      </c>
      <c r="F620">
        <v>2</v>
      </c>
      <c r="G620">
        <f t="shared" si="9"/>
        <v>1</v>
      </c>
      <c r="H620">
        <v>1</v>
      </c>
      <c r="I620">
        <v>97</v>
      </c>
      <c r="J620">
        <v>5056</v>
      </c>
      <c r="K620">
        <v>25896</v>
      </c>
      <c r="L620" s="1">
        <v>-12496</v>
      </c>
      <c r="M620">
        <v>-12496</v>
      </c>
      <c r="N620">
        <v>50.2</v>
      </c>
      <c r="O620">
        <v>0</v>
      </c>
      <c r="P620">
        <v>65535</v>
      </c>
      <c r="Q620">
        <v>308</v>
      </c>
      <c r="R620">
        <v>-32767</v>
      </c>
      <c r="S620">
        <v>43</v>
      </c>
      <c r="T620">
        <v>16</v>
      </c>
      <c r="U620">
        <v>100</v>
      </c>
      <c r="V620">
        <v>34000</v>
      </c>
      <c r="W620">
        <v>5000</v>
      </c>
      <c r="X620" t="s">
        <v>823</v>
      </c>
      <c r="Y620" t="s">
        <v>837</v>
      </c>
      <c r="Z620" t="s">
        <v>828</v>
      </c>
      <c r="AA620">
        <v>12</v>
      </c>
      <c r="AB620">
        <v>6</v>
      </c>
      <c r="AC620">
        <v>76</v>
      </c>
      <c r="AD620">
        <v>4</v>
      </c>
      <c r="AE620">
        <v>46</v>
      </c>
      <c r="AF620">
        <v>5008</v>
      </c>
      <c r="AG620">
        <v>889</v>
      </c>
      <c r="AH620">
        <v>4958</v>
      </c>
      <c r="AI620">
        <v>7</v>
      </c>
      <c r="AJ620">
        <v>87</v>
      </c>
      <c r="AK620">
        <v>1648</v>
      </c>
      <c r="AL620">
        <v>4439</v>
      </c>
      <c r="AM620">
        <v>14</v>
      </c>
      <c r="AN620">
        <v>910</v>
      </c>
      <c r="AO620" t="s">
        <v>826</v>
      </c>
    </row>
    <row r="621" spans="1:41">
      <c r="A621">
        <v>613</v>
      </c>
      <c r="B621" s="2">
        <v>45296.6255555556</v>
      </c>
      <c r="C621">
        <v>897.684</v>
      </c>
      <c r="D621" t="s">
        <v>821</v>
      </c>
      <c r="E621" t="s">
        <v>822</v>
      </c>
      <c r="F621">
        <v>2</v>
      </c>
      <c r="G621">
        <f t="shared" si="9"/>
        <v>0</v>
      </c>
      <c r="H621">
        <v>1</v>
      </c>
      <c r="I621">
        <v>94</v>
      </c>
      <c r="J621">
        <v>5056</v>
      </c>
      <c r="K621">
        <v>25872</v>
      </c>
      <c r="L621" s="1">
        <v>-12496</v>
      </c>
      <c r="M621">
        <v>-12496</v>
      </c>
      <c r="N621">
        <v>50.2</v>
      </c>
      <c r="O621">
        <v>0</v>
      </c>
      <c r="P621">
        <v>65535</v>
      </c>
      <c r="Q621">
        <v>298</v>
      </c>
      <c r="R621">
        <v>-32767</v>
      </c>
      <c r="S621">
        <v>43</v>
      </c>
      <c r="T621">
        <v>16</v>
      </c>
      <c r="U621">
        <v>100</v>
      </c>
      <c r="V621">
        <v>34000</v>
      </c>
      <c r="W621">
        <v>5000</v>
      </c>
      <c r="X621" t="s">
        <v>823</v>
      </c>
      <c r="Y621" t="s">
        <v>837</v>
      </c>
      <c r="Z621" t="s">
        <v>828</v>
      </c>
      <c r="AA621">
        <v>12</v>
      </c>
      <c r="AB621">
        <v>6</v>
      </c>
      <c r="AC621">
        <v>76</v>
      </c>
      <c r="AD621">
        <v>4</v>
      </c>
      <c r="AE621">
        <v>46</v>
      </c>
      <c r="AF621">
        <v>5008</v>
      </c>
      <c r="AG621">
        <v>890</v>
      </c>
      <c r="AH621">
        <v>4962</v>
      </c>
      <c r="AI621">
        <v>7</v>
      </c>
      <c r="AJ621">
        <v>87</v>
      </c>
      <c r="AK621">
        <v>1648</v>
      </c>
      <c r="AL621">
        <v>4443</v>
      </c>
      <c r="AM621">
        <v>14</v>
      </c>
      <c r="AN621">
        <v>903</v>
      </c>
      <c r="AO621" t="s">
        <v>826</v>
      </c>
    </row>
    <row r="622" spans="1:41">
      <c r="A622">
        <v>614</v>
      </c>
      <c r="B622" s="2">
        <v>45296.6255671296</v>
      </c>
      <c r="C622">
        <v>898.624</v>
      </c>
      <c r="D622" t="s">
        <v>821</v>
      </c>
      <c r="E622" t="s">
        <v>822</v>
      </c>
      <c r="F622">
        <v>1</v>
      </c>
      <c r="G622">
        <f t="shared" si="9"/>
        <v>1</v>
      </c>
      <c r="H622">
        <v>1</v>
      </c>
      <c r="I622">
        <v>42</v>
      </c>
      <c r="J622">
        <v>5008</v>
      </c>
      <c r="K622">
        <v>25840</v>
      </c>
      <c r="L622" s="1">
        <v>-12496</v>
      </c>
      <c r="M622">
        <v>-12496</v>
      </c>
      <c r="N622">
        <v>50.2</v>
      </c>
      <c r="O622">
        <v>0</v>
      </c>
      <c r="P622">
        <v>65535</v>
      </c>
      <c r="Q622">
        <v>134</v>
      </c>
      <c r="R622">
        <v>-32767</v>
      </c>
      <c r="S622">
        <v>43</v>
      </c>
      <c r="T622">
        <v>16</v>
      </c>
      <c r="U622">
        <v>100</v>
      </c>
      <c r="V622">
        <v>34000</v>
      </c>
      <c r="W622">
        <v>5000</v>
      </c>
      <c r="X622" t="s">
        <v>823</v>
      </c>
      <c r="Y622" t="s">
        <v>838</v>
      </c>
      <c r="Z622" t="s">
        <v>828</v>
      </c>
      <c r="AA622">
        <v>12</v>
      </c>
      <c r="AB622">
        <v>6</v>
      </c>
      <c r="AC622">
        <v>76</v>
      </c>
      <c r="AD622">
        <v>4</v>
      </c>
      <c r="AE622">
        <v>42</v>
      </c>
      <c r="AF622">
        <v>5008</v>
      </c>
      <c r="AG622">
        <v>890</v>
      </c>
      <c r="AH622">
        <v>4962</v>
      </c>
      <c r="AI622">
        <v>7</v>
      </c>
      <c r="AJ622">
        <v>87</v>
      </c>
      <c r="AK622">
        <v>1648</v>
      </c>
      <c r="AL622">
        <v>4446</v>
      </c>
      <c r="AM622">
        <v>14</v>
      </c>
      <c r="AN622">
        <v>900</v>
      </c>
      <c r="AO622" t="s">
        <v>826</v>
      </c>
    </row>
    <row r="623" spans="1:41">
      <c r="A623">
        <v>615</v>
      </c>
      <c r="B623" s="2">
        <v>45296.6256018519</v>
      </c>
      <c r="C623">
        <v>900.983</v>
      </c>
      <c r="D623" t="s">
        <v>821</v>
      </c>
      <c r="E623" t="s">
        <v>822</v>
      </c>
      <c r="F623">
        <v>1</v>
      </c>
      <c r="G623">
        <f t="shared" si="9"/>
        <v>0</v>
      </c>
      <c r="H623">
        <v>1</v>
      </c>
      <c r="I623">
        <v>36</v>
      </c>
      <c r="J623">
        <v>5008</v>
      </c>
      <c r="K623">
        <v>25784</v>
      </c>
      <c r="L623" s="1">
        <v>-12495</v>
      </c>
      <c r="M623">
        <v>-12496</v>
      </c>
      <c r="N623">
        <v>50.3</v>
      </c>
      <c r="O623">
        <v>0</v>
      </c>
      <c r="P623">
        <v>65535</v>
      </c>
      <c r="Q623">
        <v>102</v>
      </c>
      <c r="R623">
        <v>-32767</v>
      </c>
      <c r="S623">
        <v>43</v>
      </c>
      <c r="T623">
        <v>16</v>
      </c>
      <c r="U623">
        <v>100</v>
      </c>
      <c r="V623">
        <v>34000</v>
      </c>
      <c r="W623">
        <v>5000</v>
      </c>
      <c r="X623" t="s">
        <v>823</v>
      </c>
      <c r="Y623" t="s">
        <v>838</v>
      </c>
      <c r="Z623" t="s">
        <v>828</v>
      </c>
      <c r="AA623">
        <v>12</v>
      </c>
      <c r="AB623">
        <v>6</v>
      </c>
      <c r="AC623">
        <v>76</v>
      </c>
      <c r="AD623">
        <v>4</v>
      </c>
      <c r="AE623">
        <v>32</v>
      </c>
      <c r="AF623">
        <v>5008</v>
      </c>
      <c r="AG623">
        <v>893</v>
      </c>
      <c r="AH623">
        <v>4972</v>
      </c>
      <c r="AI623">
        <v>7</v>
      </c>
      <c r="AJ623">
        <v>87</v>
      </c>
      <c r="AK623">
        <v>1648</v>
      </c>
      <c r="AL623">
        <v>4453</v>
      </c>
      <c r="AM623">
        <v>14</v>
      </c>
      <c r="AN623">
        <v>914</v>
      </c>
      <c r="AO623" t="s">
        <v>826</v>
      </c>
    </row>
    <row r="624" spans="1:41">
      <c r="A624">
        <v>616</v>
      </c>
      <c r="B624" s="2">
        <v>45296.6256134259</v>
      </c>
      <c r="C624">
        <v>901.932</v>
      </c>
      <c r="D624" t="s">
        <v>821</v>
      </c>
      <c r="E624" t="s">
        <v>822</v>
      </c>
      <c r="F624">
        <v>1</v>
      </c>
      <c r="G624">
        <f t="shared" si="9"/>
        <v>0</v>
      </c>
      <c r="H624">
        <v>1</v>
      </c>
      <c r="I624">
        <v>32</v>
      </c>
      <c r="J624">
        <v>5008</v>
      </c>
      <c r="K624">
        <v>25752</v>
      </c>
      <c r="L624" s="1">
        <v>-12495</v>
      </c>
      <c r="M624">
        <v>-12496</v>
      </c>
      <c r="N624">
        <v>50.3</v>
      </c>
      <c r="O624">
        <v>0</v>
      </c>
      <c r="P624">
        <v>65535</v>
      </c>
      <c r="Q624">
        <v>92</v>
      </c>
      <c r="R624">
        <v>-32767</v>
      </c>
      <c r="S624">
        <v>43</v>
      </c>
      <c r="T624">
        <v>16</v>
      </c>
      <c r="U624">
        <v>100</v>
      </c>
      <c r="V624">
        <v>34000</v>
      </c>
      <c r="W624">
        <v>5000</v>
      </c>
      <c r="X624" t="s">
        <v>823</v>
      </c>
      <c r="Y624" t="s">
        <v>838</v>
      </c>
      <c r="Z624" t="s">
        <v>828</v>
      </c>
      <c r="AA624">
        <v>12</v>
      </c>
      <c r="AB624">
        <v>6</v>
      </c>
      <c r="AC624">
        <v>76</v>
      </c>
      <c r="AD624">
        <v>4</v>
      </c>
      <c r="AE624">
        <v>29</v>
      </c>
      <c r="AF624">
        <v>5008</v>
      </c>
      <c r="AG624">
        <v>894</v>
      </c>
      <c r="AH624">
        <v>4975</v>
      </c>
      <c r="AI624">
        <v>7</v>
      </c>
      <c r="AJ624">
        <v>87</v>
      </c>
      <c r="AK624">
        <v>1648</v>
      </c>
      <c r="AL624">
        <v>4456</v>
      </c>
      <c r="AM624">
        <v>14</v>
      </c>
      <c r="AN624">
        <v>904</v>
      </c>
      <c r="AO624" t="s">
        <v>826</v>
      </c>
    </row>
    <row r="625" spans="1:41">
      <c r="A625">
        <v>617</v>
      </c>
      <c r="B625" s="2">
        <v>45296.6256134259</v>
      </c>
      <c r="C625">
        <v>902.874</v>
      </c>
      <c r="D625" t="s">
        <v>821</v>
      </c>
      <c r="E625" t="s">
        <v>822</v>
      </c>
      <c r="F625">
        <v>1</v>
      </c>
      <c r="G625">
        <f t="shared" si="9"/>
        <v>0</v>
      </c>
      <c r="H625">
        <v>1</v>
      </c>
      <c r="I625">
        <v>29</v>
      </c>
      <c r="J625">
        <v>5008</v>
      </c>
      <c r="K625">
        <v>25720</v>
      </c>
      <c r="L625" s="1">
        <v>-12496</v>
      </c>
      <c r="M625">
        <v>-12496</v>
      </c>
      <c r="N625">
        <v>50.3</v>
      </c>
      <c r="O625">
        <v>0</v>
      </c>
      <c r="P625">
        <v>65535</v>
      </c>
      <c r="Q625">
        <v>92</v>
      </c>
      <c r="R625">
        <v>-32767</v>
      </c>
      <c r="S625">
        <v>43.1</v>
      </c>
      <c r="T625">
        <v>16</v>
      </c>
      <c r="U625">
        <v>100</v>
      </c>
      <c r="V625">
        <v>34000</v>
      </c>
      <c r="W625">
        <v>5000</v>
      </c>
      <c r="X625" t="s">
        <v>823</v>
      </c>
      <c r="Y625" t="s">
        <v>838</v>
      </c>
      <c r="Z625" t="s">
        <v>828</v>
      </c>
      <c r="AA625">
        <v>12</v>
      </c>
      <c r="AB625">
        <v>6</v>
      </c>
      <c r="AC625">
        <v>76</v>
      </c>
      <c r="AD625">
        <v>4</v>
      </c>
      <c r="AE625">
        <v>25</v>
      </c>
      <c r="AF625">
        <v>5008</v>
      </c>
      <c r="AG625">
        <v>895</v>
      </c>
      <c r="AH625">
        <v>4979</v>
      </c>
      <c r="AI625">
        <v>7</v>
      </c>
      <c r="AJ625">
        <v>87</v>
      </c>
      <c r="AK625">
        <v>1648</v>
      </c>
      <c r="AL625">
        <v>4460</v>
      </c>
      <c r="AM625">
        <v>14</v>
      </c>
      <c r="AN625">
        <v>900</v>
      </c>
      <c r="AO625" t="s">
        <v>826</v>
      </c>
    </row>
    <row r="626" spans="1:41">
      <c r="A626">
        <v>618</v>
      </c>
      <c r="B626" s="2">
        <v>45296.6256481481</v>
      </c>
      <c r="C626">
        <v>905.237</v>
      </c>
      <c r="D626" t="s">
        <v>821</v>
      </c>
      <c r="E626" t="s">
        <v>822</v>
      </c>
      <c r="F626">
        <v>1</v>
      </c>
      <c r="G626">
        <f t="shared" si="9"/>
        <v>0</v>
      </c>
      <c r="H626">
        <v>1</v>
      </c>
      <c r="I626">
        <v>18</v>
      </c>
      <c r="J626">
        <v>5008</v>
      </c>
      <c r="K626">
        <v>25616</v>
      </c>
      <c r="L626" s="1">
        <v>-12496</v>
      </c>
      <c r="M626">
        <v>-12496</v>
      </c>
      <c r="N626">
        <v>50.4</v>
      </c>
      <c r="O626">
        <v>0</v>
      </c>
      <c r="P626">
        <v>65535</v>
      </c>
      <c r="Q626">
        <v>57</v>
      </c>
      <c r="R626">
        <v>-32767</v>
      </c>
      <c r="S626">
        <v>43.1</v>
      </c>
      <c r="T626">
        <v>16</v>
      </c>
      <c r="U626">
        <v>100</v>
      </c>
      <c r="V626">
        <v>34000</v>
      </c>
      <c r="W626">
        <v>5000</v>
      </c>
      <c r="X626" t="s">
        <v>823</v>
      </c>
      <c r="Y626" t="s">
        <v>838</v>
      </c>
      <c r="Z626" t="s">
        <v>828</v>
      </c>
      <c r="AA626">
        <v>12</v>
      </c>
      <c r="AB626">
        <v>6</v>
      </c>
      <c r="AC626">
        <v>76</v>
      </c>
      <c r="AD626">
        <v>4</v>
      </c>
      <c r="AE626">
        <v>18</v>
      </c>
      <c r="AF626">
        <v>5008</v>
      </c>
      <c r="AG626">
        <v>897</v>
      </c>
      <c r="AH626">
        <v>4986</v>
      </c>
      <c r="AI626">
        <v>7</v>
      </c>
      <c r="AJ626">
        <v>87</v>
      </c>
      <c r="AK626">
        <v>1648</v>
      </c>
      <c r="AL626">
        <v>4467</v>
      </c>
      <c r="AM626">
        <v>14</v>
      </c>
      <c r="AN626">
        <v>924</v>
      </c>
      <c r="AO626" t="s">
        <v>826</v>
      </c>
    </row>
    <row r="627" spans="1:41">
      <c r="A627">
        <v>619</v>
      </c>
      <c r="B627" s="2">
        <v>45296.6256597222</v>
      </c>
      <c r="C627">
        <v>906.199</v>
      </c>
      <c r="D627" t="s">
        <v>821</v>
      </c>
      <c r="E627" t="s">
        <v>822</v>
      </c>
      <c r="F627">
        <v>1</v>
      </c>
      <c r="G627">
        <f t="shared" si="9"/>
        <v>0</v>
      </c>
      <c r="H627">
        <v>1</v>
      </c>
      <c r="I627">
        <v>15</v>
      </c>
      <c r="J627">
        <v>5008</v>
      </c>
      <c r="K627">
        <v>25584</v>
      </c>
      <c r="L627" s="1">
        <v>-12496</v>
      </c>
      <c r="M627">
        <v>-12496</v>
      </c>
      <c r="N627">
        <v>50.4</v>
      </c>
      <c r="O627">
        <v>0</v>
      </c>
      <c r="P627">
        <v>65535</v>
      </c>
      <c r="Q627">
        <v>48</v>
      </c>
      <c r="R627">
        <v>-32767</v>
      </c>
      <c r="S627">
        <v>43.1</v>
      </c>
      <c r="T627">
        <v>16</v>
      </c>
      <c r="U627">
        <v>100</v>
      </c>
      <c r="V627">
        <v>34000</v>
      </c>
      <c r="W627">
        <v>5000</v>
      </c>
      <c r="X627" t="s">
        <v>823</v>
      </c>
      <c r="Y627" t="s">
        <v>838</v>
      </c>
      <c r="Z627" t="s">
        <v>828</v>
      </c>
      <c r="AA627">
        <v>12</v>
      </c>
      <c r="AB627">
        <v>6</v>
      </c>
      <c r="AC627">
        <v>76</v>
      </c>
      <c r="AD627">
        <v>4</v>
      </c>
      <c r="AE627">
        <v>15</v>
      </c>
      <c r="AF627">
        <v>5008</v>
      </c>
      <c r="AG627">
        <v>898</v>
      </c>
      <c r="AH627">
        <v>4989</v>
      </c>
      <c r="AI627">
        <v>7</v>
      </c>
      <c r="AJ627">
        <v>87</v>
      </c>
      <c r="AK627">
        <v>1648</v>
      </c>
      <c r="AL627">
        <v>4470</v>
      </c>
      <c r="AM627">
        <v>14</v>
      </c>
      <c r="AN627">
        <v>903</v>
      </c>
      <c r="AO627" t="s">
        <v>826</v>
      </c>
    </row>
    <row r="628" spans="1:41">
      <c r="A628">
        <v>620</v>
      </c>
      <c r="B628" s="2">
        <v>45296.6256712963</v>
      </c>
      <c r="C628">
        <v>907.168</v>
      </c>
      <c r="D628" t="s">
        <v>821</v>
      </c>
      <c r="E628" t="s">
        <v>822</v>
      </c>
      <c r="F628">
        <v>1</v>
      </c>
      <c r="G628">
        <f t="shared" si="9"/>
        <v>0</v>
      </c>
      <c r="H628">
        <v>1</v>
      </c>
      <c r="I628">
        <v>11</v>
      </c>
      <c r="J628">
        <v>5008</v>
      </c>
      <c r="K628">
        <v>25544</v>
      </c>
      <c r="L628" s="1">
        <v>-12498</v>
      </c>
      <c r="M628">
        <v>-12496</v>
      </c>
      <c r="N628">
        <v>50.4</v>
      </c>
      <c r="O628">
        <v>0</v>
      </c>
      <c r="P628">
        <v>65535</v>
      </c>
      <c r="Q628">
        <v>35</v>
      </c>
      <c r="R628">
        <v>-32767</v>
      </c>
      <c r="S628">
        <v>43.1</v>
      </c>
      <c r="T628">
        <v>16</v>
      </c>
      <c r="U628">
        <v>100</v>
      </c>
      <c r="V628">
        <v>34000</v>
      </c>
      <c r="W628">
        <v>5000</v>
      </c>
      <c r="X628" t="s">
        <v>823</v>
      </c>
      <c r="Y628" t="s">
        <v>838</v>
      </c>
      <c r="Z628" t="s">
        <v>828</v>
      </c>
      <c r="AA628">
        <v>12</v>
      </c>
      <c r="AB628">
        <v>6</v>
      </c>
      <c r="AC628">
        <v>76</v>
      </c>
      <c r="AD628">
        <v>4</v>
      </c>
      <c r="AE628">
        <v>11</v>
      </c>
      <c r="AF628">
        <v>5008</v>
      </c>
      <c r="AG628">
        <v>899</v>
      </c>
      <c r="AH628">
        <v>4993</v>
      </c>
      <c r="AI628">
        <v>7</v>
      </c>
      <c r="AJ628">
        <v>87</v>
      </c>
      <c r="AK628">
        <v>1648</v>
      </c>
      <c r="AL628">
        <v>4474</v>
      </c>
      <c r="AM628">
        <v>14</v>
      </c>
      <c r="AN628">
        <v>919</v>
      </c>
      <c r="AO628" t="s">
        <v>826</v>
      </c>
    </row>
    <row r="629" spans="1:41">
      <c r="A629">
        <v>621</v>
      </c>
      <c r="B629" s="2">
        <v>45296.6256944444</v>
      </c>
      <c r="C629">
        <v>909.529</v>
      </c>
      <c r="D629" t="s">
        <v>821</v>
      </c>
      <c r="E629" t="s">
        <v>822</v>
      </c>
      <c r="F629">
        <v>1</v>
      </c>
      <c r="G629">
        <f t="shared" si="9"/>
        <v>0</v>
      </c>
      <c r="H629">
        <v>1</v>
      </c>
      <c r="I629">
        <v>4</v>
      </c>
      <c r="J629">
        <v>5008</v>
      </c>
      <c r="K629">
        <v>25472</v>
      </c>
      <c r="L629" s="1">
        <v>-12496</v>
      </c>
      <c r="M629">
        <v>-12496</v>
      </c>
      <c r="N629">
        <v>50.4</v>
      </c>
      <c r="O629">
        <v>0</v>
      </c>
      <c r="P629">
        <v>65535</v>
      </c>
      <c r="Q629">
        <v>12</v>
      </c>
      <c r="R629">
        <v>-32767</v>
      </c>
      <c r="S629">
        <v>43.1</v>
      </c>
      <c r="T629">
        <v>16</v>
      </c>
      <c r="U629">
        <v>100</v>
      </c>
      <c r="V629">
        <v>34000</v>
      </c>
      <c r="W629">
        <v>5000</v>
      </c>
      <c r="X629" t="s">
        <v>823</v>
      </c>
      <c r="Y629" t="s">
        <v>838</v>
      </c>
      <c r="Z629" t="s">
        <v>828</v>
      </c>
      <c r="AA629">
        <v>12</v>
      </c>
      <c r="AB629">
        <v>6</v>
      </c>
      <c r="AC629">
        <v>76</v>
      </c>
      <c r="AD629">
        <v>4</v>
      </c>
      <c r="AE629">
        <v>4</v>
      </c>
      <c r="AF629">
        <v>5008</v>
      </c>
      <c r="AG629">
        <v>901</v>
      </c>
      <c r="AH629">
        <v>5000</v>
      </c>
      <c r="AI629">
        <v>7</v>
      </c>
      <c r="AJ629">
        <v>87</v>
      </c>
      <c r="AK629">
        <v>1648</v>
      </c>
      <c r="AL629">
        <v>4481</v>
      </c>
      <c r="AM629">
        <v>14</v>
      </c>
      <c r="AN629">
        <v>913</v>
      </c>
      <c r="AO629" t="s">
        <v>826</v>
      </c>
    </row>
    <row r="630" spans="1:41">
      <c r="A630">
        <v>622</v>
      </c>
      <c r="B630" s="2">
        <v>45296.6257060185</v>
      </c>
      <c r="C630">
        <v>910.482</v>
      </c>
      <c r="D630" t="s">
        <v>821</v>
      </c>
      <c r="E630" t="s">
        <v>822</v>
      </c>
      <c r="F630">
        <v>1</v>
      </c>
      <c r="G630">
        <f t="shared" si="9"/>
        <v>0</v>
      </c>
      <c r="H630">
        <v>1</v>
      </c>
      <c r="I630">
        <v>1</v>
      </c>
      <c r="J630">
        <v>5008</v>
      </c>
      <c r="K630">
        <v>25424</v>
      </c>
      <c r="L630" s="1">
        <v>-12496</v>
      </c>
      <c r="M630">
        <v>-12496</v>
      </c>
      <c r="N630">
        <v>50.5</v>
      </c>
      <c r="O630">
        <v>0</v>
      </c>
      <c r="P630">
        <v>65535</v>
      </c>
      <c r="Q630">
        <v>3</v>
      </c>
      <c r="R630">
        <v>-32767</v>
      </c>
      <c r="S630">
        <v>43.2</v>
      </c>
      <c r="T630">
        <v>16</v>
      </c>
      <c r="U630">
        <v>100</v>
      </c>
      <c r="V630">
        <v>34000</v>
      </c>
      <c r="W630">
        <v>5000</v>
      </c>
      <c r="X630" t="s">
        <v>823</v>
      </c>
      <c r="Y630" t="s">
        <v>838</v>
      </c>
      <c r="Z630" t="s">
        <v>828</v>
      </c>
      <c r="AA630">
        <v>12</v>
      </c>
      <c r="AB630">
        <v>6</v>
      </c>
      <c r="AC630">
        <v>76</v>
      </c>
      <c r="AD630">
        <v>4</v>
      </c>
      <c r="AE630">
        <v>1</v>
      </c>
      <c r="AF630">
        <v>5008</v>
      </c>
      <c r="AG630">
        <v>902</v>
      </c>
      <c r="AH630">
        <v>5003</v>
      </c>
      <c r="AI630">
        <v>7</v>
      </c>
      <c r="AJ630">
        <v>87</v>
      </c>
      <c r="AK630">
        <v>1648</v>
      </c>
      <c r="AL630">
        <v>4484</v>
      </c>
      <c r="AM630">
        <v>14</v>
      </c>
      <c r="AN630">
        <v>900</v>
      </c>
      <c r="AO630" t="s">
        <v>826</v>
      </c>
    </row>
    <row r="631" spans="1:41">
      <c r="A631">
        <v>623</v>
      </c>
      <c r="B631" s="2">
        <v>45296.6257291667</v>
      </c>
      <c r="C631">
        <v>912.841</v>
      </c>
      <c r="D631" t="s">
        <v>821</v>
      </c>
      <c r="E631" t="s">
        <v>822</v>
      </c>
      <c r="F631">
        <v>0</v>
      </c>
      <c r="G631">
        <f t="shared" si="9"/>
        <v>1</v>
      </c>
      <c r="H631">
        <v>1</v>
      </c>
      <c r="I631">
        <v>0</v>
      </c>
      <c r="J631">
        <v>5008</v>
      </c>
      <c r="K631">
        <v>25344</v>
      </c>
      <c r="L631" s="1">
        <v>-12496</v>
      </c>
      <c r="M631">
        <v>-12496</v>
      </c>
      <c r="N631">
        <v>50.6</v>
      </c>
      <c r="O631">
        <v>0</v>
      </c>
      <c r="P631">
        <v>65535</v>
      </c>
      <c r="Q631">
        <v>0</v>
      </c>
      <c r="R631">
        <v>-32767</v>
      </c>
      <c r="S631">
        <v>43.2</v>
      </c>
      <c r="T631">
        <v>16</v>
      </c>
      <c r="U631">
        <v>100</v>
      </c>
      <c r="V631">
        <v>34000</v>
      </c>
      <c r="W631">
        <v>5000</v>
      </c>
      <c r="X631" t="s">
        <v>823</v>
      </c>
      <c r="Y631" t="s">
        <v>838</v>
      </c>
      <c r="Z631" t="s">
        <v>828</v>
      </c>
      <c r="AA631">
        <v>12</v>
      </c>
      <c r="AB631">
        <v>6</v>
      </c>
      <c r="AC631">
        <v>76</v>
      </c>
      <c r="AD631">
        <v>4</v>
      </c>
      <c r="AE631">
        <v>-10</v>
      </c>
      <c r="AF631">
        <v>5008</v>
      </c>
      <c r="AG631">
        <v>905</v>
      </c>
      <c r="AH631">
        <v>5014</v>
      </c>
      <c r="AI631">
        <v>7</v>
      </c>
      <c r="AJ631">
        <v>87</v>
      </c>
      <c r="AK631">
        <v>1648</v>
      </c>
      <c r="AL631">
        <v>4495</v>
      </c>
      <c r="AM631">
        <v>14</v>
      </c>
      <c r="AN631">
        <v>900</v>
      </c>
      <c r="AO631" t="s">
        <v>826</v>
      </c>
    </row>
    <row r="632" spans="1:41">
      <c r="A632">
        <v>624</v>
      </c>
      <c r="B632" s="2">
        <v>45296.6257407407</v>
      </c>
      <c r="C632">
        <v>913.793</v>
      </c>
      <c r="D632" t="s">
        <v>821</v>
      </c>
      <c r="E632" t="s">
        <v>822</v>
      </c>
      <c r="F632">
        <v>0</v>
      </c>
      <c r="G632">
        <f t="shared" si="9"/>
        <v>0</v>
      </c>
      <c r="H632">
        <v>1</v>
      </c>
      <c r="I632">
        <v>0</v>
      </c>
      <c r="J632">
        <v>5008</v>
      </c>
      <c r="K632">
        <v>25296</v>
      </c>
      <c r="L632" s="1">
        <v>-12498</v>
      </c>
      <c r="M632">
        <v>-12496</v>
      </c>
      <c r="N632">
        <v>50.6</v>
      </c>
      <c r="O632">
        <v>0</v>
      </c>
      <c r="P632">
        <v>65535</v>
      </c>
      <c r="Q632">
        <v>0</v>
      </c>
      <c r="R632">
        <v>-32767</v>
      </c>
      <c r="S632">
        <v>43.2</v>
      </c>
      <c r="T632">
        <v>16</v>
      </c>
      <c r="U632">
        <v>100</v>
      </c>
      <c r="V632">
        <v>34000</v>
      </c>
      <c r="W632">
        <v>5000</v>
      </c>
      <c r="X632" t="s">
        <v>823</v>
      </c>
      <c r="Y632" t="s">
        <v>838</v>
      </c>
      <c r="Z632" t="s">
        <v>828</v>
      </c>
      <c r="AA632">
        <v>12</v>
      </c>
      <c r="AB632">
        <v>6</v>
      </c>
      <c r="AC632">
        <v>76</v>
      </c>
      <c r="AD632">
        <v>4</v>
      </c>
      <c r="AE632">
        <v>-13</v>
      </c>
      <c r="AF632">
        <v>5008</v>
      </c>
      <c r="AG632">
        <v>906</v>
      </c>
      <c r="AH632">
        <v>5017</v>
      </c>
      <c r="AI632">
        <v>7</v>
      </c>
      <c r="AJ632">
        <v>87</v>
      </c>
      <c r="AK632">
        <v>1648</v>
      </c>
      <c r="AL632">
        <v>4498</v>
      </c>
      <c r="AM632">
        <v>14</v>
      </c>
      <c r="AN632">
        <v>903</v>
      </c>
      <c r="AO632" t="s">
        <v>826</v>
      </c>
    </row>
    <row r="633" spans="1:41">
      <c r="A633">
        <v>625</v>
      </c>
      <c r="B633" s="2">
        <v>45296.6257523148</v>
      </c>
      <c r="C633">
        <v>914.732</v>
      </c>
      <c r="D633" t="s">
        <v>821</v>
      </c>
      <c r="E633" t="s">
        <v>822</v>
      </c>
      <c r="F633">
        <v>0</v>
      </c>
      <c r="G633">
        <f t="shared" si="9"/>
        <v>0</v>
      </c>
      <c r="H633">
        <v>1</v>
      </c>
      <c r="I633">
        <v>0</v>
      </c>
      <c r="J633">
        <v>5008</v>
      </c>
      <c r="K633">
        <v>25256</v>
      </c>
      <c r="L633" s="1">
        <v>-12496</v>
      </c>
      <c r="M633">
        <v>-12496</v>
      </c>
      <c r="N633">
        <v>50.7</v>
      </c>
      <c r="O633">
        <v>0</v>
      </c>
      <c r="P633">
        <v>65535</v>
      </c>
      <c r="Q633">
        <v>0</v>
      </c>
      <c r="R633">
        <v>-32767</v>
      </c>
      <c r="S633">
        <v>43.2</v>
      </c>
      <c r="T633">
        <v>16</v>
      </c>
      <c r="U633">
        <v>100</v>
      </c>
      <c r="V633">
        <v>34000</v>
      </c>
      <c r="W633">
        <v>5000</v>
      </c>
      <c r="X633" t="s">
        <v>823</v>
      </c>
      <c r="Y633" t="s">
        <v>838</v>
      </c>
      <c r="Z633" t="s">
        <v>828</v>
      </c>
      <c r="AA633">
        <v>12</v>
      </c>
      <c r="AB633">
        <v>6</v>
      </c>
      <c r="AC633">
        <v>76</v>
      </c>
      <c r="AD633">
        <v>4</v>
      </c>
      <c r="AE633">
        <v>-17</v>
      </c>
      <c r="AF633">
        <v>5008</v>
      </c>
      <c r="AG633">
        <v>907</v>
      </c>
      <c r="AH633">
        <v>5021</v>
      </c>
      <c r="AI633">
        <v>7</v>
      </c>
      <c r="AJ633">
        <v>87</v>
      </c>
      <c r="AK633">
        <v>1648</v>
      </c>
      <c r="AL633">
        <v>4502</v>
      </c>
      <c r="AM633">
        <v>14</v>
      </c>
      <c r="AN633">
        <v>902</v>
      </c>
      <c r="AO633" t="s">
        <v>826</v>
      </c>
    </row>
    <row r="634" spans="1:41">
      <c r="A634">
        <v>626</v>
      </c>
      <c r="B634" s="2">
        <v>45296.625787037</v>
      </c>
      <c r="C634">
        <v>917.099</v>
      </c>
      <c r="D634" t="s">
        <v>821</v>
      </c>
      <c r="E634" t="s">
        <v>822</v>
      </c>
      <c r="F634">
        <v>0</v>
      </c>
      <c r="G634">
        <f t="shared" si="9"/>
        <v>0</v>
      </c>
      <c r="H634">
        <v>1</v>
      </c>
      <c r="I634">
        <v>0</v>
      </c>
      <c r="J634">
        <v>5008</v>
      </c>
      <c r="K634">
        <v>25104</v>
      </c>
      <c r="L634" s="1">
        <v>-12496</v>
      </c>
      <c r="M634">
        <v>-12496</v>
      </c>
      <c r="N634">
        <v>50.8</v>
      </c>
      <c r="O634">
        <v>0</v>
      </c>
      <c r="P634">
        <v>65535</v>
      </c>
      <c r="Q634">
        <v>0</v>
      </c>
      <c r="R634">
        <v>-32767</v>
      </c>
      <c r="S634">
        <v>43.2</v>
      </c>
      <c r="T634">
        <v>16</v>
      </c>
      <c r="U634">
        <v>100</v>
      </c>
      <c r="V634">
        <v>34000</v>
      </c>
      <c r="W634">
        <v>5000</v>
      </c>
      <c r="X634" t="s">
        <v>823</v>
      </c>
      <c r="Y634" t="s">
        <v>838</v>
      </c>
      <c r="Z634" t="s">
        <v>828</v>
      </c>
      <c r="AA634">
        <v>12</v>
      </c>
      <c r="AB634">
        <v>6</v>
      </c>
      <c r="AC634">
        <v>76</v>
      </c>
      <c r="AD634">
        <v>4</v>
      </c>
      <c r="AE634">
        <v>-23</v>
      </c>
      <c r="AF634">
        <v>5008</v>
      </c>
      <c r="AG634">
        <v>909</v>
      </c>
      <c r="AH634">
        <v>5027</v>
      </c>
      <c r="AI634">
        <v>7</v>
      </c>
      <c r="AJ634">
        <v>87</v>
      </c>
      <c r="AK634">
        <v>1648</v>
      </c>
      <c r="AL634">
        <v>4508</v>
      </c>
      <c r="AM634">
        <v>14</v>
      </c>
      <c r="AN634">
        <v>906</v>
      </c>
      <c r="AO634" t="s">
        <v>826</v>
      </c>
    </row>
    <row r="635" spans="1:41">
      <c r="A635">
        <v>627</v>
      </c>
      <c r="B635" s="2">
        <v>45296.6257986111</v>
      </c>
      <c r="C635">
        <v>918.049</v>
      </c>
      <c r="D635" t="s">
        <v>821</v>
      </c>
      <c r="E635" t="s">
        <v>822</v>
      </c>
      <c r="F635">
        <v>0</v>
      </c>
      <c r="G635">
        <f t="shared" si="9"/>
        <v>0</v>
      </c>
      <c r="H635">
        <v>1</v>
      </c>
      <c r="I635">
        <v>0</v>
      </c>
      <c r="J635">
        <v>5008</v>
      </c>
      <c r="K635">
        <v>25048</v>
      </c>
      <c r="L635" s="1">
        <v>-12498</v>
      </c>
      <c r="M635">
        <v>-12496</v>
      </c>
      <c r="N635">
        <v>50.9</v>
      </c>
      <c r="O635">
        <v>0</v>
      </c>
      <c r="P635">
        <v>65535</v>
      </c>
      <c r="Q635">
        <v>0</v>
      </c>
      <c r="R635">
        <v>-32767</v>
      </c>
      <c r="S635">
        <v>43.2</v>
      </c>
      <c r="T635">
        <v>16</v>
      </c>
      <c r="U635">
        <v>100</v>
      </c>
      <c r="V635">
        <v>34000</v>
      </c>
      <c r="W635">
        <v>5000</v>
      </c>
      <c r="X635" t="s">
        <v>823</v>
      </c>
      <c r="Y635" t="s">
        <v>838</v>
      </c>
      <c r="Z635" t="s">
        <v>828</v>
      </c>
      <c r="AA635">
        <v>12</v>
      </c>
      <c r="AB635">
        <v>6</v>
      </c>
      <c r="AC635">
        <v>76</v>
      </c>
      <c r="AD635">
        <v>4</v>
      </c>
      <c r="AE635">
        <v>-27</v>
      </c>
      <c r="AF635">
        <v>5008</v>
      </c>
      <c r="AG635">
        <v>910</v>
      </c>
      <c r="AH635">
        <v>5031</v>
      </c>
      <c r="AI635">
        <v>7</v>
      </c>
      <c r="AJ635">
        <v>87</v>
      </c>
      <c r="AK635">
        <v>1648</v>
      </c>
      <c r="AL635">
        <v>4512</v>
      </c>
      <c r="AM635">
        <v>14</v>
      </c>
      <c r="AN635">
        <v>961</v>
      </c>
      <c r="AO635" t="s">
        <v>826</v>
      </c>
    </row>
    <row r="636" spans="1:41">
      <c r="A636">
        <v>628</v>
      </c>
      <c r="B636" s="2">
        <v>45296.6258101852</v>
      </c>
      <c r="C636">
        <v>919.04</v>
      </c>
      <c r="D636" t="s">
        <v>821</v>
      </c>
      <c r="E636" t="s">
        <v>822</v>
      </c>
      <c r="F636">
        <v>0</v>
      </c>
      <c r="G636">
        <f t="shared" si="9"/>
        <v>0</v>
      </c>
      <c r="H636">
        <v>1</v>
      </c>
      <c r="I636">
        <v>0</v>
      </c>
      <c r="J636">
        <v>5008</v>
      </c>
      <c r="K636">
        <v>24992</v>
      </c>
      <c r="L636" s="1">
        <v>-12496</v>
      </c>
      <c r="M636">
        <v>-12496</v>
      </c>
      <c r="N636">
        <v>50.9</v>
      </c>
      <c r="O636">
        <v>0</v>
      </c>
      <c r="P636">
        <v>65535</v>
      </c>
      <c r="Q636">
        <v>0</v>
      </c>
      <c r="R636">
        <v>-32767</v>
      </c>
      <c r="S636">
        <v>43.2</v>
      </c>
      <c r="T636">
        <v>16</v>
      </c>
      <c r="U636">
        <v>100</v>
      </c>
      <c r="V636">
        <v>34000</v>
      </c>
      <c r="W636">
        <v>5000</v>
      </c>
      <c r="X636" t="s">
        <v>823</v>
      </c>
      <c r="Y636" t="s">
        <v>838</v>
      </c>
      <c r="Z636" t="s">
        <v>828</v>
      </c>
      <c r="AA636">
        <v>12</v>
      </c>
      <c r="AB636">
        <v>6</v>
      </c>
      <c r="AC636">
        <v>76</v>
      </c>
      <c r="AD636">
        <v>4</v>
      </c>
      <c r="AE636">
        <v>-30</v>
      </c>
      <c r="AF636">
        <v>5008</v>
      </c>
      <c r="AG636">
        <v>911</v>
      </c>
      <c r="AH636">
        <v>5034</v>
      </c>
      <c r="AI636">
        <v>7</v>
      </c>
      <c r="AJ636">
        <v>87</v>
      </c>
      <c r="AK636">
        <v>1648</v>
      </c>
      <c r="AL636">
        <v>4515</v>
      </c>
      <c r="AM636">
        <v>14</v>
      </c>
      <c r="AN636">
        <v>905</v>
      </c>
      <c r="AO636" t="s">
        <v>826</v>
      </c>
    </row>
    <row r="637" spans="1:41">
      <c r="A637">
        <v>629</v>
      </c>
      <c r="B637" s="2">
        <v>45296.6258333333</v>
      </c>
      <c r="C637">
        <v>921.396</v>
      </c>
      <c r="D637" t="s">
        <v>821</v>
      </c>
      <c r="E637" t="s">
        <v>822</v>
      </c>
      <c r="F637">
        <v>0</v>
      </c>
      <c r="G637">
        <f t="shared" si="9"/>
        <v>0</v>
      </c>
      <c r="H637">
        <v>1</v>
      </c>
      <c r="I637">
        <v>0</v>
      </c>
      <c r="J637">
        <v>5008</v>
      </c>
      <c r="K637">
        <v>24880</v>
      </c>
      <c r="L637" s="1">
        <v>-12496</v>
      </c>
      <c r="M637">
        <v>-12496</v>
      </c>
      <c r="N637">
        <v>51</v>
      </c>
      <c r="O637">
        <v>0</v>
      </c>
      <c r="P637">
        <v>65535</v>
      </c>
      <c r="Q637">
        <v>0</v>
      </c>
      <c r="R637">
        <v>-32767</v>
      </c>
      <c r="S637">
        <v>43.2</v>
      </c>
      <c r="T637">
        <v>16</v>
      </c>
      <c r="U637">
        <v>100</v>
      </c>
      <c r="V637">
        <v>34000</v>
      </c>
      <c r="W637">
        <v>5000</v>
      </c>
      <c r="X637" t="s">
        <v>823</v>
      </c>
      <c r="Y637" t="s">
        <v>838</v>
      </c>
      <c r="Z637" t="s">
        <v>828</v>
      </c>
      <c r="AA637">
        <v>12</v>
      </c>
      <c r="AB637">
        <v>6</v>
      </c>
      <c r="AC637">
        <v>76</v>
      </c>
      <c r="AD637">
        <v>4</v>
      </c>
      <c r="AE637">
        <v>-37</v>
      </c>
      <c r="AF637">
        <v>5008</v>
      </c>
      <c r="AG637">
        <v>913</v>
      </c>
      <c r="AH637">
        <v>5041</v>
      </c>
      <c r="AI637">
        <v>7</v>
      </c>
      <c r="AJ637">
        <v>87</v>
      </c>
      <c r="AK637">
        <v>1648</v>
      </c>
      <c r="AL637">
        <v>4522</v>
      </c>
      <c r="AM637">
        <v>14</v>
      </c>
      <c r="AN637">
        <v>908</v>
      </c>
      <c r="AO637" t="s">
        <v>826</v>
      </c>
    </row>
    <row r="638" spans="1:41">
      <c r="A638">
        <v>630</v>
      </c>
      <c r="B638" s="2">
        <v>45296.6258449074</v>
      </c>
      <c r="C638">
        <v>922.348</v>
      </c>
      <c r="D638" t="s">
        <v>821</v>
      </c>
      <c r="E638" t="s">
        <v>822</v>
      </c>
      <c r="F638">
        <v>0</v>
      </c>
      <c r="G638">
        <f t="shared" si="9"/>
        <v>0</v>
      </c>
      <c r="H638">
        <v>1</v>
      </c>
      <c r="I638">
        <v>0</v>
      </c>
      <c r="J638">
        <v>5008</v>
      </c>
      <c r="K638">
        <v>24824</v>
      </c>
      <c r="L638" s="1">
        <v>-12498</v>
      </c>
      <c r="M638">
        <v>-12496</v>
      </c>
      <c r="N638">
        <v>51</v>
      </c>
      <c r="O638">
        <v>0</v>
      </c>
      <c r="P638">
        <v>65535</v>
      </c>
      <c r="Q638">
        <v>0</v>
      </c>
      <c r="R638">
        <v>-32767</v>
      </c>
      <c r="S638">
        <v>43.2</v>
      </c>
      <c r="T638">
        <v>16</v>
      </c>
      <c r="U638">
        <v>100</v>
      </c>
      <c r="V638">
        <v>34000</v>
      </c>
      <c r="W638">
        <v>5000</v>
      </c>
      <c r="X638" t="s">
        <v>823</v>
      </c>
      <c r="Y638" t="s">
        <v>838</v>
      </c>
      <c r="Z638" t="s">
        <v>828</v>
      </c>
      <c r="AA638">
        <v>12</v>
      </c>
      <c r="AB638">
        <v>6</v>
      </c>
      <c r="AC638">
        <v>76</v>
      </c>
      <c r="AD638">
        <v>4</v>
      </c>
      <c r="AE638">
        <v>-41</v>
      </c>
      <c r="AF638">
        <v>5008</v>
      </c>
      <c r="AG638">
        <v>914</v>
      </c>
      <c r="AH638">
        <v>5045</v>
      </c>
      <c r="AI638">
        <v>7</v>
      </c>
      <c r="AJ638">
        <v>87</v>
      </c>
      <c r="AK638">
        <v>1648</v>
      </c>
      <c r="AL638">
        <v>4526</v>
      </c>
      <c r="AM638">
        <v>14</v>
      </c>
      <c r="AN638">
        <v>909</v>
      </c>
      <c r="AO638" t="s">
        <v>826</v>
      </c>
    </row>
    <row r="639" spans="1:41">
      <c r="A639">
        <v>631</v>
      </c>
      <c r="B639" s="2">
        <v>45296.6258680556</v>
      </c>
      <c r="C639">
        <v>924.721</v>
      </c>
      <c r="D639" t="s">
        <v>821</v>
      </c>
      <c r="E639" t="s">
        <v>822</v>
      </c>
      <c r="F639">
        <v>0</v>
      </c>
      <c r="G639">
        <f t="shared" si="9"/>
        <v>0</v>
      </c>
      <c r="H639">
        <v>1</v>
      </c>
      <c r="I639">
        <v>0</v>
      </c>
      <c r="J639">
        <v>5008</v>
      </c>
      <c r="K639">
        <v>24704</v>
      </c>
      <c r="L639" s="1">
        <v>-12496</v>
      </c>
      <c r="M639">
        <v>-12496</v>
      </c>
      <c r="N639">
        <v>51.1</v>
      </c>
      <c r="O639">
        <v>0</v>
      </c>
      <c r="P639">
        <v>65535</v>
      </c>
      <c r="Q639">
        <v>0</v>
      </c>
      <c r="R639">
        <v>-32767</v>
      </c>
      <c r="S639">
        <v>43.2</v>
      </c>
      <c r="T639">
        <v>16</v>
      </c>
      <c r="U639">
        <v>100</v>
      </c>
      <c r="V639">
        <v>34000</v>
      </c>
      <c r="W639">
        <v>5000</v>
      </c>
      <c r="X639" t="s">
        <v>823</v>
      </c>
      <c r="Y639" t="s">
        <v>838</v>
      </c>
      <c r="Z639" t="s">
        <v>828</v>
      </c>
      <c r="AA639">
        <v>12</v>
      </c>
      <c r="AB639">
        <v>6</v>
      </c>
      <c r="AC639">
        <v>76</v>
      </c>
      <c r="AD639">
        <v>4</v>
      </c>
      <c r="AE639">
        <v>-51</v>
      </c>
      <c r="AF639">
        <v>5008</v>
      </c>
      <c r="AG639">
        <v>917</v>
      </c>
      <c r="AH639">
        <v>5055</v>
      </c>
      <c r="AI639">
        <v>7</v>
      </c>
      <c r="AJ639">
        <v>87</v>
      </c>
      <c r="AK639">
        <v>1648</v>
      </c>
      <c r="AL639">
        <v>4536</v>
      </c>
      <c r="AM639">
        <v>14</v>
      </c>
      <c r="AN639">
        <v>940</v>
      </c>
      <c r="AO639" t="s">
        <v>826</v>
      </c>
    </row>
    <row r="640" spans="1:41">
      <c r="A640">
        <v>632</v>
      </c>
      <c r="B640" s="2">
        <v>45296.6258796296</v>
      </c>
      <c r="C640">
        <v>925.699</v>
      </c>
      <c r="D640" t="s">
        <v>821</v>
      </c>
      <c r="E640" t="s">
        <v>822</v>
      </c>
      <c r="F640">
        <v>0</v>
      </c>
      <c r="G640">
        <f t="shared" si="9"/>
        <v>0</v>
      </c>
      <c r="H640">
        <v>1</v>
      </c>
      <c r="I640">
        <v>0</v>
      </c>
      <c r="J640">
        <v>5008</v>
      </c>
      <c r="K640">
        <v>24640</v>
      </c>
      <c r="L640" s="1">
        <v>-12496</v>
      </c>
      <c r="M640">
        <v>-12496</v>
      </c>
      <c r="N640">
        <v>51.2</v>
      </c>
      <c r="O640">
        <v>0</v>
      </c>
      <c r="P640">
        <v>65535</v>
      </c>
      <c r="Q640">
        <v>0</v>
      </c>
      <c r="R640">
        <v>-32767</v>
      </c>
      <c r="S640">
        <v>43.2</v>
      </c>
      <c r="T640">
        <v>16</v>
      </c>
      <c r="U640">
        <v>100</v>
      </c>
      <c r="V640">
        <v>34000</v>
      </c>
      <c r="W640">
        <v>5000</v>
      </c>
      <c r="X640" t="s">
        <v>823</v>
      </c>
      <c r="Y640" t="s">
        <v>838</v>
      </c>
      <c r="Z640" t="s">
        <v>828</v>
      </c>
      <c r="AA640">
        <v>12</v>
      </c>
      <c r="AB640">
        <v>6</v>
      </c>
      <c r="AC640">
        <v>76</v>
      </c>
      <c r="AD640">
        <v>4</v>
      </c>
      <c r="AE640">
        <v>-51</v>
      </c>
      <c r="AF640">
        <v>5008</v>
      </c>
      <c r="AG640">
        <v>918</v>
      </c>
      <c r="AH640">
        <v>5059</v>
      </c>
      <c r="AI640">
        <v>7</v>
      </c>
      <c r="AJ640">
        <v>87</v>
      </c>
      <c r="AK640">
        <v>1648</v>
      </c>
      <c r="AL640">
        <v>4540</v>
      </c>
      <c r="AM640">
        <v>14</v>
      </c>
      <c r="AN640">
        <v>904</v>
      </c>
      <c r="AO640" t="s">
        <v>826</v>
      </c>
    </row>
    <row r="641" spans="1:41">
      <c r="A641">
        <v>633</v>
      </c>
      <c r="B641" s="2">
        <v>45296.6258912037</v>
      </c>
      <c r="C641">
        <v>926.641</v>
      </c>
      <c r="D641" t="s">
        <v>821</v>
      </c>
      <c r="E641" t="s">
        <v>822</v>
      </c>
      <c r="F641">
        <v>0</v>
      </c>
      <c r="G641">
        <f t="shared" si="9"/>
        <v>0</v>
      </c>
      <c r="H641">
        <v>1</v>
      </c>
      <c r="I641">
        <v>0</v>
      </c>
      <c r="J641">
        <v>5008</v>
      </c>
      <c r="K641">
        <v>24568</v>
      </c>
      <c r="L641" s="1">
        <v>-12496</v>
      </c>
      <c r="M641">
        <v>-12496</v>
      </c>
      <c r="N641">
        <v>51.2</v>
      </c>
      <c r="O641">
        <v>0</v>
      </c>
      <c r="P641">
        <v>65535</v>
      </c>
      <c r="Q641">
        <v>0</v>
      </c>
      <c r="R641">
        <v>-32767</v>
      </c>
      <c r="S641">
        <v>43.2</v>
      </c>
      <c r="T641">
        <v>16</v>
      </c>
      <c r="U641">
        <v>100</v>
      </c>
      <c r="V641">
        <v>34000</v>
      </c>
      <c r="W641">
        <v>5000</v>
      </c>
      <c r="X641" t="s">
        <v>823</v>
      </c>
      <c r="Y641" t="s">
        <v>838</v>
      </c>
      <c r="Z641" t="s">
        <v>828</v>
      </c>
      <c r="AA641">
        <v>13</v>
      </c>
      <c r="AB641">
        <v>6</v>
      </c>
      <c r="AC641">
        <v>76</v>
      </c>
      <c r="AD641">
        <v>4</v>
      </c>
      <c r="AE641">
        <v>-55</v>
      </c>
      <c r="AF641">
        <v>5008</v>
      </c>
      <c r="AG641">
        <v>918</v>
      </c>
      <c r="AH641">
        <v>5059</v>
      </c>
      <c r="AI641">
        <v>7</v>
      </c>
      <c r="AJ641">
        <v>87</v>
      </c>
      <c r="AK641">
        <v>1648</v>
      </c>
      <c r="AL641">
        <v>4543</v>
      </c>
      <c r="AM641">
        <v>14</v>
      </c>
      <c r="AN641">
        <v>899</v>
      </c>
      <c r="AO641" t="s">
        <v>826</v>
      </c>
    </row>
    <row r="642" spans="1:41">
      <c r="A642">
        <v>634</v>
      </c>
      <c r="B642" s="2">
        <v>45296.6259259259</v>
      </c>
      <c r="C642">
        <v>929.017</v>
      </c>
      <c r="D642" t="s">
        <v>821</v>
      </c>
      <c r="E642" t="s">
        <v>822</v>
      </c>
      <c r="F642">
        <v>0</v>
      </c>
      <c r="G642">
        <f t="shared" si="9"/>
        <v>0</v>
      </c>
      <c r="H642">
        <v>1</v>
      </c>
      <c r="I642">
        <v>0</v>
      </c>
      <c r="J642">
        <v>5071</v>
      </c>
      <c r="K642">
        <v>24352</v>
      </c>
      <c r="L642" s="1">
        <v>-12496</v>
      </c>
      <c r="M642">
        <v>-12496</v>
      </c>
      <c r="N642">
        <v>51.3</v>
      </c>
      <c r="O642">
        <v>0</v>
      </c>
      <c r="P642">
        <v>65535</v>
      </c>
      <c r="Q642">
        <v>0</v>
      </c>
      <c r="R642">
        <v>-32767</v>
      </c>
      <c r="S642">
        <v>43.2</v>
      </c>
      <c r="T642">
        <v>16</v>
      </c>
      <c r="U642">
        <v>100</v>
      </c>
      <c r="V642">
        <v>34000</v>
      </c>
      <c r="W642">
        <v>5000</v>
      </c>
      <c r="X642" t="s">
        <v>823</v>
      </c>
      <c r="Y642" t="s">
        <v>838</v>
      </c>
      <c r="Z642" t="s">
        <v>828</v>
      </c>
      <c r="AA642">
        <v>13</v>
      </c>
      <c r="AB642">
        <v>6</v>
      </c>
      <c r="AC642">
        <v>76</v>
      </c>
      <c r="AD642">
        <v>4</v>
      </c>
      <c r="AE642">
        <v>-3</v>
      </c>
      <c r="AF642">
        <v>5070</v>
      </c>
      <c r="AG642">
        <v>921</v>
      </c>
      <c r="AH642">
        <v>5069</v>
      </c>
      <c r="AI642">
        <v>7</v>
      </c>
      <c r="AJ642">
        <v>87</v>
      </c>
      <c r="AK642">
        <v>1648</v>
      </c>
      <c r="AL642">
        <v>4550</v>
      </c>
      <c r="AM642">
        <v>14</v>
      </c>
      <c r="AN642">
        <v>914</v>
      </c>
      <c r="AO642" t="s">
        <v>826</v>
      </c>
    </row>
    <row r="643" spans="1:41">
      <c r="A643">
        <v>635</v>
      </c>
      <c r="B643" s="2">
        <v>45296.6259375</v>
      </c>
      <c r="C643">
        <v>929.969</v>
      </c>
      <c r="D643" t="s">
        <v>821</v>
      </c>
      <c r="E643" t="s">
        <v>822</v>
      </c>
      <c r="F643">
        <v>0</v>
      </c>
      <c r="G643">
        <f t="shared" ref="G643:G706" si="10">F642-F643</f>
        <v>0</v>
      </c>
      <c r="H643">
        <v>1</v>
      </c>
      <c r="I643">
        <v>0</v>
      </c>
      <c r="J643">
        <v>5070</v>
      </c>
      <c r="K643">
        <v>24352</v>
      </c>
      <c r="L643" s="1">
        <v>-12496</v>
      </c>
      <c r="M643">
        <v>-12496</v>
      </c>
      <c r="N643">
        <v>51.3</v>
      </c>
      <c r="O643">
        <v>0</v>
      </c>
      <c r="P643">
        <v>65535</v>
      </c>
      <c r="Q643">
        <v>0</v>
      </c>
      <c r="R643">
        <v>-32767</v>
      </c>
      <c r="S643">
        <v>43.3</v>
      </c>
      <c r="T643">
        <v>16</v>
      </c>
      <c r="U643">
        <v>100</v>
      </c>
      <c r="V643">
        <v>34000</v>
      </c>
      <c r="W643">
        <v>5000</v>
      </c>
      <c r="X643" t="s">
        <v>823</v>
      </c>
      <c r="Y643" t="s">
        <v>838</v>
      </c>
      <c r="Z643" t="s">
        <v>828</v>
      </c>
      <c r="AA643">
        <v>13</v>
      </c>
      <c r="AB643">
        <v>6</v>
      </c>
      <c r="AC643">
        <v>76</v>
      </c>
      <c r="AD643">
        <v>4</v>
      </c>
      <c r="AE643">
        <v>-7</v>
      </c>
      <c r="AF643">
        <v>5070</v>
      </c>
      <c r="AG643">
        <v>922</v>
      </c>
      <c r="AH643">
        <v>5073</v>
      </c>
      <c r="AI643">
        <v>7</v>
      </c>
      <c r="AJ643">
        <v>87</v>
      </c>
      <c r="AK643">
        <v>1648</v>
      </c>
      <c r="AL643">
        <v>4554</v>
      </c>
      <c r="AM643">
        <v>14</v>
      </c>
      <c r="AN643">
        <v>898</v>
      </c>
      <c r="AO643" t="s">
        <v>826</v>
      </c>
    </row>
    <row r="644" spans="1:41">
      <c r="A644">
        <v>636</v>
      </c>
      <c r="B644" s="2">
        <v>45296.6259490741</v>
      </c>
      <c r="C644">
        <v>930.91</v>
      </c>
      <c r="D644" t="s">
        <v>821</v>
      </c>
      <c r="E644" t="s">
        <v>822</v>
      </c>
      <c r="F644">
        <v>0</v>
      </c>
      <c r="G644">
        <f t="shared" si="10"/>
        <v>0</v>
      </c>
      <c r="H644">
        <v>1</v>
      </c>
      <c r="I644">
        <v>0</v>
      </c>
      <c r="J644">
        <v>5070</v>
      </c>
      <c r="K644">
        <v>24272</v>
      </c>
      <c r="L644" s="1">
        <v>-12498</v>
      </c>
      <c r="M644">
        <v>-12496</v>
      </c>
      <c r="N644">
        <v>51.3</v>
      </c>
      <c r="O644">
        <v>0</v>
      </c>
      <c r="P644">
        <v>65535</v>
      </c>
      <c r="Q644">
        <v>0</v>
      </c>
      <c r="R644">
        <v>-32767</v>
      </c>
      <c r="S644">
        <v>43.3</v>
      </c>
      <c r="T644">
        <v>16</v>
      </c>
      <c r="U644">
        <v>100</v>
      </c>
      <c r="V644">
        <v>34000</v>
      </c>
      <c r="W644">
        <v>5000</v>
      </c>
      <c r="X644" t="s">
        <v>823</v>
      </c>
      <c r="Y644" t="s">
        <v>838</v>
      </c>
      <c r="Z644" t="s">
        <v>828</v>
      </c>
      <c r="AA644">
        <v>13</v>
      </c>
      <c r="AB644">
        <v>6</v>
      </c>
      <c r="AC644">
        <v>76</v>
      </c>
      <c r="AD644">
        <v>4</v>
      </c>
      <c r="AE644">
        <v>-10</v>
      </c>
      <c r="AF644">
        <v>5070</v>
      </c>
      <c r="AG644">
        <v>923</v>
      </c>
      <c r="AH644">
        <v>5076</v>
      </c>
      <c r="AI644">
        <v>7</v>
      </c>
      <c r="AJ644">
        <v>87</v>
      </c>
      <c r="AK644">
        <v>1648</v>
      </c>
      <c r="AL644">
        <v>4557</v>
      </c>
      <c r="AM644">
        <v>14</v>
      </c>
      <c r="AN644">
        <v>911</v>
      </c>
      <c r="AO644" t="s">
        <v>826</v>
      </c>
    </row>
    <row r="645" spans="1:41">
      <c r="A645">
        <v>637</v>
      </c>
      <c r="B645" s="2">
        <v>45296.6259722222</v>
      </c>
      <c r="C645">
        <v>933.267</v>
      </c>
      <c r="D645" t="s">
        <v>821</v>
      </c>
      <c r="E645" t="s">
        <v>822</v>
      </c>
      <c r="F645">
        <v>0</v>
      </c>
      <c r="G645">
        <f t="shared" si="10"/>
        <v>0</v>
      </c>
      <c r="H645">
        <v>1</v>
      </c>
      <c r="I645">
        <v>0</v>
      </c>
      <c r="J645">
        <v>5070</v>
      </c>
      <c r="K645">
        <v>24016</v>
      </c>
      <c r="L645" s="1">
        <v>-12496</v>
      </c>
      <c r="M645">
        <v>-12496</v>
      </c>
      <c r="N645">
        <v>51.4</v>
      </c>
      <c r="O645">
        <v>0</v>
      </c>
      <c r="P645">
        <v>65535</v>
      </c>
      <c r="Q645">
        <v>0</v>
      </c>
      <c r="R645">
        <v>-32767</v>
      </c>
      <c r="S645">
        <v>43.3</v>
      </c>
      <c r="T645">
        <v>16</v>
      </c>
      <c r="U645">
        <v>100</v>
      </c>
      <c r="V645">
        <v>34000</v>
      </c>
      <c r="W645">
        <v>5000</v>
      </c>
      <c r="X645" t="s">
        <v>823</v>
      </c>
      <c r="Y645" t="s">
        <v>838</v>
      </c>
      <c r="Z645" t="s">
        <v>828</v>
      </c>
      <c r="AA645">
        <v>13</v>
      </c>
      <c r="AB645">
        <v>6</v>
      </c>
      <c r="AC645">
        <v>76</v>
      </c>
      <c r="AD645">
        <v>4</v>
      </c>
      <c r="AE645">
        <v>-17</v>
      </c>
      <c r="AF645">
        <v>5070</v>
      </c>
      <c r="AG645">
        <v>925</v>
      </c>
      <c r="AH645">
        <v>5083</v>
      </c>
      <c r="AI645">
        <v>7</v>
      </c>
      <c r="AJ645">
        <v>87</v>
      </c>
      <c r="AK645">
        <v>1648</v>
      </c>
      <c r="AL645">
        <v>4564</v>
      </c>
      <c r="AM645">
        <v>14</v>
      </c>
      <c r="AN645">
        <v>908</v>
      </c>
      <c r="AO645" t="s">
        <v>826</v>
      </c>
    </row>
    <row r="646" spans="1:41">
      <c r="A646">
        <v>638</v>
      </c>
      <c r="B646" s="2">
        <v>45296.6259837963</v>
      </c>
      <c r="C646">
        <v>934.215</v>
      </c>
      <c r="D646" t="s">
        <v>821</v>
      </c>
      <c r="E646" t="s">
        <v>822</v>
      </c>
      <c r="F646">
        <v>0</v>
      </c>
      <c r="G646">
        <f t="shared" si="10"/>
        <v>0</v>
      </c>
      <c r="H646">
        <v>1</v>
      </c>
      <c r="I646">
        <v>0</v>
      </c>
      <c r="J646">
        <v>5070</v>
      </c>
      <c r="K646">
        <v>23928</v>
      </c>
      <c r="L646" s="1">
        <v>-12496</v>
      </c>
      <c r="M646">
        <v>-12496</v>
      </c>
      <c r="N646">
        <v>51.5</v>
      </c>
      <c r="O646">
        <v>0</v>
      </c>
      <c r="P646">
        <v>65535</v>
      </c>
      <c r="Q646">
        <v>0</v>
      </c>
      <c r="R646">
        <v>-32767</v>
      </c>
      <c r="S646">
        <v>43.3</v>
      </c>
      <c r="T646">
        <v>16</v>
      </c>
      <c r="U646">
        <v>100</v>
      </c>
      <c r="V646">
        <v>34000</v>
      </c>
      <c r="W646">
        <v>5000</v>
      </c>
      <c r="X646" t="s">
        <v>823</v>
      </c>
      <c r="Y646" t="s">
        <v>838</v>
      </c>
      <c r="Z646" t="s">
        <v>828</v>
      </c>
      <c r="AA646">
        <v>13</v>
      </c>
      <c r="AB646">
        <v>6</v>
      </c>
      <c r="AC646">
        <v>76</v>
      </c>
      <c r="AD646">
        <v>4</v>
      </c>
      <c r="AE646">
        <v>-21</v>
      </c>
      <c r="AF646">
        <v>5070</v>
      </c>
      <c r="AG646">
        <v>926</v>
      </c>
      <c r="AH646">
        <v>5087</v>
      </c>
      <c r="AI646">
        <v>7</v>
      </c>
      <c r="AJ646">
        <v>87</v>
      </c>
      <c r="AK646">
        <v>1648</v>
      </c>
      <c r="AL646">
        <v>4568</v>
      </c>
      <c r="AM646">
        <v>14</v>
      </c>
      <c r="AN646">
        <v>903</v>
      </c>
      <c r="AO646" t="s">
        <v>826</v>
      </c>
    </row>
    <row r="647" spans="1:41">
      <c r="A647">
        <v>639</v>
      </c>
      <c r="B647" s="2">
        <v>45296.6259953704</v>
      </c>
      <c r="C647">
        <v>935.154</v>
      </c>
      <c r="D647" t="s">
        <v>821</v>
      </c>
      <c r="E647" t="s">
        <v>822</v>
      </c>
      <c r="F647">
        <v>0</v>
      </c>
      <c r="G647">
        <f t="shared" si="10"/>
        <v>0</v>
      </c>
      <c r="H647">
        <v>1</v>
      </c>
      <c r="I647">
        <v>0</v>
      </c>
      <c r="J647">
        <v>5070</v>
      </c>
      <c r="K647">
        <v>23832</v>
      </c>
      <c r="L647" s="1">
        <v>-12498</v>
      </c>
      <c r="M647">
        <v>-12496</v>
      </c>
      <c r="N647">
        <v>51.5</v>
      </c>
      <c r="O647">
        <v>0</v>
      </c>
      <c r="P647">
        <v>65535</v>
      </c>
      <c r="Q647">
        <v>0</v>
      </c>
      <c r="R647">
        <v>-32767</v>
      </c>
      <c r="S647">
        <v>43.3</v>
      </c>
      <c r="T647">
        <v>16</v>
      </c>
      <c r="U647">
        <v>100</v>
      </c>
      <c r="V647">
        <v>34000</v>
      </c>
      <c r="W647">
        <v>5000</v>
      </c>
      <c r="X647" t="s">
        <v>823</v>
      </c>
      <c r="Y647" t="s">
        <v>838</v>
      </c>
      <c r="Z647" t="s">
        <v>828</v>
      </c>
      <c r="AA647">
        <v>13</v>
      </c>
      <c r="AB647">
        <v>6</v>
      </c>
      <c r="AC647">
        <v>76</v>
      </c>
      <c r="AD647">
        <v>4</v>
      </c>
      <c r="AE647">
        <v>-24</v>
      </c>
      <c r="AF647">
        <v>5070</v>
      </c>
      <c r="AG647">
        <v>927</v>
      </c>
      <c r="AH647">
        <v>5090</v>
      </c>
      <c r="AI647">
        <v>7</v>
      </c>
      <c r="AJ647">
        <v>87</v>
      </c>
      <c r="AK647">
        <v>1648</v>
      </c>
      <c r="AL647">
        <v>4571</v>
      </c>
      <c r="AM647">
        <v>14</v>
      </c>
      <c r="AN647">
        <v>886</v>
      </c>
      <c r="AO647" t="s">
        <v>826</v>
      </c>
    </row>
    <row r="648" spans="1:41">
      <c r="A648">
        <v>640</v>
      </c>
      <c r="B648" s="2">
        <v>45296.6260185185</v>
      </c>
      <c r="C648">
        <v>937.495</v>
      </c>
      <c r="D648" t="s">
        <v>821</v>
      </c>
      <c r="E648" t="s">
        <v>822</v>
      </c>
      <c r="F648">
        <v>0</v>
      </c>
      <c r="G648">
        <f t="shared" si="10"/>
        <v>0</v>
      </c>
      <c r="H648">
        <v>1</v>
      </c>
      <c r="I648">
        <v>0</v>
      </c>
      <c r="J648">
        <v>5070</v>
      </c>
      <c r="K648">
        <v>23632</v>
      </c>
      <c r="L648" s="1">
        <v>-12496</v>
      </c>
      <c r="M648">
        <v>-12496</v>
      </c>
      <c r="N648">
        <v>51.6</v>
      </c>
      <c r="O648">
        <v>0</v>
      </c>
      <c r="P648">
        <v>65535</v>
      </c>
      <c r="Q648">
        <v>0</v>
      </c>
      <c r="R648">
        <v>-32767</v>
      </c>
      <c r="S648">
        <v>43.3</v>
      </c>
      <c r="T648">
        <v>16</v>
      </c>
      <c r="U648">
        <v>100</v>
      </c>
      <c r="V648">
        <v>34000</v>
      </c>
      <c r="W648">
        <v>5000</v>
      </c>
      <c r="X648" t="s">
        <v>823</v>
      </c>
      <c r="Y648" t="s">
        <v>838</v>
      </c>
      <c r="Z648" t="s">
        <v>828</v>
      </c>
      <c r="AA648">
        <v>13</v>
      </c>
      <c r="AB648">
        <v>6</v>
      </c>
      <c r="AC648">
        <v>76</v>
      </c>
      <c r="AD648">
        <v>4</v>
      </c>
      <c r="AE648">
        <v>-31</v>
      </c>
      <c r="AF648">
        <v>5070</v>
      </c>
      <c r="AG648">
        <v>929</v>
      </c>
      <c r="AH648">
        <v>5097</v>
      </c>
      <c r="AI648">
        <v>8</v>
      </c>
      <c r="AJ648">
        <v>87</v>
      </c>
      <c r="AK648">
        <v>1648</v>
      </c>
      <c r="AL648">
        <v>4578</v>
      </c>
      <c r="AM648">
        <v>15</v>
      </c>
      <c r="AN648">
        <v>905</v>
      </c>
      <c r="AO648" t="s">
        <v>826</v>
      </c>
    </row>
    <row r="649" spans="1:41">
      <c r="A649">
        <v>641</v>
      </c>
      <c r="B649" s="2">
        <v>45296.6260300926</v>
      </c>
      <c r="C649">
        <v>938.439</v>
      </c>
      <c r="D649" t="s">
        <v>821</v>
      </c>
      <c r="E649" t="s">
        <v>822</v>
      </c>
      <c r="F649">
        <v>0</v>
      </c>
      <c r="G649">
        <f t="shared" si="10"/>
        <v>0</v>
      </c>
      <c r="H649">
        <v>1</v>
      </c>
      <c r="I649">
        <v>0</v>
      </c>
      <c r="J649">
        <v>5070</v>
      </c>
      <c r="K649">
        <v>23536</v>
      </c>
      <c r="L649" s="1">
        <v>-12496</v>
      </c>
      <c r="M649">
        <v>-12496</v>
      </c>
      <c r="N649">
        <v>51.6</v>
      </c>
      <c r="O649">
        <v>0</v>
      </c>
      <c r="P649">
        <v>65535</v>
      </c>
      <c r="Q649">
        <v>0</v>
      </c>
      <c r="R649">
        <v>-32767</v>
      </c>
      <c r="S649">
        <v>43.3</v>
      </c>
      <c r="T649">
        <v>16</v>
      </c>
      <c r="U649">
        <v>100</v>
      </c>
      <c r="V649">
        <v>34000</v>
      </c>
      <c r="W649">
        <v>5000</v>
      </c>
      <c r="X649" t="s">
        <v>823</v>
      </c>
      <c r="Y649" t="s">
        <v>838</v>
      </c>
      <c r="Z649" t="s">
        <v>828</v>
      </c>
      <c r="AA649">
        <v>13</v>
      </c>
      <c r="AB649">
        <v>6</v>
      </c>
      <c r="AC649">
        <v>76</v>
      </c>
      <c r="AD649">
        <v>4</v>
      </c>
      <c r="AE649">
        <v>-34</v>
      </c>
      <c r="AF649">
        <v>5070</v>
      </c>
      <c r="AG649">
        <v>930</v>
      </c>
      <c r="AH649">
        <v>5100</v>
      </c>
      <c r="AI649">
        <v>8</v>
      </c>
      <c r="AJ649">
        <v>87</v>
      </c>
      <c r="AK649">
        <v>1648</v>
      </c>
      <c r="AL649">
        <v>4581</v>
      </c>
      <c r="AM649">
        <v>15</v>
      </c>
      <c r="AN649">
        <v>914</v>
      </c>
      <c r="AO649" t="s">
        <v>826</v>
      </c>
    </row>
    <row r="650" spans="1:41">
      <c r="A650">
        <v>642</v>
      </c>
      <c r="B650" s="2">
        <v>45296.6260532407</v>
      </c>
      <c r="C650">
        <v>940.809</v>
      </c>
      <c r="D650" t="s">
        <v>821</v>
      </c>
      <c r="E650" t="s">
        <v>822</v>
      </c>
      <c r="F650">
        <v>0</v>
      </c>
      <c r="G650">
        <f t="shared" si="10"/>
        <v>0</v>
      </c>
      <c r="H650">
        <v>1</v>
      </c>
      <c r="I650">
        <v>0</v>
      </c>
      <c r="J650">
        <v>5070</v>
      </c>
      <c r="K650">
        <v>23320</v>
      </c>
      <c r="L650" s="1">
        <v>-12496</v>
      </c>
      <c r="M650">
        <v>-12496</v>
      </c>
      <c r="N650">
        <v>51.7</v>
      </c>
      <c r="O650">
        <v>0</v>
      </c>
      <c r="P650">
        <v>65535</v>
      </c>
      <c r="Q650">
        <v>0</v>
      </c>
      <c r="R650">
        <v>-32767</v>
      </c>
      <c r="S650">
        <v>43.3</v>
      </c>
      <c r="T650">
        <v>16</v>
      </c>
      <c r="U650">
        <v>100</v>
      </c>
      <c r="V650">
        <v>34000</v>
      </c>
      <c r="W650">
        <v>5000</v>
      </c>
      <c r="X650" t="s">
        <v>823</v>
      </c>
      <c r="Y650" t="s">
        <v>838</v>
      </c>
      <c r="Z650" t="s">
        <v>828</v>
      </c>
      <c r="AA650">
        <v>13</v>
      </c>
      <c r="AB650">
        <v>6</v>
      </c>
      <c r="AC650">
        <v>76</v>
      </c>
      <c r="AD650">
        <v>4</v>
      </c>
      <c r="AE650">
        <v>-45</v>
      </c>
      <c r="AF650">
        <v>5070</v>
      </c>
      <c r="AG650">
        <v>933</v>
      </c>
      <c r="AH650">
        <v>5111</v>
      </c>
      <c r="AI650">
        <v>8</v>
      </c>
      <c r="AJ650">
        <v>87</v>
      </c>
      <c r="AK650">
        <v>1648</v>
      </c>
      <c r="AL650">
        <v>4592</v>
      </c>
      <c r="AM650">
        <v>15</v>
      </c>
      <c r="AN650">
        <v>964</v>
      </c>
      <c r="AO650" t="s">
        <v>826</v>
      </c>
    </row>
    <row r="651" spans="1:41">
      <c r="A651">
        <v>643</v>
      </c>
      <c r="B651" s="2">
        <v>45296.6260648148</v>
      </c>
      <c r="C651">
        <v>941.801</v>
      </c>
      <c r="D651" t="s">
        <v>821</v>
      </c>
      <c r="E651" t="s">
        <v>822</v>
      </c>
      <c r="F651">
        <v>0</v>
      </c>
      <c r="G651">
        <f t="shared" si="10"/>
        <v>0</v>
      </c>
      <c r="H651">
        <v>1</v>
      </c>
      <c r="I651">
        <v>0</v>
      </c>
      <c r="J651">
        <v>5070</v>
      </c>
      <c r="K651">
        <v>23200</v>
      </c>
      <c r="L651" s="1">
        <v>-12498</v>
      </c>
      <c r="M651">
        <v>-12496</v>
      </c>
      <c r="N651">
        <v>51.7</v>
      </c>
      <c r="O651">
        <v>0</v>
      </c>
      <c r="P651">
        <v>65535</v>
      </c>
      <c r="Q651">
        <v>0</v>
      </c>
      <c r="R651">
        <v>-32767</v>
      </c>
      <c r="S651">
        <v>43.3</v>
      </c>
      <c r="T651">
        <v>16</v>
      </c>
      <c r="U651">
        <v>100</v>
      </c>
      <c r="V651">
        <v>34000</v>
      </c>
      <c r="W651">
        <v>5000</v>
      </c>
      <c r="X651" t="s">
        <v>823</v>
      </c>
      <c r="Y651" t="s">
        <v>838</v>
      </c>
      <c r="Z651" t="s">
        <v>828</v>
      </c>
      <c r="AA651">
        <v>13</v>
      </c>
      <c r="AB651">
        <v>6</v>
      </c>
      <c r="AC651">
        <v>76</v>
      </c>
      <c r="AD651">
        <v>4</v>
      </c>
      <c r="AE651">
        <v>-48</v>
      </c>
      <c r="AF651">
        <v>5070</v>
      </c>
      <c r="AG651">
        <v>934</v>
      </c>
      <c r="AH651">
        <v>5114</v>
      </c>
      <c r="AI651">
        <v>8</v>
      </c>
      <c r="AJ651">
        <v>87</v>
      </c>
      <c r="AK651">
        <v>1648</v>
      </c>
      <c r="AL651">
        <v>4595</v>
      </c>
      <c r="AM651">
        <v>15</v>
      </c>
      <c r="AN651">
        <v>912</v>
      </c>
      <c r="AO651" t="s">
        <v>826</v>
      </c>
    </row>
    <row r="652" spans="1:41">
      <c r="A652">
        <v>644</v>
      </c>
      <c r="B652" s="2">
        <v>45296.6260763889</v>
      </c>
      <c r="C652">
        <v>942.748</v>
      </c>
      <c r="D652" t="s">
        <v>821</v>
      </c>
      <c r="E652" t="s">
        <v>822</v>
      </c>
      <c r="F652">
        <v>0</v>
      </c>
      <c r="G652">
        <f t="shared" si="10"/>
        <v>0</v>
      </c>
      <c r="H652">
        <v>1</v>
      </c>
      <c r="I652">
        <v>0</v>
      </c>
      <c r="J652">
        <v>5070</v>
      </c>
      <c r="K652">
        <v>23072</v>
      </c>
      <c r="L652" s="1">
        <v>-12496</v>
      </c>
      <c r="M652">
        <v>-12496</v>
      </c>
      <c r="N652">
        <v>51.7</v>
      </c>
      <c r="O652">
        <v>0</v>
      </c>
      <c r="P652">
        <v>65535</v>
      </c>
      <c r="Q652">
        <v>0</v>
      </c>
      <c r="R652">
        <v>-32767</v>
      </c>
      <c r="S652">
        <v>43.4</v>
      </c>
      <c r="T652">
        <v>16</v>
      </c>
      <c r="U652">
        <v>100</v>
      </c>
      <c r="V652">
        <v>34000</v>
      </c>
      <c r="W652">
        <v>5000</v>
      </c>
      <c r="X652" t="s">
        <v>823</v>
      </c>
      <c r="Y652" t="s">
        <v>838</v>
      </c>
      <c r="Z652" t="s">
        <v>828</v>
      </c>
      <c r="AA652">
        <v>13</v>
      </c>
      <c r="AB652">
        <v>6</v>
      </c>
      <c r="AC652">
        <v>76</v>
      </c>
      <c r="AD652">
        <v>4</v>
      </c>
      <c r="AE652">
        <v>-52</v>
      </c>
      <c r="AF652">
        <v>5070</v>
      </c>
      <c r="AG652">
        <v>935</v>
      </c>
      <c r="AH652">
        <v>5118</v>
      </c>
      <c r="AI652">
        <v>8</v>
      </c>
      <c r="AJ652">
        <v>87</v>
      </c>
      <c r="AK652">
        <v>1648</v>
      </c>
      <c r="AL652">
        <v>4599</v>
      </c>
      <c r="AM652">
        <v>15</v>
      </c>
      <c r="AN652">
        <v>901</v>
      </c>
      <c r="AO652" t="s">
        <v>826</v>
      </c>
    </row>
    <row r="653" spans="1:41">
      <c r="A653">
        <v>645</v>
      </c>
      <c r="B653" s="2">
        <v>45296.6261111111</v>
      </c>
      <c r="C653">
        <v>945.095</v>
      </c>
      <c r="D653" t="s">
        <v>821</v>
      </c>
      <c r="E653" t="s">
        <v>822</v>
      </c>
      <c r="F653">
        <v>0</v>
      </c>
      <c r="G653">
        <f t="shared" si="10"/>
        <v>0</v>
      </c>
      <c r="H653">
        <v>1</v>
      </c>
      <c r="I653">
        <v>0</v>
      </c>
      <c r="J653">
        <v>5070</v>
      </c>
      <c r="K653">
        <v>22672</v>
      </c>
      <c r="L653" s="1">
        <v>-12496</v>
      </c>
      <c r="M653">
        <v>-12496</v>
      </c>
      <c r="N653">
        <v>51.9</v>
      </c>
      <c r="O653">
        <v>0</v>
      </c>
      <c r="P653">
        <v>65535</v>
      </c>
      <c r="Q653">
        <v>0</v>
      </c>
      <c r="R653">
        <v>-32767</v>
      </c>
      <c r="S653">
        <v>43.4</v>
      </c>
      <c r="T653">
        <v>16</v>
      </c>
      <c r="U653">
        <v>100</v>
      </c>
      <c r="V653">
        <v>34000</v>
      </c>
      <c r="W653">
        <v>5000</v>
      </c>
      <c r="X653" t="s">
        <v>823</v>
      </c>
      <c r="Y653" t="s">
        <v>838</v>
      </c>
      <c r="Z653" t="s">
        <v>828</v>
      </c>
      <c r="AA653">
        <v>13</v>
      </c>
      <c r="AB653">
        <v>6</v>
      </c>
      <c r="AC653">
        <v>76</v>
      </c>
      <c r="AD653">
        <v>4</v>
      </c>
      <c r="AE653">
        <v>-59</v>
      </c>
      <c r="AF653">
        <v>5070</v>
      </c>
      <c r="AG653">
        <v>937</v>
      </c>
      <c r="AH653">
        <v>5125</v>
      </c>
      <c r="AI653">
        <v>8</v>
      </c>
      <c r="AJ653">
        <v>87</v>
      </c>
      <c r="AK653">
        <v>1648</v>
      </c>
      <c r="AL653">
        <v>4606</v>
      </c>
      <c r="AM653">
        <v>15</v>
      </c>
      <c r="AN653">
        <v>909</v>
      </c>
      <c r="AO653" t="s">
        <v>826</v>
      </c>
    </row>
    <row r="654" spans="1:41">
      <c r="A654">
        <v>646</v>
      </c>
      <c r="B654" s="2">
        <v>45296.6261226852</v>
      </c>
      <c r="C654">
        <v>946.048</v>
      </c>
      <c r="D654" t="s">
        <v>821</v>
      </c>
      <c r="E654" t="s">
        <v>822</v>
      </c>
      <c r="F654">
        <v>0</v>
      </c>
      <c r="G654">
        <f t="shared" si="10"/>
        <v>0</v>
      </c>
      <c r="H654">
        <v>1</v>
      </c>
      <c r="I654">
        <v>0</v>
      </c>
      <c r="J654">
        <v>5070</v>
      </c>
      <c r="K654">
        <v>22528</v>
      </c>
      <c r="L654" s="1">
        <v>-12498</v>
      </c>
      <c r="M654">
        <v>-12496</v>
      </c>
      <c r="N654">
        <v>51.9</v>
      </c>
      <c r="O654">
        <v>0</v>
      </c>
      <c r="P654">
        <v>65535</v>
      </c>
      <c r="Q654">
        <v>0</v>
      </c>
      <c r="R654">
        <v>-32767</v>
      </c>
      <c r="S654">
        <v>43.4</v>
      </c>
      <c r="T654">
        <v>16</v>
      </c>
      <c r="U654">
        <v>100</v>
      </c>
      <c r="V654">
        <v>34000</v>
      </c>
      <c r="W654">
        <v>5000</v>
      </c>
      <c r="X654" t="s">
        <v>823</v>
      </c>
      <c r="Y654" t="s">
        <v>838</v>
      </c>
      <c r="Z654" t="s">
        <v>828</v>
      </c>
      <c r="AA654">
        <v>13</v>
      </c>
      <c r="AB654">
        <v>6</v>
      </c>
      <c r="AC654">
        <v>76</v>
      </c>
      <c r="AD654">
        <v>4</v>
      </c>
      <c r="AE654">
        <v>-62</v>
      </c>
      <c r="AF654">
        <v>5070</v>
      </c>
      <c r="AG654">
        <v>938</v>
      </c>
      <c r="AH654">
        <v>5128</v>
      </c>
      <c r="AI654">
        <v>8</v>
      </c>
      <c r="AJ654">
        <v>87</v>
      </c>
      <c r="AK654">
        <v>1648</v>
      </c>
      <c r="AL654">
        <v>4609</v>
      </c>
      <c r="AM654">
        <v>15</v>
      </c>
      <c r="AN654">
        <v>899</v>
      </c>
      <c r="AO654" t="s">
        <v>826</v>
      </c>
    </row>
    <row r="655" spans="1:41">
      <c r="A655">
        <v>647</v>
      </c>
      <c r="B655" s="2">
        <v>45296.6261342593</v>
      </c>
      <c r="C655">
        <v>946.987</v>
      </c>
      <c r="D655" t="s">
        <v>821</v>
      </c>
      <c r="E655" t="s">
        <v>822</v>
      </c>
      <c r="F655">
        <v>0</v>
      </c>
      <c r="G655">
        <f t="shared" si="10"/>
        <v>0</v>
      </c>
      <c r="H655">
        <v>1</v>
      </c>
      <c r="I655">
        <v>0</v>
      </c>
      <c r="J655">
        <v>5070</v>
      </c>
      <c r="K655">
        <v>22528</v>
      </c>
      <c r="L655" s="1">
        <v>-12498</v>
      </c>
      <c r="M655">
        <v>-12496</v>
      </c>
      <c r="N655">
        <v>51.9</v>
      </c>
      <c r="O655">
        <v>0</v>
      </c>
      <c r="P655">
        <v>65535</v>
      </c>
      <c r="Q655">
        <v>0</v>
      </c>
      <c r="R655">
        <v>-32767</v>
      </c>
      <c r="S655">
        <v>43.4</v>
      </c>
      <c r="T655">
        <v>16</v>
      </c>
      <c r="U655">
        <v>100</v>
      </c>
      <c r="V655">
        <v>34000</v>
      </c>
      <c r="W655">
        <v>5000</v>
      </c>
      <c r="X655" t="s">
        <v>823</v>
      </c>
      <c r="Y655" t="s">
        <v>838</v>
      </c>
      <c r="Z655" t="s">
        <v>828</v>
      </c>
      <c r="AA655">
        <v>13</v>
      </c>
      <c r="AB655">
        <v>6</v>
      </c>
      <c r="AC655">
        <v>76</v>
      </c>
      <c r="AD655">
        <v>4</v>
      </c>
      <c r="AE655">
        <v>-66</v>
      </c>
      <c r="AF655">
        <v>5070</v>
      </c>
      <c r="AG655">
        <v>939</v>
      </c>
      <c r="AH655">
        <v>5132</v>
      </c>
      <c r="AI655">
        <v>8</v>
      </c>
      <c r="AJ655">
        <v>87</v>
      </c>
      <c r="AK655">
        <v>1648</v>
      </c>
      <c r="AL655">
        <v>4613</v>
      </c>
      <c r="AM655">
        <v>15</v>
      </c>
      <c r="AN655">
        <v>928</v>
      </c>
      <c r="AO655" t="s">
        <v>826</v>
      </c>
    </row>
    <row r="656" spans="1:41">
      <c r="A656">
        <v>648</v>
      </c>
      <c r="B656" s="2">
        <v>45296.6261574074</v>
      </c>
      <c r="C656">
        <v>949.383</v>
      </c>
      <c r="D656" t="s">
        <v>821</v>
      </c>
      <c r="E656" t="s">
        <v>822</v>
      </c>
      <c r="F656">
        <v>0</v>
      </c>
      <c r="G656">
        <f t="shared" si="10"/>
        <v>0</v>
      </c>
      <c r="H656">
        <v>1</v>
      </c>
      <c r="I656">
        <v>0</v>
      </c>
      <c r="J656">
        <v>5070</v>
      </c>
      <c r="K656">
        <v>22064</v>
      </c>
      <c r="L656" s="1">
        <v>-12496</v>
      </c>
      <c r="M656">
        <v>-12496</v>
      </c>
      <c r="N656">
        <v>52</v>
      </c>
      <c r="O656">
        <v>0</v>
      </c>
      <c r="P656">
        <v>65535</v>
      </c>
      <c r="Q656">
        <v>0</v>
      </c>
      <c r="R656">
        <v>-32767</v>
      </c>
      <c r="S656">
        <v>43.4</v>
      </c>
      <c r="T656">
        <v>16</v>
      </c>
      <c r="U656">
        <v>100</v>
      </c>
      <c r="V656">
        <v>34000</v>
      </c>
      <c r="W656">
        <v>5000</v>
      </c>
      <c r="X656" t="s">
        <v>823</v>
      </c>
      <c r="Y656" t="s">
        <v>839</v>
      </c>
      <c r="Z656" t="s">
        <v>828</v>
      </c>
      <c r="AA656">
        <v>13</v>
      </c>
      <c r="AB656">
        <v>6</v>
      </c>
      <c r="AC656">
        <v>76</v>
      </c>
      <c r="AD656">
        <v>4</v>
      </c>
      <c r="AE656">
        <v>-73</v>
      </c>
      <c r="AF656">
        <v>5070</v>
      </c>
      <c r="AG656">
        <v>941</v>
      </c>
      <c r="AH656">
        <v>5139</v>
      </c>
      <c r="AI656">
        <v>8</v>
      </c>
      <c r="AJ656">
        <v>87</v>
      </c>
      <c r="AK656">
        <v>1648</v>
      </c>
      <c r="AL656">
        <v>4620</v>
      </c>
      <c r="AM656">
        <v>15</v>
      </c>
      <c r="AN656">
        <v>904</v>
      </c>
      <c r="AO656" t="s">
        <v>826</v>
      </c>
    </row>
    <row r="657" spans="1:41">
      <c r="A657">
        <v>649</v>
      </c>
      <c r="B657" s="2">
        <v>45296.6261689815</v>
      </c>
      <c r="C657">
        <v>950.343</v>
      </c>
      <c r="D657" t="s">
        <v>821</v>
      </c>
      <c r="E657" t="s">
        <v>822</v>
      </c>
      <c r="F657">
        <v>0</v>
      </c>
      <c r="G657">
        <f t="shared" si="10"/>
        <v>0</v>
      </c>
      <c r="H657">
        <v>1</v>
      </c>
      <c r="I657">
        <v>0</v>
      </c>
      <c r="J657">
        <v>5070</v>
      </c>
      <c r="K657">
        <v>21896</v>
      </c>
      <c r="L657" s="1">
        <v>-12498</v>
      </c>
      <c r="M657">
        <v>-12496</v>
      </c>
      <c r="N657">
        <v>52.1</v>
      </c>
      <c r="O657">
        <v>0</v>
      </c>
      <c r="P657">
        <v>65535</v>
      </c>
      <c r="Q657">
        <v>0</v>
      </c>
      <c r="R657">
        <v>-32767</v>
      </c>
      <c r="S657">
        <v>43.4</v>
      </c>
      <c r="T657">
        <v>16</v>
      </c>
      <c r="U657">
        <v>100</v>
      </c>
      <c r="V657">
        <v>34000</v>
      </c>
      <c r="W657">
        <v>5000</v>
      </c>
      <c r="X657" t="s">
        <v>823</v>
      </c>
      <c r="Y657" t="s">
        <v>839</v>
      </c>
      <c r="Z657" t="s">
        <v>828</v>
      </c>
      <c r="AA657">
        <v>13</v>
      </c>
      <c r="AB657">
        <v>6</v>
      </c>
      <c r="AC657">
        <v>76</v>
      </c>
      <c r="AD657">
        <v>4</v>
      </c>
      <c r="AE657">
        <v>-76</v>
      </c>
      <c r="AF657">
        <v>5070</v>
      </c>
      <c r="AG657">
        <v>942</v>
      </c>
      <c r="AH657">
        <v>5142</v>
      </c>
      <c r="AI657">
        <v>8</v>
      </c>
      <c r="AJ657">
        <v>87</v>
      </c>
      <c r="AK657">
        <v>1648</v>
      </c>
      <c r="AL657">
        <v>4623</v>
      </c>
      <c r="AM657">
        <v>15</v>
      </c>
      <c r="AN657">
        <v>900</v>
      </c>
      <c r="AO657" t="s">
        <v>826</v>
      </c>
    </row>
    <row r="658" spans="1:41">
      <c r="A658">
        <v>650</v>
      </c>
      <c r="B658" s="2">
        <v>45296.6261921296</v>
      </c>
      <c r="C658">
        <v>952.718</v>
      </c>
      <c r="D658" t="s">
        <v>821</v>
      </c>
      <c r="E658" t="s">
        <v>822</v>
      </c>
      <c r="F658">
        <v>0</v>
      </c>
      <c r="G658">
        <f t="shared" si="10"/>
        <v>0</v>
      </c>
      <c r="H658">
        <v>1</v>
      </c>
      <c r="I658">
        <v>0</v>
      </c>
      <c r="J658">
        <v>5070</v>
      </c>
      <c r="K658">
        <v>21528</v>
      </c>
      <c r="L658" s="1">
        <v>-12496</v>
      </c>
      <c r="M658">
        <v>-12496</v>
      </c>
      <c r="N658">
        <v>52.2</v>
      </c>
      <c r="O658">
        <v>0</v>
      </c>
      <c r="P658">
        <v>65535</v>
      </c>
      <c r="Q658">
        <v>0</v>
      </c>
      <c r="R658">
        <v>-32767</v>
      </c>
      <c r="S658">
        <v>43.5</v>
      </c>
      <c r="T658">
        <v>16</v>
      </c>
      <c r="U658">
        <v>100</v>
      </c>
      <c r="V658">
        <v>34000</v>
      </c>
      <c r="W658">
        <v>5000</v>
      </c>
      <c r="X658" t="s">
        <v>823</v>
      </c>
      <c r="Y658" t="s">
        <v>839</v>
      </c>
      <c r="Z658" t="s">
        <v>828</v>
      </c>
      <c r="AA658">
        <v>13</v>
      </c>
      <c r="AB658">
        <v>6</v>
      </c>
      <c r="AC658">
        <v>76</v>
      </c>
      <c r="AD658">
        <v>4</v>
      </c>
      <c r="AE658">
        <v>-83</v>
      </c>
      <c r="AF658">
        <v>5070</v>
      </c>
      <c r="AG658">
        <v>945</v>
      </c>
      <c r="AH658">
        <v>5152</v>
      </c>
      <c r="AI658">
        <v>8</v>
      </c>
      <c r="AJ658">
        <v>87</v>
      </c>
      <c r="AK658">
        <v>1648</v>
      </c>
      <c r="AL658">
        <v>4633</v>
      </c>
      <c r="AM658">
        <v>15</v>
      </c>
      <c r="AN658">
        <v>899</v>
      </c>
      <c r="AO658" t="s">
        <v>826</v>
      </c>
    </row>
    <row r="659" spans="1:41">
      <c r="A659">
        <v>651</v>
      </c>
      <c r="B659" s="2">
        <v>45296.6262037037</v>
      </c>
      <c r="C659">
        <v>953.657</v>
      </c>
      <c r="D659" t="s">
        <v>821</v>
      </c>
      <c r="E659" t="s">
        <v>822</v>
      </c>
      <c r="F659">
        <v>0</v>
      </c>
      <c r="G659">
        <f t="shared" si="10"/>
        <v>0</v>
      </c>
      <c r="H659">
        <v>1</v>
      </c>
      <c r="I659">
        <v>0</v>
      </c>
      <c r="J659">
        <v>5070</v>
      </c>
      <c r="K659">
        <v>21336</v>
      </c>
      <c r="L659" s="1">
        <v>-12496</v>
      </c>
      <c r="M659">
        <v>-12496</v>
      </c>
      <c r="N659">
        <v>52.3</v>
      </c>
      <c r="O659">
        <v>0</v>
      </c>
      <c r="P659">
        <v>65535</v>
      </c>
      <c r="Q659">
        <v>0</v>
      </c>
      <c r="R659">
        <v>-32767</v>
      </c>
      <c r="S659">
        <v>43.5</v>
      </c>
      <c r="T659">
        <v>16</v>
      </c>
      <c r="U659">
        <v>100</v>
      </c>
      <c r="V659">
        <v>34000</v>
      </c>
      <c r="W659">
        <v>5000</v>
      </c>
      <c r="X659" t="s">
        <v>823</v>
      </c>
      <c r="Y659" t="s">
        <v>839</v>
      </c>
      <c r="Z659" t="s">
        <v>828</v>
      </c>
      <c r="AA659">
        <v>13</v>
      </c>
      <c r="AB659">
        <v>6</v>
      </c>
      <c r="AC659">
        <v>76</v>
      </c>
      <c r="AD659">
        <v>4</v>
      </c>
      <c r="AE659">
        <v>-86</v>
      </c>
      <c r="AF659">
        <v>5070</v>
      </c>
      <c r="AG659">
        <v>945</v>
      </c>
      <c r="AH659">
        <v>5152</v>
      </c>
      <c r="AI659">
        <v>8</v>
      </c>
      <c r="AJ659">
        <v>87</v>
      </c>
      <c r="AK659">
        <v>1648</v>
      </c>
      <c r="AL659">
        <v>4637</v>
      </c>
      <c r="AM659">
        <v>15</v>
      </c>
      <c r="AN659">
        <v>921</v>
      </c>
      <c r="AO659" t="s">
        <v>826</v>
      </c>
    </row>
    <row r="660" spans="1:41">
      <c r="A660">
        <v>652</v>
      </c>
      <c r="B660" s="2">
        <v>45296.6262152778</v>
      </c>
      <c r="C660">
        <v>954.615</v>
      </c>
      <c r="D660" t="s">
        <v>821</v>
      </c>
      <c r="E660" t="s">
        <v>822</v>
      </c>
      <c r="F660">
        <v>0</v>
      </c>
      <c r="G660">
        <f t="shared" si="10"/>
        <v>0</v>
      </c>
      <c r="H660">
        <v>1</v>
      </c>
      <c r="I660">
        <v>0</v>
      </c>
      <c r="J660">
        <v>5070</v>
      </c>
      <c r="K660">
        <v>21136</v>
      </c>
      <c r="L660" s="1">
        <v>-12496</v>
      </c>
      <c r="M660">
        <v>-12496</v>
      </c>
      <c r="N660">
        <v>52.3</v>
      </c>
      <c r="O660">
        <v>0</v>
      </c>
      <c r="P660">
        <v>65535</v>
      </c>
      <c r="Q660">
        <v>0</v>
      </c>
      <c r="R660">
        <v>-32767</v>
      </c>
      <c r="S660">
        <v>43.5</v>
      </c>
      <c r="T660">
        <v>16</v>
      </c>
      <c r="U660">
        <v>100</v>
      </c>
      <c r="V660">
        <v>34000</v>
      </c>
      <c r="W660">
        <v>5000</v>
      </c>
      <c r="X660" t="s">
        <v>823</v>
      </c>
      <c r="Y660" t="s">
        <v>839</v>
      </c>
      <c r="Z660" t="s">
        <v>828</v>
      </c>
      <c r="AA660">
        <v>13</v>
      </c>
      <c r="AB660">
        <v>6</v>
      </c>
      <c r="AC660">
        <v>76</v>
      </c>
      <c r="AD660">
        <v>4</v>
      </c>
      <c r="AE660">
        <v>-90</v>
      </c>
      <c r="AF660">
        <v>5070</v>
      </c>
      <c r="AG660">
        <v>946</v>
      </c>
      <c r="AH660">
        <v>5156</v>
      </c>
      <c r="AI660">
        <v>8</v>
      </c>
      <c r="AJ660">
        <v>87</v>
      </c>
      <c r="AK660">
        <v>1648</v>
      </c>
      <c r="AL660">
        <v>4640</v>
      </c>
      <c r="AM660">
        <v>15</v>
      </c>
      <c r="AN660">
        <v>908</v>
      </c>
      <c r="AO660" t="s">
        <v>826</v>
      </c>
    </row>
    <row r="661" spans="1:41">
      <c r="A661">
        <v>653</v>
      </c>
      <c r="B661" s="2">
        <v>45296.62625</v>
      </c>
      <c r="C661">
        <v>956.985</v>
      </c>
      <c r="D661" t="s">
        <v>821</v>
      </c>
      <c r="E661" t="s">
        <v>822</v>
      </c>
      <c r="F661">
        <v>0</v>
      </c>
      <c r="G661">
        <f t="shared" si="10"/>
        <v>0</v>
      </c>
      <c r="H661">
        <v>1</v>
      </c>
      <c r="I661">
        <v>0</v>
      </c>
      <c r="J661">
        <v>5070</v>
      </c>
      <c r="K661">
        <v>20712</v>
      </c>
      <c r="L661" s="1">
        <v>-12496</v>
      </c>
      <c r="M661">
        <v>-12496</v>
      </c>
      <c r="N661">
        <v>52.5</v>
      </c>
      <c r="O661">
        <v>0</v>
      </c>
      <c r="P661">
        <v>65535</v>
      </c>
      <c r="Q661">
        <v>0</v>
      </c>
      <c r="R661">
        <v>-32002</v>
      </c>
      <c r="S661">
        <v>43.5</v>
      </c>
      <c r="T661">
        <v>16</v>
      </c>
      <c r="U661">
        <v>100</v>
      </c>
      <c r="V661">
        <v>34000</v>
      </c>
      <c r="W661">
        <v>5000</v>
      </c>
      <c r="X661" t="s">
        <v>823</v>
      </c>
      <c r="Y661" t="s">
        <v>839</v>
      </c>
      <c r="Z661" t="s">
        <v>828</v>
      </c>
      <c r="AA661">
        <v>13</v>
      </c>
      <c r="AB661">
        <v>6</v>
      </c>
      <c r="AC661">
        <v>76</v>
      </c>
      <c r="AD661">
        <v>4</v>
      </c>
      <c r="AE661">
        <v>0</v>
      </c>
      <c r="AF661">
        <v>5170</v>
      </c>
      <c r="AG661">
        <v>949</v>
      </c>
      <c r="AH661">
        <v>5166</v>
      </c>
      <c r="AI661">
        <v>8</v>
      </c>
      <c r="AJ661">
        <v>87</v>
      </c>
      <c r="AK661">
        <v>1648</v>
      </c>
      <c r="AL661">
        <v>4647</v>
      </c>
      <c r="AM661">
        <v>15</v>
      </c>
      <c r="AN661">
        <v>926</v>
      </c>
      <c r="AO661" t="s">
        <v>826</v>
      </c>
    </row>
    <row r="662" spans="1:41">
      <c r="A662">
        <v>654</v>
      </c>
      <c r="B662" s="2">
        <v>45296.6262615741</v>
      </c>
      <c r="C662">
        <v>957.948</v>
      </c>
      <c r="D662" t="s">
        <v>821</v>
      </c>
      <c r="E662" t="s">
        <v>822</v>
      </c>
      <c r="F662">
        <v>0</v>
      </c>
      <c r="G662">
        <f t="shared" si="10"/>
        <v>0</v>
      </c>
      <c r="H662">
        <v>1</v>
      </c>
      <c r="I662">
        <v>0</v>
      </c>
      <c r="J662">
        <v>5070</v>
      </c>
      <c r="K662">
        <v>20488</v>
      </c>
      <c r="L662" s="1">
        <v>-12496</v>
      </c>
      <c r="M662">
        <v>-12496</v>
      </c>
      <c r="N662">
        <v>52.5</v>
      </c>
      <c r="O662">
        <v>0</v>
      </c>
      <c r="P662">
        <v>65535</v>
      </c>
      <c r="Q662">
        <v>0</v>
      </c>
      <c r="R662">
        <v>-31632</v>
      </c>
      <c r="S662">
        <v>43.5</v>
      </c>
      <c r="T662">
        <v>16</v>
      </c>
      <c r="U662">
        <v>100</v>
      </c>
      <c r="V662">
        <v>34000</v>
      </c>
      <c r="W662">
        <v>5000</v>
      </c>
      <c r="X662" t="s">
        <v>823</v>
      </c>
      <c r="Y662" t="s">
        <v>839</v>
      </c>
      <c r="Z662" t="s">
        <v>828</v>
      </c>
      <c r="AA662">
        <v>13</v>
      </c>
      <c r="AB662">
        <v>6</v>
      </c>
      <c r="AC662">
        <v>76</v>
      </c>
      <c r="AD662">
        <v>4</v>
      </c>
      <c r="AE662">
        <v>-4</v>
      </c>
      <c r="AF662">
        <v>5170</v>
      </c>
      <c r="AG662">
        <v>950</v>
      </c>
      <c r="AH662">
        <v>5170</v>
      </c>
      <c r="AI662">
        <v>8</v>
      </c>
      <c r="AJ662">
        <v>87</v>
      </c>
      <c r="AK662">
        <v>1648</v>
      </c>
      <c r="AL662">
        <v>4651</v>
      </c>
      <c r="AM662">
        <v>15</v>
      </c>
      <c r="AN662">
        <v>904</v>
      </c>
      <c r="AO662" t="s">
        <v>826</v>
      </c>
    </row>
    <row r="663" spans="1:41">
      <c r="A663">
        <v>655</v>
      </c>
      <c r="B663" s="2">
        <v>45296.6262615741</v>
      </c>
      <c r="C663">
        <v>958.89</v>
      </c>
      <c r="D663" t="s">
        <v>821</v>
      </c>
      <c r="E663" t="s">
        <v>822</v>
      </c>
      <c r="F663">
        <v>0</v>
      </c>
      <c r="G663">
        <f t="shared" si="10"/>
        <v>0</v>
      </c>
      <c r="H663">
        <v>1</v>
      </c>
      <c r="I663">
        <v>0</v>
      </c>
      <c r="J663">
        <v>5170</v>
      </c>
      <c r="K663">
        <v>20248</v>
      </c>
      <c r="L663" s="1">
        <v>-12498</v>
      </c>
      <c r="M663">
        <v>-12497</v>
      </c>
      <c r="N663">
        <v>52.6</v>
      </c>
      <c r="O663">
        <v>0</v>
      </c>
      <c r="P663">
        <v>65535</v>
      </c>
      <c r="Q663">
        <v>0</v>
      </c>
      <c r="R663">
        <v>-31632</v>
      </c>
      <c r="S663">
        <v>43.6</v>
      </c>
      <c r="T663">
        <v>16</v>
      </c>
      <c r="U663">
        <v>100</v>
      </c>
      <c r="V663">
        <v>34000</v>
      </c>
      <c r="W663">
        <v>5000</v>
      </c>
      <c r="X663" t="s">
        <v>823</v>
      </c>
      <c r="Y663" t="s">
        <v>839</v>
      </c>
      <c r="Z663" t="s">
        <v>828</v>
      </c>
      <c r="AA663">
        <v>13</v>
      </c>
      <c r="AB663">
        <v>6</v>
      </c>
      <c r="AC663">
        <v>76</v>
      </c>
      <c r="AD663">
        <v>4</v>
      </c>
      <c r="AE663">
        <v>-7</v>
      </c>
      <c r="AF663">
        <v>5170</v>
      </c>
      <c r="AG663">
        <v>951</v>
      </c>
      <c r="AH663">
        <v>5173</v>
      </c>
      <c r="AI663">
        <v>8</v>
      </c>
      <c r="AJ663">
        <v>87</v>
      </c>
      <c r="AK663">
        <v>1648</v>
      </c>
      <c r="AL663">
        <v>4654</v>
      </c>
      <c r="AM663">
        <v>15</v>
      </c>
      <c r="AN663">
        <v>899</v>
      </c>
      <c r="AO663" t="s">
        <v>826</v>
      </c>
    </row>
    <row r="664" spans="1:41">
      <c r="A664">
        <v>656</v>
      </c>
      <c r="B664" s="2">
        <v>45296.6262962963</v>
      </c>
      <c r="C664">
        <v>961.254</v>
      </c>
      <c r="D664" t="s">
        <v>821</v>
      </c>
      <c r="E664" t="s">
        <v>822</v>
      </c>
      <c r="F664">
        <v>0</v>
      </c>
      <c r="G664">
        <f t="shared" si="10"/>
        <v>0</v>
      </c>
      <c r="H664">
        <v>1</v>
      </c>
      <c r="I664">
        <v>0</v>
      </c>
      <c r="J664">
        <v>5170</v>
      </c>
      <c r="K664">
        <v>19480</v>
      </c>
      <c r="L664" s="1">
        <v>-12496</v>
      </c>
      <c r="M664">
        <v>-12496</v>
      </c>
      <c r="N664">
        <v>52.7</v>
      </c>
      <c r="O664">
        <v>0</v>
      </c>
      <c r="P664">
        <v>65535</v>
      </c>
      <c r="Q664">
        <v>0</v>
      </c>
      <c r="R664">
        <v>-30428</v>
      </c>
      <c r="S664">
        <v>43.6</v>
      </c>
      <c r="T664">
        <v>16</v>
      </c>
      <c r="U664">
        <v>100</v>
      </c>
      <c r="V664">
        <v>34000</v>
      </c>
      <c r="W664">
        <v>5000</v>
      </c>
      <c r="X664" t="s">
        <v>823</v>
      </c>
      <c r="Y664" t="s">
        <v>839</v>
      </c>
      <c r="Z664" t="s">
        <v>828</v>
      </c>
      <c r="AA664">
        <v>13</v>
      </c>
      <c r="AB664">
        <v>6</v>
      </c>
      <c r="AC664">
        <v>76</v>
      </c>
      <c r="AD664">
        <v>4</v>
      </c>
      <c r="AE664">
        <v>-14</v>
      </c>
      <c r="AF664">
        <v>5170</v>
      </c>
      <c r="AG664">
        <v>953</v>
      </c>
      <c r="AH664">
        <v>5180</v>
      </c>
      <c r="AI664">
        <v>8</v>
      </c>
      <c r="AJ664">
        <v>87</v>
      </c>
      <c r="AK664">
        <v>1648</v>
      </c>
      <c r="AL664">
        <v>4661</v>
      </c>
      <c r="AM664">
        <v>15</v>
      </c>
      <c r="AN664">
        <v>907</v>
      </c>
      <c r="AO664" t="s">
        <v>826</v>
      </c>
    </row>
    <row r="665" spans="1:41">
      <c r="A665">
        <v>657</v>
      </c>
      <c r="B665" s="2">
        <v>45296.6263078704</v>
      </c>
      <c r="C665">
        <v>962.202</v>
      </c>
      <c r="D665" t="s">
        <v>821</v>
      </c>
      <c r="E665" t="s">
        <v>822</v>
      </c>
      <c r="F665">
        <v>0</v>
      </c>
      <c r="G665">
        <f t="shared" si="10"/>
        <v>0</v>
      </c>
      <c r="H665">
        <v>1</v>
      </c>
      <c r="I665">
        <v>0</v>
      </c>
      <c r="J665">
        <v>5170</v>
      </c>
      <c r="K665">
        <v>19200</v>
      </c>
      <c r="L665" s="1">
        <v>-12496</v>
      </c>
      <c r="M665">
        <v>-12496</v>
      </c>
      <c r="N665">
        <v>52.8</v>
      </c>
      <c r="O665">
        <v>0</v>
      </c>
      <c r="P665">
        <v>65535</v>
      </c>
      <c r="Q665">
        <v>0</v>
      </c>
      <c r="R665">
        <v>-29990</v>
      </c>
      <c r="S665">
        <v>43.6</v>
      </c>
      <c r="T665">
        <v>16</v>
      </c>
      <c r="U665">
        <v>100</v>
      </c>
      <c r="V665">
        <v>34000</v>
      </c>
      <c r="W665">
        <v>5000</v>
      </c>
      <c r="X665" t="s">
        <v>823</v>
      </c>
      <c r="Y665" t="s">
        <v>839</v>
      </c>
      <c r="Z665" t="s">
        <v>828</v>
      </c>
      <c r="AA665">
        <v>13</v>
      </c>
      <c r="AB665">
        <v>6</v>
      </c>
      <c r="AC665">
        <v>76</v>
      </c>
      <c r="AD665">
        <v>4</v>
      </c>
      <c r="AE665">
        <v>-18</v>
      </c>
      <c r="AF665">
        <v>5170</v>
      </c>
      <c r="AG665">
        <v>954</v>
      </c>
      <c r="AH665">
        <v>5184</v>
      </c>
      <c r="AI665">
        <v>8</v>
      </c>
      <c r="AJ665">
        <v>87</v>
      </c>
      <c r="AK665">
        <v>1648</v>
      </c>
      <c r="AL665">
        <v>4665</v>
      </c>
      <c r="AM665">
        <v>15</v>
      </c>
      <c r="AN665">
        <v>901</v>
      </c>
      <c r="AO665" t="s">
        <v>826</v>
      </c>
    </row>
    <row r="666" spans="1:41">
      <c r="A666">
        <v>658</v>
      </c>
      <c r="B666" s="2">
        <v>45296.6263194444</v>
      </c>
      <c r="C666">
        <v>963.139</v>
      </c>
      <c r="D666" t="s">
        <v>821</v>
      </c>
      <c r="E666" t="s">
        <v>822</v>
      </c>
      <c r="F666">
        <v>0</v>
      </c>
      <c r="G666">
        <f t="shared" si="10"/>
        <v>0</v>
      </c>
      <c r="H666">
        <v>1</v>
      </c>
      <c r="I666">
        <v>0</v>
      </c>
      <c r="J666">
        <v>5170</v>
      </c>
      <c r="K666">
        <v>18912</v>
      </c>
      <c r="L666" s="1">
        <v>-12496</v>
      </c>
      <c r="M666">
        <v>-12496</v>
      </c>
      <c r="N666">
        <v>52.8</v>
      </c>
      <c r="O666">
        <v>0</v>
      </c>
      <c r="P666">
        <v>65535</v>
      </c>
      <c r="Q666">
        <v>0</v>
      </c>
      <c r="R666">
        <v>-29541</v>
      </c>
      <c r="S666">
        <v>43.6</v>
      </c>
      <c r="T666">
        <v>16</v>
      </c>
      <c r="U666">
        <v>100</v>
      </c>
      <c r="V666">
        <v>34000</v>
      </c>
      <c r="W666">
        <v>5000</v>
      </c>
      <c r="X666" t="s">
        <v>823</v>
      </c>
      <c r="Y666" t="s">
        <v>839</v>
      </c>
      <c r="Z666" t="s">
        <v>828</v>
      </c>
      <c r="AA666">
        <v>13</v>
      </c>
      <c r="AB666">
        <v>6</v>
      </c>
      <c r="AC666">
        <v>76</v>
      </c>
      <c r="AD666">
        <v>4</v>
      </c>
      <c r="AE666">
        <v>-21</v>
      </c>
      <c r="AF666">
        <v>5170</v>
      </c>
      <c r="AG666">
        <v>955</v>
      </c>
      <c r="AH666">
        <v>5187</v>
      </c>
      <c r="AI666">
        <v>8</v>
      </c>
      <c r="AJ666">
        <v>87</v>
      </c>
      <c r="AK666">
        <v>1648</v>
      </c>
      <c r="AL666">
        <v>4668</v>
      </c>
      <c r="AM666">
        <v>15</v>
      </c>
      <c r="AN666">
        <v>901</v>
      </c>
      <c r="AO666" t="s">
        <v>826</v>
      </c>
    </row>
    <row r="667" spans="1:41">
      <c r="A667">
        <v>659</v>
      </c>
      <c r="B667" s="2">
        <v>45296.6263425926</v>
      </c>
      <c r="C667">
        <v>965.483</v>
      </c>
      <c r="D667" t="s">
        <v>821</v>
      </c>
      <c r="E667" t="s">
        <v>822</v>
      </c>
      <c r="F667">
        <v>0</v>
      </c>
      <c r="G667">
        <f t="shared" si="10"/>
        <v>0</v>
      </c>
      <c r="H667">
        <v>1</v>
      </c>
      <c r="I667">
        <v>0</v>
      </c>
      <c r="J667">
        <v>5170</v>
      </c>
      <c r="K667">
        <v>18304</v>
      </c>
      <c r="L667" s="1">
        <v>-12496</v>
      </c>
      <c r="M667">
        <v>-12496</v>
      </c>
      <c r="N667">
        <v>53</v>
      </c>
      <c r="O667">
        <v>0</v>
      </c>
      <c r="P667">
        <v>65535</v>
      </c>
      <c r="Q667">
        <v>0</v>
      </c>
      <c r="R667">
        <v>-28591</v>
      </c>
      <c r="S667">
        <v>43.7</v>
      </c>
      <c r="T667">
        <v>16</v>
      </c>
      <c r="U667">
        <v>100</v>
      </c>
      <c r="V667">
        <v>34000</v>
      </c>
      <c r="W667">
        <v>5000</v>
      </c>
      <c r="X667" t="s">
        <v>823</v>
      </c>
      <c r="Y667" t="s">
        <v>839</v>
      </c>
      <c r="Z667" t="s">
        <v>828</v>
      </c>
      <c r="AA667">
        <v>13</v>
      </c>
      <c r="AB667">
        <v>6</v>
      </c>
      <c r="AC667">
        <v>76</v>
      </c>
      <c r="AD667">
        <v>4</v>
      </c>
      <c r="AE667">
        <v>-28</v>
      </c>
      <c r="AF667">
        <v>5170</v>
      </c>
      <c r="AG667">
        <v>957</v>
      </c>
      <c r="AH667">
        <v>5194</v>
      </c>
      <c r="AI667">
        <v>8</v>
      </c>
      <c r="AJ667">
        <v>87</v>
      </c>
      <c r="AK667">
        <v>1648</v>
      </c>
      <c r="AL667">
        <v>4675</v>
      </c>
      <c r="AM667">
        <v>15</v>
      </c>
      <c r="AN667">
        <v>913</v>
      </c>
      <c r="AO667" t="s">
        <v>826</v>
      </c>
    </row>
    <row r="668" spans="1:41">
      <c r="A668">
        <v>660</v>
      </c>
      <c r="B668" s="2">
        <v>45296.6263541667</v>
      </c>
      <c r="C668">
        <v>966.433</v>
      </c>
      <c r="D668" t="s">
        <v>821</v>
      </c>
      <c r="E668" t="s">
        <v>822</v>
      </c>
      <c r="F668">
        <v>0</v>
      </c>
      <c r="G668">
        <f t="shared" si="10"/>
        <v>0</v>
      </c>
      <c r="H668">
        <v>1</v>
      </c>
      <c r="I668">
        <v>0</v>
      </c>
      <c r="J668">
        <v>5170</v>
      </c>
      <c r="K668">
        <v>17976</v>
      </c>
      <c r="L668" s="1">
        <v>-12496</v>
      </c>
      <c r="M668">
        <v>-12496</v>
      </c>
      <c r="N668">
        <v>53</v>
      </c>
      <c r="O668">
        <v>0</v>
      </c>
      <c r="P668">
        <v>65535</v>
      </c>
      <c r="Q668">
        <v>0</v>
      </c>
      <c r="R668">
        <v>-28079</v>
      </c>
      <c r="S668">
        <v>43.7</v>
      </c>
      <c r="T668">
        <v>16</v>
      </c>
      <c r="U668">
        <v>100</v>
      </c>
      <c r="V668">
        <v>34000</v>
      </c>
      <c r="W668">
        <v>5000</v>
      </c>
      <c r="X668" t="s">
        <v>823</v>
      </c>
      <c r="Y668" t="s">
        <v>839</v>
      </c>
      <c r="Z668" t="s">
        <v>828</v>
      </c>
      <c r="AA668">
        <v>13</v>
      </c>
      <c r="AB668">
        <v>6</v>
      </c>
      <c r="AC668">
        <v>76</v>
      </c>
      <c r="AD668">
        <v>4</v>
      </c>
      <c r="AE668">
        <v>-32</v>
      </c>
      <c r="AF668">
        <v>5170</v>
      </c>
      <c r="AG668">
        <v>958</v>
      </c>
      <c r="AH668">
        <v>5198</v>
      </c>
      <c r="AI668">
        <v>8</v>
      </c>
      <c r="AJ668">
        <v>87</v>
      </c>
      <c r="AK668">
        <v>1648</v>
      </c>
      <c r="AL668">
        <v>4679</v>
      </c>
      <c r="AM668">
        <v>15</v>
      </c>
      <c r="AN668">
        <v>903</v>
      </c>
      <c r="AO668" t="s">
        <v>826</v>
      </c>
    </row>
    <row r="669" spans="1:41">
      <c r="A669">
        <v>661</v>
      </c>
      <c r="B669" s="2">
        <v>45296.6263773148</v>
      </c>
      <c r="C669">
        <v>968.781</v>
      </c>
      <c r="D669" t="s">
        <v>821</v>
      </c>
      <c r="E669" t="s">
        <v>822</v>
      </c>
      <c r="F669">
        <v>0</v>
      </c>
      <c r="G669">
        <f t="shared" si="10"/>
        <v>0</v>
      </c>
      <c r="H669">
        <v>1</v>
      </c>
      <c r="I669">
        <v>0</v>
      </c>
      <c r="J669">
        <v>5170</v>
      </c>
      <c r="K669">
        <v>17288</v>
      </c>
      <c r="L669" s="1">
        <v>-12495</v>
      </c>
      <c r="M669">
        <v>-12496</v>
      </c>
      <c r="N669">
        <v>53.2</v>
      </c>
      <c r="O669">
        <v>0</v>
      </c>
      <c r="P669">
        <v>65535</v>
      </c>
      <c r="Q669">
        <v>0</v>
      </c>
      <c r="R669">
        <v>-27002</v>
      </c>
      <c r="S669">
        <v>43.7</v>
      </c>
      <c r="T669">
        <v>16</v>
      </c>
      <c r="U669">
        <v>100</v>
      </c>
      <c r="V669">
        <v>34000</v>
      </c>
      <c r="W669">
        <v>5000</v>
      </c>
      <c r="X669" t="s">
        <v>823</v>
      </c>
      <c r="Y669" t="s">
        <v>839</v>
      </c>
      <c r="Z669" t="s">
        <v>828</v>
      </c>
      <c r="AA669">
        <v>13</v>
      </c>
      <c r="AB669">
        <v>6</v>
      </c>
      <c r="AC669">
        <v>76</v>
      </c>
      <c r="AD669">
        <v>4</v>
      </c>
      <c r="AE669">
        <v>-42</v>
      </c>
      <c r="AF669">
        <v>5170</v>
      </c>
      <c r="AG669">
        <v>961</v>
      </c>
      <c r="AH669">
        <v>5208</v>
      </c>
      <c r="AI669">
        <v>8</v>
      </c>
      <c r="AJ669">
        <v>87</v>
      </c>
      <c r="AK669">
        <v>1648</v>
      </c>
      <c r="AL669">
        <v>4689</v>
      </c>
      <c r="AM669">
        <v>15</v>
      </c>
      <c r="AN669">
        <v>912</v>
      </c>
      <c r="AO669" t="s">
        <v>826</v>
      </c>
    </row>
    <row r="670" spans="1:41">
      <c r="A670">
        <v>662</v>
      </c>
      <c r="B670" s="2">
        <v>45296.6263888889</v>
      </c>
      <c r="C670">
        <v>969.733</v>
      </c>
      <c r="D670" t="s">
        <v>821</v>
      </c>
      <c r="E670" t="s">
        <v>822</v>
      </c>
      <c r="F670">
        <v>0</v>
      </c>
      <c r="G670">
        <f t="shared" si="10"/>
        <v>0</v>
      </c>
      <c r="H670">
        <v>1</v>
      </c>
      <c r="I670">
        <v>0</v>
      </c>
      <c r="J670">
        <v>5170</v>
      </c>
      <c r="K670">
        <v>16936</v>
      </c>
      <c r="L670" s="1">
        <v>-12496</v>
      </c>
      <c r="M670">
        <v>-12496</v>
      </c>
      <c r="N670">
        <v>53.2</v>
      </c>
      <c r="O670">
        <v>0</v>
      </c>
      <c r="P670">
        <v>65535</v>
      </c>
      <c r="Q670">
        <v>0</v>
      </c>
      <c r="R670">
        <v>-26454</v>
      </c>
      <c r="S670">
        <v>43.7</v>
      </c>
      <c r="T670">
        <v>16</v>
      </c>
      <c r="U670">
        <v>100</v>
      </c>
      <c r="V670">
        <v>34000</v>
      </c>
      <c r="W670">
        <v>5000</v>
      </c>
      <c r="X670" t="s">
        <v>823</v>
      </c>
      <c r="Y670" t="s">
        <v>839</v>
      </c>
      <c r="Z670" t="s">
        <v>828</v>
      </c>
      <c r="AA670">
        <v>13</v>
      </c>
      <c r="AB670">
        <v>6</v>
      </c>
      <c r="AC670">
        <v>76</v>
      </c>
      <c r="AD670">
        <v>4</v>
      </c>
      <c r="AE670">
        <v>-45</v>
      </c>
      <c r="AF670">
        <v>5170</v>
      </c>
      <c r="AG670">
        <v>962</v>
      </c>
      <c r="AH670">
        <v>5211</v>
      </c>
      <c r="AI670">
        <v>8</v>
      </c>
      <c r="AJ670">
        <v>87</v>
      </c>
      <c r="AK670">
        <v>1648</v>
      </c>
      <c r="AL670">
        <v>4692</v>
      </c>
      <c r="AM670">
        <v>15</v>
      </c>
      <c r="AN670">
        <v>917</v>
      </c>
      <c r="AO670" t="s">
        <v>826</v>
      </c>
    </row>
    <row r="671" spans="1:41">
      <c r="A671">
        <v>663</v>
      </c>
      <c r="B671" s="2">
        <v>45296.626400463</v>
      </c>
      <c r="C671">
        <v>970.685</v>
      </c>
      <c r="D671" t="s">
        <v>821</v>
      </c>
      <c r="E671" t="s">
        <v>822</v>
      </c>
      <c r="F671">
        <v>0</v>
      </c>
      <c r="G671">
        <f t="shared" si="10"/>
        <v>0</v>
      </c>
      <c r="H671">
        <v>1</v>
      </c>
      <c r="I671">
        <v>0</v>
      </c>
      <c r="J671">
        <v>5170</v>
      </c>
      <c r="K671">
        <v>16568</v>
      </c>
      <c r="L671" s="1">
        <v>-12495</v>
      </c>
      <c r="M671">
        <v>-12496</v>
      </c>
      <c r="N671">
        <v>53.3</v>
      </c>
      <c r="O671">
        <v>0</v>
      </c>
      <c r="P671">
        <v>65535</v>
      </c>
      <c r="Q671">
        <v>0</v>
      </c>
      <c r="R671">
        <v>-25877</v>
      </c>
      <c r="S671">
        <v>43.7</v>
      </c>
      <c r="T671">
        <v>16</v>
      </c>
      <c r="U671">
        <v>100</v>
      </c>
      <c r="V671">
        <v>34000</v>
      </c>
      <c r="W671">
        <v>5000</v>
      </c>
      <c r="X671" t="s">
        <v>823</v>
      </c>
      <c r="Y671" t="s">
        <v>839</v>
      </c>
      <c r="Z671" t="s">
        <v>828</v>
      </c>
      <c r="AA671">
        <v>13</v>
      </c>
      <c r="AB671">
        <v>6</v>
      </c>
      <c r="AC671">
        <v>76</v>
      </c>
      <c r="AD671">
        <v>4</v>
      </c>
      <c r="AE671">
        <v>-45</v>
      </c>
      <c r="AF671">
        <v>5170</v>
      </c>
      <c r="AG671">
        <v>962</v>
      </c>
      <c r="AH671">
        <v>5215</v>
      </c>
      <c r="AI671">
        <v>8</v>
      </c>
      <c r="AJ671">
        <v>87</v>
      </c>
      <c r="AK671">
        <v>1648</v>
      </c>
      <c r="AL671">
        <v>4696</v>
      </c>
      <c r="AM671">
        <v>15</v>
      </c>
      <c r="AN671">
        <v>901</v>
      </c>
      <c r="AO671" t="s">
        <v>826</v>
      </c>
    </row>
    <row r="672" spans="1:41">
      <c r="A672">
        <v>664</v>
      </c>
      <c r="B672" s="2">
        <v>45296.6264351852</v>
      </c>
      <c r="C672">
        <v>973.038</v>
      </c>
      <c r="D672" t="s">
        <v>821</v>
      </c>
      <c r="E672" t="s">
        <v>822</v>
      </c>
      <c r="F672">
        <v>0</v>
      </c>
      <c r="G672">
        <f t="shared" si="10"/>
        <v>0</v>
      </c>
      <c r="H672">
        <v>1</v>
      </c>
      <c r="I672">
        <v>0</v>
      </c>
      <c r="J672">
        <v>5170</v>
      </c>
      <c r="K672">
        <v>15432</v>
      </c>
      <c r="L672" s="1">
        <v>-12496</v>
      </c>
      <c r="M672">
        <v>-12496</v>
      </c>
      <c r="N672">
        <v>53.6</v>
      </c>
      <c r="O672">
        <v>0</v>
      </c>
      <c r="P672">
        <v>65535</v>
      </c>
      <c r="Q672">
        <v>0</v>
      </c>
      <c r="R672">
        <v>-24105</v>
      </c>
      <c r="S672">
        <v>43.8</v>
      </c>
      <c r="T672">
        <v>16</v>
      </c>
      <c r="U672">
        <v>100</v>
      </c>
      <c r="V672">
        <v>34000</v>
      </c>
      <c r="W672">
        <v>5000</v>
      </c>
      <c r="X672" t="s">
        <v>823</v>
      </c>
      <c r="Y672" t="s">
        <v>839</v>
      </c>
      <c r="Z672" t="s">
        <v>828</v>
      </c>
      <c r="AA672">
        <v>13</v>
      </c>
      <c r="AB672">
        <v>6</v>
      </c>
      <c r="AC672">
        <v>76</v>
      </c>
      <c r="AD672">
        <v>4</v>
      </c>
      <c r="AE672">
        <v>-56</v>
      </c>
      <c r="AF672">
        <v>5170</v>
      </c>
      <c r="AG672">
        <v>965</v>
      </c>
      <c r="AH672">
        <v>5222</v>
      </c>
      <c r="AI672">
        <v>8</v>
      </c>
      <c r="AJ672">
        <v>87</v>
      </c>
      <c r="AK672">
        <v>1648</v>
      </c>
      <c r="AL672">
        <v>4703</v>
      </c>
      <c r="AM672">
        <v>15</v>
      </c>
      <c r="AN672">
        <v>935</v>
      </c>
      <c r="AO672" t="s">
        <v>826</v>
      </c>
    </row>
    <row r="673" spans="1:41">
      <c r="A673">
        <v>665</v>
      </c>
      <c r="B673" s="2">
        <v>45296.6264467593</v>
      </c>
      <c r="C673">
        <v>974.009</v>
      </c>
      <c r="D673" t="s">
        <v>821</v>
      </c>
      <c r="E673" t="s">
        <v>822</v>
      </c>
      <c r="F673">
        <v>0</v>
      </c>
      <c r="G673">
        <f t="shared" si="10"/>
        <v>0</v>
      </c>
      <c r="H673">
        <v>1</v>
      </c>
      <c r="I673">
        <v>0</v>
      </c>
      <c r="J673">
        <v>5170</v>
      </c>
      <c r="K673">
        <v>15432</v>
      </c>
      <c r="L673" s="1">
        <v>-12496</v>
      </c>
      <c r="M673">
        <v>-12496</v>
      </c>
      <c r="N673">
        <v>53.7</v>
      </c>
      <c r="O673">
        <v>0</v>
      </c>
      <c r="P673">
        <v>65535</v>
      </c>
      <c r="Q673">
        <v>0</v>
      </c>
      <c r="R673">
        <v>-23491</v>
      </c>
      <c r="S673">
        <v>43.8</v>
      </c>
      <c r="T673">
        <v>16</v>
      </c>
      <c r="U673">
        <v>100</v>
      </c>
      <c r="V673">
        <v>34000</v>
      </c>
      <c r="W673">
        <v>5000</v>
      </c>
      <c r="X673" t="s">
        <v>823</v>
      </c>
      <c r="Y673" t="s">
        <v>839</v>
      </c>
      <c r="Z673" t="s">
        <v>828</v>
      </c>
      <c r="AA673">
        <v>13</v>
      </c>
      <c r="AB673">
        <v>6</v>
      </c>
      <c r="AC673">
        <v>76</v>
      </c>
      <c r="AD673">
        <v>4</v>
      </c>
      <c r="AE673">
        <v>-59</v>
      </c>
      <c r="AF673">
        <v>5170</v>
      </c>
      <c r="AG673">
        <v>966</v>
      </c>
      <c r="AH673">
        <v>5225</v>
      </c>
      <c r="AI673">
        <v>8</v>
      </c>
      <c r="AJ673">
        <v>87</v>
      </c>
      <c r="AK673">
        <v>1648</v>
      </c>
      <c r="AL673">
        <v>4706</v>
      </c>
      <c r="AM673">
        <v>15</v>
      </c>
      <c r="AN673">
        <v>906</v>
      </c>
      <c r="AO673" t="s">
        <v>826</v>
      </c>
    </row>
    <row r="674" spans="1:41">
      <c r="A674">
        <v>666</v>
      </c>
      <c r="B674" s="2">
        <v>45296.6264583333</v>
      </c>
      <c r="C674">
        <v>974.954</v>
      </c>
      <c r="D674" t="s">
        <v>821</v>
      </c>
      <c r="E674" t="s">
        <v>822</v>
      </c>
      <c r="F674">
        <v>0</v>
      </c>
      <c r="G674">
        <f t="shared" si="10"/>
        <v>0</v>
      </c>
      <c r="H674">
        <v>1</v>
      </c>
      <c r="I674">
        <v>0</v>
      </c>
      <c r="J674">
        <v>5170</v>
      </c>
      <c r="K674">
        <v>15040</v>
      </c>
      <c r="L674" s="1">
        <v>-12495</v>
      </c>
      <c r="M674">
        <v>-12496</v>
      </c>
      <c r="N674">
        <v>53.7</v>
      </c>
      <c r="O674">
        <v>0</v>
      </c>
      <c r="P674">
        <v>65535</v>
      </c>
      <c r="Q674">
        <v>0</v>
      </c>
      <c r="R674">
        <v>-22880</v>
      </c>
      <c r="S674">
        <v>43.8</v>
      </c>
      <c r="T674">
        <v>16</v>
      </c>
      <c r="U674">
        <v>100</v>
      </c>
      <c r="V674">
        <v>34000</v>
      </c>
      <c r="W674">
        <v>5000</v>
      </c>
      <c r="X674" t="s">
        <v>823</v>
      </c>
      <c r="Y674" t="s">
        <v>839</v>
      </c>
      <c r="Z674" t="s">
        <v>828</v>
      </c>
      <c r="AA674">
        <v>13</v>
      </c>
      <c r="AB674">
        <v>6</v>
      </c>
      <c r="AC674">
        <v>76</v>
      </c>
      <c r="AD674">
        <v>4</v>
      </c>
      <c r="AE674">
        <v>-63</v>
      </c>
      <c r="AF674">
        <v>5170</v>
      </c>
      <c r="AG674">
        <v>967</v>
      </c>
      <c r="AH674">
        <v>5229</v>
      </c>
      <c r="AI674">
        <v>8</v>
      </c>
      <c r="AJ674">
        <v>87</v>
      </c>
      <c r="AK674">
        <v>1648</v>
      </c>
      <c r="AL674">
        <v>4710</v>
      </c>
      <c r="AM674">
        <v>15</v>
      </c>
      <c r="AN674">
        <v>915</v>
      </c>
      <c r="AO674" t="s">
        <v>826</v>
      </c>
    </row>
    <row r="675" spans="1:41">
      <c r="A675">
        <v>667</v>
      </c>
      <c r="B675" s="2">
        <v>45296.6264814815</v>
      </c>
      <c r="C675">
        <v>977.328</v>
      </c>
      <c r="D675" t="s">
        <v>821</v>
      </c>
      <c r="E675" t="s">
        <v>822</v>
      </c>
      <c r="F675">
        <v>0</v>
      </c>
      <c r="G675">
        <f t="shared" si="10"/>
        <v>0</v>
      </c>
      <c r="H675">
        <v>1</v>
      </c>
      <c r="I675">
        <v>0</v>
      </c>
      <c r="J675">
        <v>5170</v>
      </c>
      <c r="K675">
        <v>13856</v>
      </c>
      <c r="L675" s="1">
        <v>-12496</v>
      </c>
      <c r="M675">
        <v>-12496</v>
      </c>
      <c r="N675">
        <v>54</v>
      </c>
      <c r="O675">
        <v>0</v>
      </c>
      <c r="P675">
        <v>65535</v>
      </c>
      <c r="Q675">
        <v>0</v>
      </c>
      <c r="R675">
        <v>-21643</v>
      </c>
      <c r="S675">
        <v>43.8</v>
      </c>
      <c r="T675">
        <v>16</v>
      </c>
      <c r="U675">
        <v>100</v>
      </c>
      <c r="V675">
        <v>34000</v>
      </c>
      <c r="W675">
        <v>5000</v>
      </c>
      <c r="X675" t="s">
        <v>823</v>
      </c>
      <c r="Y675" t="s">
        <v>839</v>
      </c>
      <c r="Z675" t="s">
        <v>828</v>
      </c>
      <c r="AA675">
        <v>14</v>
      </c>
      <c r="AB675">
        <v>6</v>
      </c>
      <c r="AC675">
        <v>76</v>
      </c>
      <c r="AD675">
        <v>4</v>
      </c>
      <c r="AE675">
        <v>-70</v>
      </c>
      <c r="AF675">
        <v>5170</v>
      </c>
      <c r="AG675">
        <v>969</v>
      </c>
      <c r="AH675">
        <v>5236</v>
      </c>
      <c r="AI675">
        <v>8</v>
      </c>
      <c r="AJ675">
        <v>87</v>
      </c>
      <c r="AK675">
        <v>1648</v>
      </c>
      <c r="AL675">
        <v>4717</v>
      </c>
      <c r="AM675">
        <v>15</v>
      </c>
      <c r="AN675">
        <v>910</v>
      </c>
      <c r="AO675" t="s">
        <v>826</v>
      </c>
    </row>
    <row r="676" spans="1:41">
      <c r="A676">
        <v>668</v>
      </c>
      <c r="B676" s="2">
        <v>45296.6264930556</v>
      </c>
      <c r="C676">
        <v>978.28</v>
      </c>
      <c r="D676" t="s">
        <v>821</v>
      </c>
      <c r="E676" t="s">
        <v>822</v>
      </c>
      <c r="F676">
        <v>0</v>
      </c>
      <c r="G676">
        <f t="shared" si="10"/>
        <v>0</v>
      </c>
      <c r="H676">
        <v>1</v>
      </c>
      <c r="I676">
        <v>0</v>
      </c>
      <c r="J676">
        <v>5170</v>
      </c>
      <c r="K676">
        <v>13472</v>
      </c>
      <c r="L676" s="1">
        <v>-12496</v>
      </c>
      <c r="M676">
        <v>-12496</v>
      </c>
      <c r="N676">
        <v>54.1</v>
      </c>
      <c r="O676">
        <v>0</v>
      </c>
      <c r="P676">
        <v>65535</v>
      </c>
      <c r="Q676">
        <v>0</v>
      </c>
      <c r="R676">
        <v>-21043</v>
      </c>
      <c r="S676">
        <v>43.8</v>
      </c>
      <c r="T676">
        <v>16</v>
      </c>
      <c r="U676">
        <v>100</v>
      </c>
      <c r="V676">
        <v>34000</v>
      </c>
      <c r="W676">
        <v>5000</v>
      </c>
      <c r="X676" t="s">
        <v>823</v>
      </c>
      <c r="Y676" t="s">
        <v>839</v>
      </c>
      <c r="Z676" t="s">
        <v>828</v>
      </c>
      <c r="AA676">
        <v>14</v>
      </c>
      <c r="AB676">
        <v>6</v>
      </c>
      <c r="AC676">
        <v>76</v>
      </c>
      <c r="AD676">
        <v>4</v>
      </c>
      <c r="AE676">
        <v>-73</v>
      </c>
      <c r="AF676">
        <v>5170</v>
      </c>
      <c r="AG676">
        <v>970</v>
      </c>
      <c r="AH676">
        <v>5239</v>
      </c>
      <c r="AI676">
        <v>8</v>
      </c>
      <c r="AJ676">
        <v>87</v>
      </c>
      <c r="AK676">
        <v>1648</v>
      </c>
      <c r="AL676">
        <v>4720</v>
      </c>
      <c r="AM676">
        <v>15</v>
      </c>
      <c r="AN676">
        <v>901</v>
      </c>
      <c r="AO676" t="s">
        <v>826</v>
      </c>
    </row>
    <row r="677" spans="1:41">
      <c r="A677">
        <v>669</v>
      </c>
      <c r="B677" s="2">
        <v>45296.6265046296</v>
      </c>
      <c r="C677">
        <v>979.217</v>
      </c>
      <c r="D677" t="s">
        <v>821</v>
      </c>
      <c r="E677" t="s">
        <v>822</v>
      </c>
      <c r="F677">
        <v>0</v>
      </c>
      <c r="G677">
        <f t="shared" si="10"/>
        <v>0</v>
      </c>
      <c r="H677">
        <v>1</v>
      </c>
      <c r="I677">
        <v>0</v>
      </c>
      <c r="J677">
        <v>5170</v>
      </c>
      <c r="K677">
        <v>13088</v>
      </c>
      <c r="L677" s="1">
        <v>-12496</v>
      </c>
      <c r="M677">
        <v>-12496</v>
      </c>
      <c r="N677">
        <v>54.2</v>
      </c>
      <c r="O677">
        <v>0</v>
      </c>
      <c r="P677">
        <v>65535</v>
      </c>
      <c r="Q677">
        <v>0</v>
      </c>
      <c r="R677">
        <v>-20443</v>
      </c>
      <c r="S677">
        <v>43.8</v>
      </c>
      <c r="T677">
        <v>16</v>
      </c>
      <c r="U677">
        <v>100</v>
      </c>
      <c r="V677">
        <v>34000</v>
      </c>
      <c r="W677">
        <v>5000</v>
      </c>
      <c r="X677" t="s">
        <v>823</v>
      </c>
      <c r="Y677" t="s">
        <v>839</v>
      </c>
      <c r="Z677" t="s">
        <v>828</v>
      </c>
      <c r="AA677">
        <v>14</v>
      </c>
      <c r="AB677">
        <v>6</v>
      </c>
      <c r="AC677">
        <v>76</v>
      </c>
      <c r="AD677">
        <v>4</v>
      </c>
      <c r="AE677">
        <v>-77</v>
      </c>
      <c r="AF677">
        <v>5170</v>
      </c>
      <c r="AG677">
        <v>971</v>
      </c>
      <c r="AH677">
        <v>5243</v>
      </c>
      <c r="AI677">
        <v>8</v>
      </c>
      <c r="AJ677">
        <v>87</v>
      </c>
      <c r="AK677">
        <v>1648</v>
      </c>
      <c r="AL677">
        <v>4724</v>
      </c>
      <c r="AM677">
        <v>15</v>
      </c>
      <c r="AN677">
        <v>902</v>
      </c>
      <c r="AO677" t="s">
        <v>826</v>
      </c>
    </row>
    <row r="678" spans="1:41">
      <c r="A678">
        <v>670</v>
      </c>
      <c r="B678" s="2">
        <v>45296.6265277778</v>
      </c>
      <c r="C678">
        <v>981.559</v>
      </c>
      <c r="D678" t="s">
        <v>821</v>
      </c>
      <c r="E678" t="s">
        <v>822</v>
      </c>
      <c r="F678">
        <v>0</v>
      </c>
      <c r="G678">
        <f t="shared" si="10"/>
        <v>0</v>
      </c>
      <c r="H678">
        <v>1</v>
      </c>
      <c r="I678">
        <v>0</v>
      </c>
      <c r="J678">
        <v>5170</v>
      </c>
      <c r="K678">
        <v>12336</v>
      </c>
      <c r="L678" s="1">
        <v>-12495</v>
      </c>
      <c r="M678">
        <v>-12496</v>
      </c>
      <c r="N678">
        <v>54.4</v>
      </c>
      <c r="O678">
        <v>0</v>
      </c>
      <c r="P678">
        <v>65535</v>
      </c>
      <c r="Q678">
        <v>0</v>
      </c>
      <c r="R678">
        <v>-19267</v>
      </c>
      <c r="S678">
        <v>43.8</v>
      </c>
      <c r="T678">
        <v>16</v>
      </c>
      <c r="U678">
        <v>100</v>
      </c>
      <c r="V678">
        <v>34000</v>
      </c>
      <c r="W678">
        <v>5000</v>
      </c>
      <c r="X678" t="s">
        <v>823</v>
      </c>
      <c r="Y678" t="s">
        <v>839</v>
      </c>
      <c r="Z678" t="s">
        <v>828</v>
      </c>
      <c r="AA678">
        <v>14</v>
      </c>
      <c r="AB678">
        <v>6</v>
      </c>
      <c r="AC678">
        <v>76</v>
      </c>
      <c r="AD678">
        <v>4</v>
      </c>
      <c r="AE678">
        <v>-84</v>
      </c>
      <c r="AF678">
        <v>5170</v>
      </c>
      <c r="AG678">
        <v>973</v>
      </c>
      <c r="AH678">
        <v>5250</v>
      </c>
      <c r="AI678">
        <v>8</v>
      </c>
      <c r="AJ678">
        <v>87</v>
      </c>
      <c r="AK678">
        <v>1648</v>
      </c>
      <c r="AL678">
        <v>4731</v>
      </c>
      <c r="AM678">
        <v>15</v>
      </c>
      <c r="AN678">
        <v>918</v>
      </c>
      <c r="AO678" t="s">
        <v>826</v>
      </c>
    </row>
    <row r="679" spans="1:41">
      <c r="A679">
        <v>671</v>
      </c>
      <c r="B679" s="2">
        <v>45296.6265393519</v>
      </c>
      <c r="C679">
        <v>982.513</v>
      </c>
      <c r="D679" t="s">
        <v>821</v>
      </c>
      <c r="E679" t="s">
        <v>822</v>
      </c>
      <c r="F679">
        <v>0</v>
      </c>
      <c r="G679">
        <f t="shared" si="10"/>
        <v>0</v>
      </c>
      <c r="H679">
        <v>1</v>
      </c>
      <c r="I679">
        <v>0</v>
      </c>
      <c r="J679">
        <v>5170</v>
      </c>
      <c r="K679">
        <v>11976</v>
      </c>
      <c r="L679" s="1">
        <v>-12496</v>
      </c>
      <c r="M679">
        <v>-12496</v>
      </c>
      <c r="N679">
        <v>54.5</v>
      </c>
      <c r="O679">
        <v>0</v>
      </c>
      <c r="P679">
        <v>65535</v>
      </c>
      <c r="Q679">
        <v>0</v>
      </c>
      <c r="R679">
        <v>-18707</v>
      </c>
      <c r="S679">
        <v>43.8</v>
      </c>
      <c r="T679">
        <v>16</v>
      </c>
      <c r="U679">
        <v>100</v>
      </c>
      <c r="V679">
        <v>34000</v>
      </c>
      <c r="W679">
        <v>5000</v>
      </c>
      <c r="X679" t="s">
        <v>823</v>
      </c>
      <c r="Y679" t="s">
        <v>839</v>
      </c>
      <c r="Z679" t="s">
        <v>828</v>
      </c>
      <c r="AA679">
        <v>14</v>
      </c>
      <c r="AB679">
        <v>6</v>
      </c>
      <c r="AC679">
        <v>76</v>
      </c>
      <c r="AD679">
        <v>4</v>
      </c>
      <c r="AE679">
        <v>-87</v>
      </c>
      <c r="AF679">
        <v>5170</v>
      </c>
      <c r="AG679">
        <v>974</v>
      </c>
      <c r="AH679">
        <v>5253</v>
      </c>
      <c r="AI679">
        <v>8</v>
      </c>
      <c r="AJ679">
        <v>87</v>
      </c>
      <c r="AK679">
        <v>1648</v>
      </c>
      <c r="AL679">
        <v>4734</v>
      </c>
      <c r="AM679">
        <v>15</v>
      </c>
      <c r="AN679">
        <v>935</v>
      </c>
      <c r="AO679" t="s">
        <v>826</v>
      </c>
    </row>
    <row r="680" spans="1:41">
      <c r="A680">
        <v>672</v>
      </c>
      <c r="B680" s="2">
        <v>45296.6265625</v>
      </c>
      <c r="C680">
        <v>984.894</v>
      </c>
      <c r="D680" t="s">
        <v>821</v>
      </c>
      <c r="E680" t="s">
        <v>840</v>
      </c>
      <c r="F680">
        <v>0</v>
      </c>
      <c r="G680">
        <f t="shared" si="10"/>
        <v>0</v>
      </c>
      <c r="H680">
        <v>1</v>
      </c>
      <c r="I680">
        <v>0</v>
      </c>
      <c r="J680">
        <v>5170</v>
      </c>
      <c r="K680">
        <v>11304</v>
      </c>
      <c r="L680" s="1">
        <v>-12495</v>
      </c>
      <c r="M680">
        <v>-12496</v>
      </c>
      <c r="N680">
        <v>54.8</v>
      </c>
      <c r="O680">
        <v>0</v>
      </c>
      <c r="P680">
        <v>65535</v>
      </c>
      <c r="Q680">
        <v>0</v>
      </c>
      <c r="R680">
        <v>-17655</v>
      </c>
      <c r="S680">
        <v>43.8</v>
      </c>
      <c r="T680">
        <v>16</v>
      </c>
      <c r="U680">
        <v>100</v>
      </c>
      <c r="V680">
        <v>34000</v>
      </c>
      <c r="W680">
        <v>5000</v>
      </c>
      <c r="X680" t="s">
        <v>823</v>
      </c>
      <c r="Y680" t="s">
        <v>839</v>
      </c>
      <c r="Z680" t="s">
        <v>828</v>
      </c>
      <c r="AA680">
        <v>14</v>
      </c>
      <c r="AB680">
        <v>6</v>
      </c>
      <c r="AC680">
        <v>76</v>
      </c>
      <c r="AD680">
        <v>4</v>
      </c>
      <c r="AE680">
        <v>-98</v>
      </c>
      <c r="AF680">
        <v>5170</v>
      </c>
      <c r="AG680">
        <v>977</v>
      </c>
      <c r="AH680">
        <v>5264</v>
      </c>
      <c r="AI680">
        <v>8</v>
      </c>
      <c r="AJ680">
        <v>87</v>
      </c>
      <c r="AK680">
        <v>1648</v>
      </c>
      <c r="AL680">
        <v>4745</v>
      </c>
      <c r="AM680">
        <v>15</v>
      </c>
      <c r="AN680">
        <v>906</v>
      </c>
      <c r="AO680" t="s">
        <v>826</v>
      </c>
    </row>
    <row r="681" spans="1:41">
      <c r="A681">
        <v>673</v>
      </c>
      <c r="B681" s="2">
        <v>45296.6265740741</v>
      </c>
      <c r="C681">
        <v>985.842</v>
      </c>
      <c r="D681" t="s">
        <v>821</v>
      </c>
      <c r="E681" t="s">
        <v>840</v>
      </c>
      <c r="F681">
        <v>0</v>
      </c>
      <c r="G681">
        <f t="shared" si="10"/>
        <v>0</v>
      </c>
      <c r="H681">
        <v>1</v>
      </c>
      <c r="I681">
        <v>0</v>
      </c>
      <c r="J681">
        <v>5170</v>
      </c>
      <c r="K681">
        <v>10992</v>
      </c>
      <c r="L681" s="1">
        <v>-12496</v>
      </c>
      <c r="M681">
        <v>-12496</v>
      </c>
      <c r="N681">
        <v>54.9</v>
      </c>
      <c r="O681">
        <v>0</v>
      </c>
      <c r="P681">
        <v>65535</v>
      </c>
      <c r="Q681">
        <v>0</v>
      </c>
      <c r="R681">
        <v>-17170</v>
      </c>
      <c r="S681">
        <v>43.8</v>
      </c>
      <c r="T681">
        <v>16</v>
      </c>
      <c r="U681">
        <v>100</v>
      </c>
      <c r="V681">
        <v>34000</v>
      </c>
      <c r="W681">
        <v>5000</v>
      </c>
      <c r="X681" t="s">
        <v>823</v>
      </c>
      <c r="Y681" t="s">
        <v>839</v>
      </c>
      <c r="Z681" t="s">
        <v>828</v>
      </c>
      <c r="AA681">
        <v>14</v>
      </c>
      <c r="AB681">
        <v>6</v>
      </c>
      <c r="AC681">
        <v>76</v>
      </c>
      <c r="AD681">
        <v>4</v>
      </c>
      <c r="AE681">
        <v>-101</v>
      </c>
      <c r="AF681">
        <v>5170</v>
      </c>
      <c r="AG681">
        <v>978</v>
      </c>
      <c r="AH681">
        <v>5267</v>
      </c>
      <c r="AI681">
        <v>8</v>
      </c>
      <c r="AJ681">
        <v>87</v>
      </c>
      <c r="AK681">
        <v>1648</v>
      </c>
      <c r="AL681">
        <v>4748</v>
      </c>
      <c r="AM681">
        <v>15</v>
      </c>
      <c r="AN681">
        <v>903</v>
      </c>
      <c r="AO681" t="s">
        <v>826</v>
      </c>
    </row>
    <row r="682" spans="1:41">
      <c r="A682">
        <v>674</v>
      </c>
      <c r="B682" s="2">
        <v>45296.6265856481</v>
      </c>
      <c r="C682">
        <v>986.782</v>
      </c>
      <c r="D682" t="s">
        <v>821</v>
      </c>
      <c r="E682" t="s">
        <v>840</v>
      </c>
      <c r="F682">
        <v>0</v>
      </c>
      <c r="G682">
        <f t="shared" si="10"/>
        <v>0</v>
      </c>
      <c r="H682">
        <v>1</v>
      </c>
      <c r="I682">
        <v>0</v>
      </c>
      <c r="J682">
        <v>5170</v>
      </c>
      <c r="K682">
        <v>10704</v>
      </c>
      <c r="L682" s="1">
        <v>-12496</v>
      </c>
      <c r="M682">
        <v>-12496</v>
      </c>
      <c r="N682">
        <v>55.1</v>
      </c>
      <c r="O682">
        <v>0</v>
      </c>
      <c r="P682">
        <v>65535</v>
      </c>
      <c r="Q682">
        <v>0</v>
      </c>
      <c r="R682">
        <v>-16720</v>
      </c>
      <c r="S682">
        <v>43.8</v>
      </c>
      <c r="T682">
        <v>16</v>
      </c>
      <c r="U682">
        <v>100</v>
      </c>
      <c r="V682">
        <v>0</v>
      </c>
      <c r="W682">
        <v>0</v>
      </c>
      <c r="X682" t="s">
        <v>823</v>
      </c>
      <c r="Y682" t="s">
        <v>839</v>
      </c>
      <c r="Z682" t="s">
        <v>828</v>
      </c>
      <c r="AA682">
        <v>14</v>
      </c>
      <c r="AB682">
        <v>6</v>
      </c>
      <c r="AC682">
        <v>76</v>
      </c>
      <c r="AD682">
        <v>4</v>
      </c>
      <c r="AE682">
        <v>0</v>
      </c>
      <c r="AF682">
        <v>5274</v>
      </c>
      <c r="AG682">
        <v>979</v>
      </c>
      <c r="AH682">
        <v>5270</v>
      </c>
      <c r="AI682">
        <v>8</v>
      </c>
      <c r="AJ682">
        <v>87</v>
      </c>
      <c r="AK682">
        <v>1648</v>
      </c>
      <c r="AL682">
        <v>4751</v>
      </c>
      <c r="AM682">
        <v>15</v>
      </c>
      <c r="AN682">
        <v>914</v>
      </c>
      <c r="AO682" t="s">
        <v>826</v>
      </c>
    </row>
    <row r="683" spans="1:41">
      <c r="A683">
        <v>675</v>
      </c>
      <c r="B683" s="2">
        <v>45296.6266203704</v>
      </c>
      <c r="C683">
        <v>989.141</v>
      </c>
      <c r="D683" t="s">
        <v>821</v>
      </c>
      <c r="E683" t="s">
        <v>840</v>
      </c>
      <c r="F683">
        <v>0</v>
      </c>
      <c r="G683">
        <f t="shared" si="10"/>
        <v>0</v>
      </c>
      <c r="H683">
        <v>1</v>
      </c>
      <c r="I683">
        <v>0</v>
      </c>
      <c r="J683">
        <v>5274</v>
      </c>
      <c r="K683">
        <v>9968</v>
      </c>
      <c r="L683" s="1">
        <v>-12496</v>
      </c>
      <c r="M683">
        <v>-12496</v>
      </c>
      <c r="N683">
        <v>55.5</v>
      </c>
      <c r="O683">
        <v>0</v>
      </c>
      <c r="P683">
        <v>65535</v>
      </c>
      <c r="Q683">
        <v>0</v>
      </c>
      <c r="R683">
        <v>-15570</v>
      </c>
      <c r="S683">
        <v>43.8</v>
      </c>
      <c r="T683">
        <v>16</v>
      </c>
      <c r="U683">
        <v>100</v>
      </c>
      <c r="V683">
        <v>0</v>
      </c>
      <c r="W683">
        <v>0</v>
      </c>
      <c r="X683" t="s">
        <v>823</v>
      </c>
      <c r="Y683" t="s">
        <v>839</v>
      </c>
      <c r="Z683" t="s">
        <v>828</v>
      </c>
      <c r="AA683">
        <v>14</v>
      </c>
      <c r="AB683">
        <v>6</v>
      </c>
      <c r="AC683">
        <v>76</v>
      </c>
      <c r="AD683">
        <v>4</v>
      </c>
      <c r="AE683">
        <v>-7</v>
      </c>
      <c r="AF683">
        <v>5274</v>
      </c>
      <c r="AG683">
        <v>981</v>
      </c>
      <c r="AH683">
        <v>5277</v>
      </c>
      <c r="AI683">
        <v>8</v>
      </c>
      <c r="AJ683">
        <v>87</v>
      </c>
      <c r="AK683">
        <v>1648</v>
      </c>
      <c r="AL683">
        <v>4758</v>
      </c>
      <c r="AM683">
        <v>15</v>
      </c>
      <c r="AN683">
        <v>913</v>
      </c>
      <c r="AO683" t="s">
        <v>826</v>
      </c>
    </row>
    <row r="684" spans="1:41">
      <c r="A684">
        <v>676</v>
      </c>
      <c r="B684" s="2">
        <v>45296.6266319444</v>
      </c>
      <c r="C684">
        <v>990.091</v>
      </c>
      <c r="D684" t="s">
        <v>821</v>
      </c>
      <c r="E684" t="s">
        <v>840</v>
      </c>
      <c r="F684">
        <v>0</v>
      </c>
      <c r="G684">
        <f t="shared" si="10"/>
        <v>0</v>
      </c>
      <c r="H684">
        <v>1</v>
      </c>
      <c r="I684">
        <v>0</v>
      </c>
      <c r="J684">
        <v>5274</v>
      </c>
      <c r="K684">
        <v>9768</v>
      </c>
      <c r="L684" s="1">
        <v>-12496</v>
      </c>
      <c r="M684">
        <v>-12496</v>
      </c>
      <c r="N684">
        <v>55.7</v>
      </c>
      <c r="O684">
        <v>0</v>
      </c>
      <c r="P684">
        <v>65535</v>
      </c>
      <c r="Q684">
        <v>0</v>
      </c>
      <c r="R684">
        <v>-15258</v>
      </c>
      <c r="S684">
        <v>43.8</v>
      </c>
      <c r="T684">
        <v>16</v>
      </c>
      <c r="U684">
        <v>100</v>
      </c>
      <c r="V684">
        <v>0</v>
      </c>
      <c r="W684">
        <v>0</v>
      </c>
      <c r="X684" t="s">
        <v>823</v>
      </c>
      <c r="Y684" t="s">
        <v>839</v>
      </c>
      <c r="Z684" t="s">
        <v>828</v>
      </c>
      <c r="AA684">
        <v>14</v>
      </c>
      <c r="AB684">
        <v>6</v>
      </c>
      <c r="AC684">
        <v>76</v>
      </c>
      <c r="AD684">
        <v>4</v>
      </c>
      <c r="AE684">
        <v>-11</v>
      </c>
      <c r="AF684">
        <v>5274</v>
      </c>
      <c r="AG684">
        <v>982</v>
      </c>
      <c r="AH684">
        <v>5281</v>
      </c>
      <c r="AI684">
        <v>8</v>
      </c>
      <c r="AJ684">
        <v>87</v>
      </c>
      <c r="AK684">
        <v>1648</v>
      </c>
      <c r="AL684">
        <v>4762</v>
      </c>
      <c r="AM684">
        <v>15</v>
      </c>
      <c r="AN684">
        <v>918</v>
      </c>
      <c r="AO684" t="s">
        <v>826</v>
      </c>
    </row>
    <row r="685" spans="1:41">
      <c r="A685">
        <v>677</v>
      </c>
      <c r="B685" s="2">
        <v>45296.6266435185</v>
      </c>
      <c r="C685">
        <v>991.044</v>
      </c>
      <c r="D685" t="s">
        <v>821</v>
      </c>
      <c r="E685" t="s">
        <v>840</v>
      </c>
      <c r="F685">
        <v>0</v>
      </c>
      <c r="G685">
        <f t="shared" si="10"/>
        <v>0</v>
      </c>
      <c r="H685">
        <v>1</v>
      </c>
      <c r="I685">
        <v>0</v>
      </c>
      <c r="J685">
        <v>5274</v>
      </c>
      <c r="K685">
        <v>9584</v>
      </c>
      <c r="L685" s="1">
        <v>-12496</v>
      </c>
      <c r="M685">
        <v>-12496</v>
      </c>
      <c r="N685">
        <v>55.9</v>
      </c>
      <c r="O685">
        <v>0</v>
      </c>
      <c r="P685">
        <v>65535</v>
      </c>
      <c r="Q685">
        <v>0</v>
      </c>
      <c r="R685">
        <v>-14970</v>
      </c>
      <c r="S685">
        <v>43.8</v>
      </c>
      <c r="T685">
        <v>16</v>
      </c>
      <c r="U685">
        <v>100</v>
      </c>
      <c r="V685">
        <v>0</v>
      </c>
      <c r="W685">
        <v>0</v>
      </c>
      <c r="X685" t="s">
        <v>823</v>
      </c>
      <c r="Y685" t="s">
        <v>839</v>
      </c>
      <c r="Z685" t="s">
        <v>828</v>
      </c>
      <c r="AA685">
        <v>14</v>
      </c>
      <c r="AB685">
        <v>6</v>
      </c>
      <c r="AC685">
        <v>76</v>
      </c>
      <c r="AD685">
        <v>4</v>
      </c>
      <c r="AE685">
        <v>-14</v>
      </c>
      <c r="AF685">
        <v>5274</v>
      </c>
      <c r="AG685">
        <v>983</v>
      </c>
      <c r="AH685">
        <v>5284</v>
      </c>
      <c r="AI685">
        <v>8</v>
      </c>
      <c r="AJ685">
        <v>87</v>
      </c>
      <c r="AK685">
        <v>1648</v>
      </c>
      <c r="AL685">
        <v>4765</v>
      </c>
      <c r="AM685">
        <v>15</v>
      </c>
      <c r="AN685">
        <v>903</v>
      </c>
      <c r="AO685" t="s">
        <v>826</v>
      </c>
    </row>
    <row r="686" spans="1:41">
      <c r="A686">
        <v>678</v>
      </c>
      <c r="B686" s="2">
        <v>45296.6266666667</v>
      </c>
      <c r="C686">
        <v>993.389</v>
      </c>
      <c r="D686" t="s">
        <v>821</v>
      </c>
      <c r="E686" t="s">
        <v>840</v>
      </c>
      <c r="F686">
        <v>0</v>
      </c>
      <c r="G686">
        <f t="shared" si="10"/>
        <v>0</v>
      </c>
      <c r="H686">
        <v>1</v>
      </c>
      <c r="I686">
        <v>0</v>
      </c>
      <c r="J686">
        <v>5274</v>
      </c>
      <c r="K686">
        <v>9264</v>
      </c>
      <c r="L686" s="1">
        <v>-12495</v>
      </c>
      <c r="M686">
        <v>-12496</v>
      </c>
      <c r="N686">
        <v>56.2</v>
      </c>
      <c r="O686">
        <v>0</v>
      </c>
      <c r="P686">
        <v>65535</v>
      </c>
      <c r="Q686">
        <v>0</v>
      </c>
      <c r="R686">
        <v>-14469</v>
      </c>
      <c r="S686">
        <v>43.8</v>
      </c>
      <c r="T686">
        <v>16</v>
      </c>
      <c r="U686">
        <v>100</v>
      </c>
      <c r="V686">
        <v>0</v>
      </c>
      <c r="W686">
        <v>0</v>
      </c>
      <c r="X686" t="s">
        <v>823</v>
      </c>
      <c r="Y686" t="s">
        <v>839</v>
      </c>
      <c r="Z686" t="s">
        <v>828</v>
      </c>
      <c r="AA686">
        <v>14</v>
      </c>
      <c r="AB686">
        <v>6</v>
      </c>
      <c r="AC686">
        <v>76</v>
      </c>
      <c r="AD686">
        <v>4</v>
      </c>
      <c r="AE686">
        <v>-21</v>
      </c>
      <c r="AF686">
        <v>5274</v>
      </c>
      <c r="AG686">
        <v>985</v>
      </c>
      <c r="AH686">
        <v>5291</v>
      </c>
      <c r="AI686">
        <v>8</v>
      </c>
      <c r="AJ686">
        <v>87</v>
      </c>
      <c r="AK686">
        <v>1648</v>
      </c>
      <c r="AL686">
        <v>4772</v>
      </c>
      <c r="AM686">
        <v>15</v>
      </c>
      <c r="AN686">
        <v>926</v>
      </c>
      <c r="AO686" t="s">
        <v>826</v>
      </c>
    </row>
    <row r="687" spans="1:41">
      <c r="A687">
        <v>679</v>
      </c>
      <c r="B687" s="2">
        <v>45296.6266782407</v>
      </c>
      <c r="C687">
        <v>994.353</v>
      </c>
      <c r="D687" t="s">
        <v>821</v>
      </c>
      <c r="E687" t="s">
        <v>840</v>
      </c>
      <c r="F687">
        <v>0</v>
      </c>
      <c r="G687">
        <f t="shared" si="10"/>
        <v>0</v>
      </c>
      <c r="H687">
        <v>1</v>
      </c>
      <c r="I687">
        <v>0</v>
      </c>
      <c r="J687">
        <v>5274</v>
      </c>
      <c r="K687">
        <v>9120</v>
      </c>
      <c r="L687" s="1">
        <v>-12496</v>
      </c>
      <c r="M687">
        <v>-12496</v>
      </c>
      <c r="N687">
        <v>56.3</v>
      </c>
      <c r="O687">
        <v>0</v>
      </c>
      <c r="P687">
        <v>65535</v>
      </c>
      <c r="Q687">
        <v>0</v>
      </c>
      <c r="R687">
        <v>-14245</v>
      </c>
      <c r="S687">
        <v>43.8</v>
      </c>
      <c r="T687">
        <v>16</v>
      </c>
      <c r="U687">
        <v>100</v>
      </c>
      <c r="V687">
        <v>0</v>
      </c>
      <c r="W687">
        <v>0</v>
      </c>
      <c r="X687" t="s">
        <v>823</v>
      </c>
      <c r="Y687" t="s">
        <v>839</v>
      </c>
      <c r="Z687" t="s">
        <v>828</v>
      </c>
      <c r="AA687">
        <v>14</v>
      </c>
      <c r="AB687">
        <v>6</v>
      </c>
      <c r="AC687">
        <v>76</v>
      </c>
      <c r="AD687">
        <v>4</v>
      </c>
      <c r="AE687">
        <v>-25</v>
      </c>
      <c r="AF687">
        <v>5274</v>
      </c>
      <c r="AG687">
        <v>986</v>
      </c>
      <c r="AH687">
        <v>5295</v>
      </c>
      <c r="AI687">
        <v>8</v>
      </c>
      <c r="AJ687">
        <v>87</v>
      </c>
      <c r="AK687">
        <v>1648</v>
      </c>
      <c r="AL687">
        <v>4776</v>
      </c>
      <c r="AM687">
        <v>15</v>
      </c>
      <c r="AN687">
        <v>906</v>
      </c>
      <c r="AO687" t="s">
        <v>826</v>
      </c>
    </row>
    <row r="688" spans="1:41">
      <c r="A688">
        <v>680</v>
      </c>
      <c r="B688" s="2">
        <v>45296.6266898148</v>
      </c>
      <c r="C688">
        <v>995.298</v>
      </c>
      <c r="D688" t="s">
        <v>821</v>
      </c>
      <c r="E688" t="s">
        <v>840</v>
      </c>
      <c r="F688">
        <v>0</v>
      </c>
      <c r="G688">
        <f t="shared" si="10"/>
        <v>0</v>
      </c>
      <c r="H688">
        <v>1</v>
      </c>
      <c r="I688">
        <v>0</v>
      </c>
      <c r="J688">
        <v>5274</v>
      </c>
      <c r="K688">
        <v>8976</v>
      </c>
      <c r="L688" s="1">
        <v>-12496</v>
      </c>
      <c r="M688">
        <v>-12496</v>
      </c>
      <c r="N688">
        <v>56.5</v>
      </c>
      <c r="O688">
        <v>0</v>
      </c>
      <c r="P688">
        <v>65535</v>
      </c>
      <c r="Q688">
        <v>0</v>
      </c>
      <c r="R688">
        <v>-14021</v>
      </c>
      <c r="S688">
        <v>43.9</v>
      </c>
      <c r="T688">
        <v>16</v>
      </c>
      <c r="U688">
        <v>100</v>
      </c>
      <c r="V688">
        <v>0</v>
      </c>
      <c r="W688">
        <v>0</v>
      </c>
      <c r="X688" t="s">
        <v>823</v>
      </c>
      <c r="Y688" t="s">
        <v>839</v>
      </c>
      <c r="Z688" t="s">
        <v>828</v>
      </c>
      <c r="AA688">
        <v>14</v>
      </c>
      <c r="AB688">
        <v>6</v>
      </c>
      <c r="AC688">
        <v>76</v>
      </c>
      <c r="AD688">
        <v>4</v>
      </c>
      <c r="AE688">
        <v>0</v>
      </c>
      <c r="AF688">
        <v>5302</v>
      </c>
      <c r="AG688">
        <v>987</v>
      </c>
      <c r="AH688">
        <v>5298</v>
      </c>
      <c r="AI688">
        <v>8</v>
      </c>
      <c r="AJ688">
        <v>87</v>
      </c>
      <c r="AK688">
        <v>1648</v>
      </c>
      <c r="AL688">
        <v>4779</v>
      </c>
      <c r="AM688">
        <v>15</v>
      </c>
      <c r="AN688">
        <v>914</v>
      </c>
      <c r="AO688" t="s">
        <v>826</v>
      </c>
    </row>
    <row r="689" spans="1:41">
      <c r="A689">
        <v>681</v>
      </c>
      <c r="B689" s="2">
        <v>45296.626712963</v>
      </c>
      <c r="C689">
        <v>997.664</v>
      </c>
      <c r="D689" t="s">
        <v>821</v>
      </c>
      <c r="E689" t="s">
        <v>840</v>
      </c>
      <c r="F689">
        <v>0</v>
      </c>
      <c r="G689">
        <f t="shared" si="10"/>
        <v>0</v>
      </c>
      <c r="H689">
        <v>1</v>
      </c>
      <c r="I689">
        <v>0</v>
      </c>
      <c r="J689">
        <v>5302</v>
      </c>
      <c r="K689">
        <v>8696</v>
      </c>
      <c r="L689" s="1">
        <v>-12496</v>
      </c>
      <c r="M689">
        <v>-12496</v>
      </c>
      <c r="N689">
        <v>56.8</v>
      </c>
      <c r="O689">
        <v>0</v>
      </c>
      <c r="P689">
        <v>65535</v>
      </c>
      <c r="Q689">
        <v>0</v>
      </c>
      <c r="R689">
        <v>-13583</v>
      </c>
      <c r="S689">
        <v>43.9</v>
      </c>
      <c r="T689">
        <v>16</v>
      </c>
      <c r="U689">
        <v>100</v>
      </c>
      <c r="V689">
        <v>0</v>
      </c>
      <c r="W689">
        <v>0</v>
      </c>
      <c r="X689" t="s">
        <v>823</v>
      </c>
      <c r="Y689" t="s">
        <v>839</v>
      </c>
      <c r="Z689" t="s">
        <v>828</v>
      </c>
      <c r="AA689">
        <v>14</v>
      </c>
      <c r="AB689">
        <v>6</v>
      </c>
      <c r="AC689">
        <v>76</v>
      </c>
      <c r="AD689">
        <v>4</v>
      </c>
      <c r="AE689">
        <v>-7</v>
      </c>
      <c r="AF689">
        <v>5302</v>
      </c>
      <c r="AG689">
        <v>989</v>
      </c>
      <c r="AH689">
        <v>5305</v>
      </c>
      <c r="AI689">
        <v>8</v>
      </c>
      <c r="AJ689">
        <v>87</v>
      </c>
      <c r="AK689">
        <v>1648</v>
      </c>
      <c r="AL689">
        <v>4790</v>
      </c>
      <c r="AM689">
        <v>15</v>
      </c>
      <c r="AN689">
        <v>906</v>
      </c>
      <c r="AO689" t="s">
        <v>826</v>
      </c>
    </row>
    <row r="690" spans="1:41">
      <c r="A690">
        <v>682</v>
      </c>
      <c r="B690" s="2">
        <v>45296.626724537</v>
      </c>
      <c r="C690">
        <v>998.608</v>
      </c>
      <c r="D690" t="s">
        <v>821</v>
      </c>
      <c r="E690" t="s">
        <v>840</v>
      </c>
      <c r="F690">
        <v>0</v>
      </c>
      <c r="G690">
        <f t="shared" si="10"/>
        <v>0</v>
      </c>
      <c r="H690">
        <v>1</v>
      </c>
      <c r="I690">
        <v>0</v>
      </c>
      <c r="J690">
        <v>5302</v>
      </c>
      <c r="K690">
        <v>8560</v>
      </c>
      <c r="L690" s="1">
        <v>-12496</v>
      </c>
      <c r="M690">
        <v>-12496</v>
      </c>
      <c r="N690">
        <v>57</v>
      </c>
      <c r="O690">
        <v>0</v>
      </c>
      <c r="P690">
        <v>65535</v>
      </c>
      <c r="Q690">
        <v>0</v>
      </c>
      <c r="R690">
        <v>-13371</v>
      </c>
      <c r="S690">
        <v>43.9</v>
      </c>
      <c r="T690">
        <v>16</v>
      </c>
      <c r="U690">
        <v>100</v>
      </c>
      <c r="V690">
        <v>0</v>
      </c>
      <c r="W690">
        <v>0</v>
      </c>
      <c r="X690" t="s">
        <v>823</v>
      </c>
      <c r="Y690" t="s">
        <v>839</v>
      </c>
      <c r="Z690" t="s">
        <v>828</v>
      </c>
      <c r="AA690">
        <v>14</v>
      </c>
      <c r="AB690">
        <v>6</v>
      </c>
      <c r="AC690">
        <v>76</v>
      </c>
      <c r="AD690">
        <v>4</v>
      </c>
      <c r="AE690">
        <v>-11</v>
      </c>
      <c r="AF690">
        <v>5302</v>
      </c>
      <c r="AG690">
        <v>990</v>
      </c>
      <c r="AH690">
        <v>5309</v>
      </c>
      <c r="AI690">
        <v>8</v>
      </c>
      <c r="AJ690">
        <v>87</v>
      </c>
      <c r="AK690">
        <v>1648</v>
      </c>
      <c r="AL690">
        <v>4793</v>
      </c>
      <c r="AM690">
        <v>15</v>
      </c>
      <c r="AN690">
        <v>916</v>
      </c>
      <c r="AO690" t="s">
        <v>826</v>
      </c>
    </row>
    <row r="691" spans="1:41">
      <c r="A691">
        <v>683</v>
      </c>
      <c r="B691" s="2">
        <v>45296.6267592593</v>
      </c>
      <c r="C691">
        <v>1000.97</v>
      </c>
      <c r="D691" t="s">
        <v>821</v>
      </c>
      <c r="E691" t="s">
        <v>840</v>
      </c>
      <c r="F691">
        <v>0</v>
      </c>
      <c r="G691">
        <f t="shared" si="10"/>
        <v>0</v>
      </c>
      <c r="H691">
        <v>1</v>
      </c>
      <c r="I691">
        <v>0</v>
      </c>
      <c r="J691">
        <v>5302</v>
      </c>
      <c r="K691">
        <v>8280</v>
      </c>
      <c r="L691" s="1">
        <v>-12496</v>
      </c>
      <c r="M691">
        <v>-12496</v>
      </c>
      <c r="N691">
        <v>57.5</v>
      </c>
      <c r="O691">
        <v>0</v>
      </c>
      <c r="P691">
        <v>65535</v>
      </c>
      <c r="Q691">
        <v>0</v>
      </c>
      <c r="R691">
        <v>-12708</v>
      </c>
      <c r="S691">
        <v>44</v>
      </c>
      <c r="T691">
        <v>16</v>
      </c>
      <c r="U691">
        <v>100</v>
      </c>
      <c r="V691">
        <v>0</v>
      </c>
      <c r="W691">
        <v>0</v>
      </c>
      <c r="X691" t="s">
        <v>823</v>
      </c>
      <c r="Y691" t="s">
        <v>839</v>
      </c>
      <c r="Z691" t="s">
        <v>828</v>
      </c>
      <c r="AA691">
        <v>14</v>
      </c>
      <c r="AB691">
        <v>6</v>
      </c>
      <c r="AC691">
        <v>76</v>
      </c>
      <c r="AD691">
        <v>4</v>
      </c>
      <c r="AE691">
        <v>-21</v>
      </c>
      <c r="AF691">
        <v>5302</v>
      </c>
      <c r="AG691">
        <v>993</v>
      </c>
      <c r="AH691">
        <v>5319</v>
      </c>
      <c r="AI691">
        <v>8</v>
      </c>
      <c r="AJ691">
        <v>87</v>
      </c>
      <c r="AK691">
        <v>1648</v>
      </c>
      <c r="AL691">
        <v>4800</v>
      </c>
      <c r="AM691">
        <v>15</v>
      </c>
      <c r="AN691">
        <v>911</v>
      </c>
      <c r="AO691" t="s">
        <v>826</v>
      </c>
    </row>
    <row r="692" spans="1:41">
      <c r="A692">
        <v>684</v>
      </c>
      <c r="B692" s="2">
        <v>45296.6267708333</v>
      </c>
      <c r="C692">
        <v>1001.921</v>
      </c>
      <c r="D692" t="s">
        <v>821</v>
      </c>
      <c r="E692" t="s">
        <v>840</v>
      </c>
      <c r="F692">
        <v>0</v>
      </c>
      <c r="G692">
        <f t="shared" si="10"/>
        <v>0</v>
      </c>
      <c r="H692">
        <v>1</v>
      </c>
      <c r="I692">
        <v>0</v>
      </c>
      <c r="J692">
        <v>5302</v>
      </c>
      <c r="K692">
        <v>8136</v>
      </c>
      <c r="L692" s="1">
        <v>-12496</v>
      </c>
      <c r="M692">
        <v>-12496</v>
      </c>
      <c r="N692">
        <v>57.5</v>
      </c>
      <c r="O692">
        <v>0</v>
      </c>
      <c r="P692">
        <v>65535</v>
      </c>
      <c r="Q692">
        <v>0</v>
      </c>
      <c r="R692">
        <v>-12484</v>
      </c>
      <c r="S692">
        <v>44.1</v>
      </c>
      <c r="T692">
        <v>16</v>
      </c>
      <c r="U692">
        <v>100</v>
      </c>
      <c r="V692">
        <v>0</v>
      </c>
      <c r="W692">
        <v>0</v>
      </c>
      <c r="X692" t="s">
        <v>823</v>
      </c>
      <c r="Y692" t="s">
        <v>839</v>
      </c>
      <c r="Z692" t="s">
        <v>828</v>
      </c>
      <c r="AA692">
        <v>14</v>
      </c>
      <c r="AB692">
        <v>6</v>
      </c>
      <c r="AC692">
        <v>76</v>
      </c>
      <c r="AD692">
        <v>4</v>
      </c>
      <c r="AE692">
        <v>-25</v>
      </c>
      <c r="AF692">
        <v>5302</v>
      </c>
      <c r="AG692">
        <v>994</v>
      </c>
      <c r="AH692">
        <v>5323</v>
      </c>
      <c r="AI692">
        <v>8</v>
      </c>
      <c r="AJ692">
        <v>87</v>
      </c>
      <c r="AK692">
        <v>1648</v>
      </c>
      <c r="AL692">
        <v>4804</v>
      </c>
      <c r="AM692">
        <v>15</v>
      </c>
      <c r="AN692">
        <v>933</v>
      </c>
      <c r="AO692" t="s">
        <v>826</v>
      </c>
    </row>
    <row r="693" spans="1:41">
      <c r="A693">
        <v>685</v>
      </c>
      <c r="B693" s="2">
        <v>45296.6267708333</v>
      </c>
      <c r="C693">
        <v>1002.884</v>
      </c>
      <c r="D693" t="s">
        <v>821</v>
      </c>
      <c r="E693" t="s">
        <v>840</v>
      </c>
      <c r="F693">
        <v>0</v>
      </c>
      <c r="G693">
        <f t="shared" si="10"/>
        <v>0</v>
      </c>
      <c r="H693">
        <v>1</v>
      </c>
      <c r="I693">
        <v>0</v>
      </c>
      <c r="J693">
        <v>5302</v>
      </c>
      <c r="K693">
        <v>7992</v>
      </c>
      <c r="L693" s="1">
        <v>-12496</v>
      </c>
      <c r="M693">
        <v>-12496</v>
      </c>
      <c r="N693">
        <v>57.7</v>
      </c>
      <c r="O693">
        <v>0</v>
      </c>
      <c r="P693">
        <v>65535</v>
      </c>
      <c r="Q693">
        <v>0</v>
      </c>
      <c r="R693">
        <v>-12484</v>
      </c>
      <c r="S693">
        <v>44.1</v>
      </c>
      <c r="T693">
        <v>16</v>
      </c>
      <c r="U693">
        <v>100</v>
      </c>
      <c r="V693">
        <v>0</v>
      </c>
      <c r="W693">
        <v>0</v>
      </c>
      <c r="X693" t="s">
        <v>823</v>
      </c>
      <c r="Y693" t="s">
        <v>839</v>
      </c>
      <c r="Z693" t="s">
        <v>828</v>
      </c>
      <c r="AA693">
        <v>14</v>
      </c>
      <c r="AB693">
        <v>6</v>
      </c>
      <c r="AC693">
        <v>76</v>
      </c>
      <c r="AD693">
        <v>4</v>
      </c>
      <c r="AE693">
        <v>-28</v>
      </c>
      <c r="AF693">
        <v>5302</v>
      </c>
      <c r="AG693">
        <v>995</v>
      </c>
      <c r="AH693">
        <v>5326</v>
      </c>
      <c r="AI693">
        <v>8</v>
      </c>
      <c r="AJ693">
        <v>87</v>
      </c>
      <c r="AK693">
        <v>1648</v>
      </c>
      <c r="AL693">
        <v>4807</v>
      </c>
      <c r="AM693">
        <v>15</v>
      </c>
      <c r="AN693">
        <v>904</v>
      </c>
      <c r="AO693" t="s">
        <v>826</v>
      </c>
    </row>
    <row r="694" spans="1:41">
      <c r="A694">
        <v>686</v>
      </c>
      <c r="B694" s="2">
        <v>45296.6268055556</v>
      </c>
      <c r="C694">
        <v>1005.242</v>
      </c>
      <c r="D694" t="s">
        <v>821</v>
      </c>
      <c r="E694" t="s">
        <v>840</v>
      </c>
      <c r="F694">
        <v>0</v>
      </c>
      <c r="G694">
        <f t="shared" si="10"/>
        <v>0</v>
      </c>
      <c r="H694">
        <v>1</v>
      </c>
      <c r="I694">
        <v>0</v>
      </c>
      <c r="J694">
        <v>5302</v>
      </c>
      <c r="K694">
        <v>7488</v>
      </c>
      <c r="L694" s="1">
        <v>-12496</v>
      </c>
      <c r="M694">
        <v>-12496</v>
      </c>
      <c r="N694">
        <v>58.2</v>
      </c>
      <c r="O694">
        <v>0</v>
      </c>
      <c r="P694">
        <v>65535</v>
      </c>
      <c r="Q694">
        <v>0</v>
      </c>
      <c r="R694">
        <v>-11696</v>
      </c>
      <c r="S694">
        <v>44.2</v>
      </c>
      <c r="T694">
        <v>16</v>
      </c>
      <c r="U694">
        <v>100</v>
      </c>
      <c r="V694">
        <v>0</v>
      </c>
      <c r="W694">
        <v>0</v>
      </c>
      <c r="X694" t="s">
        <v>823</v>
      </c>
      <c r="Y694" t="s">
        <v>839</v>
      </c>
      <c r="Z694" t="s">
        <v>828</v>
      </c>
      <c r="AA694">
        <v>14</v>
      </c>
      <c r="AB694">
        <v>6</v>
      </c>
      <c r="AC694">
        <v>76</v>
      </c>
      <c r="AD694">
        <v>4</v>
      </c>
      <c r="AE694">
        <v>-35</v>
      </c>
      <c r="AF694">
        <v>5302</v>
      </c>
      <c r="AG694">
        <v>997</v>
      </c>
      <c r="AH694">
        <v>5333</v>
      </c>
      <c r="AI694">
        <v>8</v>
      </c>
      <c r="AJ694">
        <v>87</v>
      </c>
      <c r="AK694">
        <v>1648</v>
      </c>
      <c r="AL694">
        <v>4814</v>
      </c>
      <c r="AM694">
        <v>15</v>
      </c>
      <c r="AN694">
        <v>904</v>
      </c>
      <c r="AO694" t="s">
        <v>826</v>
      </c>
    </row>
    <row r="695" spans="1:41">
      <c r="A695">
        <v>687</v>
      </c>
      <c r="B695" s="2">
        <v>45296.6268171296</v>
      </c>
      <c r="C695">
        <v>1006.188</v>
      </c>
      <c r="D695" t="s">
        <v>821</v>
      </c>
      <c r="E695" t="s">
        <v>840</v>
      </c>
      <c r="F695">
        <v>0</v>
      </c>
      <c r="G695">
        <f t="shared" si="10"/>
        <v>0</v>
      </c>
      <c r="H695">
        <v>1</v>
      </c>
      <c r="I695">
        <v>0</v>
      </c>
      <c r="J695">
        <v>5302</v>
      </c>
      <c r="K695">
        <v>7312</v>
      </c>
      <c r="L695" s="1">
        <v>-12496</v>
      </c>
      <c r="M695">
        <v>-12496</v>
      </c>
      <c r="N695">
        <v>58.4</v>
      </c>
      <c r="O695">
        <v>0</v>
      </c>
      <c r="P695">
        <v>65535</v>
      </c>
      <c r="Q695">
        <v>0</v>
      </c>
      <c r="R695">
        <v>-11421</v>
      </c>
      <c r="S695">
        <v>44.2</v>
      </c>
      <c r="T695">
        <v>16</v>
      </c>
      <c r="U695">
        <v>100</v>
      </c>
      <c r="V695">
        <v>0</v>
      </c>
      <c r="W695">
        <v>0</v>
      </c>
      <c r="X695" t="s">
        <v>823</v>
      </c>
      <c r="Y695" t="s">
        <v>839</v>
      </c>
      <c r="Z695" t="s">
        <v>828</v>
      </c>
      <c r="AA695">
        <v>14</v>
      </c>
      <c r="AB695">
        <v>6</v>
      </c>
      <c r="AC695">
        <v>76</v>
      </c>
      <c r="AD695">
        <v>4</v>
      </c>
      <c r="AE695">
        <v>-38</v>
      </c>
      <c r="AF695">
        <v>5302</v>
      </c>
      <c r="AG695">
        <v>998</v>
      </c>
      <c r="AH695">
        <v>5336</v>
      </c>
      <c r="AI695">
        <v>8</v>
      </c>
      <c r="AJ695">
        <v>87</v>
      </c>
      <c r="AK695">
        <v>1648</v>
      </c>
      <c r="AL695">
        <v>4817</v>
      </c>
      <c r="AM695">
        <v>15</v>
      </c>
      <c r="AN695">
        <v>899</v>
      </c>
      <c r="AO695" t="s">
        <v>826</v>
      </c>
    </row>
    <row r="696" spans="1:41">
      <c r="A696">
        <v>688</v>
      </c>
      <c r="B696" s="2">
        <v>45296.6268287037</v>
      </c>
      <c r="C696">
        <v>1007.135</v>
      </c>
      <c r="D696" t="s">
        <v>821</v>
      </c>
      <c r="E696" t="s">
        <v>840</v>
      </c>
      <c r="F696">
        <v>0</v>
      </c>
      <c r="G696">
        <f t="shared" si="10"/>
        <v>0</v>
      </c>
      <c r="H696">
        <v>1</v>
      </c>
      <c r="I696">
        <v>0</v>
      </c>
      <c r="J696">
        <v>5302</v>
      </c>
      <c r="K696">
        <v>7120</v>
      </c>
      <c r="L696" s="1">
        <v>-12496</v>
      </c>
      <c r="M696">
        <v>-12496</v>
      </c>
      <c r="N696">
        <v>58.6</v>
      </c>
      <c r="O696">
        <v>0</v>
      </c>
      <c r="P696">
        <v>65535</v>
      </c>
      <c r="Q696">
        <v>0</v>
      </c>
      <c r="R696">
        <v>-11121</v>
      </c>
      <c r="S696">
        <v>44.2</v>
      </c>
      <c r="T696">
        <v>16</v>
      </c>
      <c r="U696">
        <v>100</v>
      </c>
      <c r="V696">
        <v>0</v>
      </c>
      <c r="W696">
        <v>0</v>
      </c>
      <c r="X696" t="s">
        <v>823</v>
      </c>
      <c r="Y696" t="s">
        <v>839</v>
      </c>
      <c r="Z696" t="s">
        <v>828</v>
      </c>
      <c r="AA696">
        <v>14</v>
      </c>
      <c r="AB696">
        <v>6</v>
      </c>
      <c r="AC696">
        <v>76</v>
      </c>
      <c r="AD696">
        <v>4</v>
      </c>
      <c r="AE696">
        <v>-42</v>
      </c>
      <c r="AF696">
        <v>5302</v>
      </c>
      <c r="AG696">
        <v>999</v>
      </c>
      <c r="AH696">
        <v>5340</v>
      </c>
      <c r="AI696">
        <v>8</v>
      </c>
      <c r="AJ696">
        <v>87</v>
      </c>
      <c r="AK696">
        <v>1648</v>
      </c>
      <c r="AL696">
        <v>4821</v>
      </c>
      <c r="AM696">
        <v>15</v>
      </c>
      <c r="AN696">
        <v>903</v>
      </c>
      <c r="AO696" t="s">
        <v>826</v>
      </c>
    </row>
    <row r="697" spans="1:41">
      <c r="A697">
        <v>689</v>
      </c>
      <c r="B697" s="2">
        <v>45296.6268518519</v>
      </c>
      <c r="C697">
        <v>1009.484</v>
      </c>
      <c r="D697" t="s">
        <v>821</v>
      </c>
      <c r="E697" t="s">
        <v>840</v>
      </c>
      <c r="F697">
        <v>0</v>
      </c>
      <c r="G697">
        <f t="shared" si="10"/>
        <v>0</v>
      </c>
      <c r="H697">
        <v>1</v>
      </c>
      <c r="I697">
        <v>0</v>
      </c>
      <c r="J697">
        <v>5302</v>
      </c>
      <c r="K697">
        <v>6712</v>
      </c>
      <c r="L697" s="1">
        <v>-12496</v>
      </c>
      <c r="M697">
        <v>-12496</v>
      </c>
      <c r="N697">
        <v>58.9</v>
      </c>
      <c r="O697">
        <v>0</v>
      </c>
      <c r="P697">
        <v>65535</v>
      </c>
      <c r="Q697">
        <v>0</v>
      </c>
      <c r="R697">
        <v>-10484</v>
      </c>
      <c r="S697">
        <v>44.3</v>
      </c>
      <c r="T697">
        <v>16</v>
      </c>
      <c r="U697">
        <v>100</v>
      </c>
      <c r="V697">
        <v>0</v>
      </c>
      <c r="W697">
        <v>0</v>
      </c>
      <c r="X697" t="s">
        <v>823</v>
      </c>
      <c r="Y697" t="s">
        <v>839</v>
      </c>
      <c r="Z697" t="s">
        <v>828</v>
      </c>
      <c r="AA697">
        <v>14</v>
      </c>
      <c r="AB697">
        <v>6</v>
      </c>
      <c r="AC697">
        <v>76</v>
      </c>
      <c r="AD697">
        <v>4</v>
      </c>
      <c r="AE697">
        <v>-49</v>
      </c>
      <c r="AF697">
        <v>5302</v>
      </c>
      <c r="AG697">
        <v>1001</v>
      </c>
      <c r="AH697">
        <v>5347</v>
      </c>
      <c r="AI697">
        <v>8</v>
      </c>
      <c r="AJ697">
        <v>87</v>
      </c>
      <c r="AK697">
        <v>1648</v>
      </c>
      <c r="AL697">
        <v>4828</v>
      </c>
      <c r="AM697">
        <v>15</v>
      </c>
      <c r="AN697">
        <v>911</v>
      </c>
      <c r="AO697" t="s">
        <v>826</v>
      </c>
    </row>
    <row r="698" spans="1:41">
      <c r="A698">
        <v>690</v>
      </c>
      <c r="B698" s="2">
        <v>45296.6268634259</v>
      </c>
      <c r="C698">
        <v>1010.435</v>
      </c>
      <c r="D698" t="s">
        <v>821</v>
      </c>
      <c r="E698" t="s">
        <v>840</v>
      </c>
      <c r="F698">
        <v>0</v>
      </c>
      <c r="G698">
        <f t="shared" si="10"/>
        <v>0</v>
      </c>
      <c r="H698">
        <v>1</v>
      </c>
      <c r="I698">
        <v>0</v>
      </c>
      <c r="J698">
        <v>5302</v>
      </c>
      <c r="K698">
        <v>6488</v>
      </c>
      <c r="L698" s="1">
        <v>-12496</v>
      </c>
      <c r="M698">
        <v>-12496</v>
      </c>
      <c r="N698">
        <v>59.1</v>
      </c>
      <c r="O698">
        <v>0</v>
      </c>
      <c r="P698">
        <v>65535</v>
      </c>
      <c r="Q698">
        <v>0</v>
      </c>
      <c r="R698">
        <v>-10134</v>
      </c>
      <c r="S698">
        <v>44.3</v>
      </c>
      <c r="T698">
        <v>16</v>
      </c>
      <c r="U698">
        <v>100</v>
      </c>
      <c r="V698">
        <v>0</v>
      </c>
      <c r="W698">
        <v>0</v>
      </c>
      <c r="X698" t="s">
        <v>823</v>
      </c>
      <c r="Y698" t="s">
        <v>839</v>
      </c>
      <c r="Z698" t="s">
        <v>828</v>
      </c>
      <c r="AA698">
        <v>14</v>
      </c>
      <c r="AB698">
        <v>6</v>
      </c>
      <c r="AC698">
        <v>76</v>
      </c>
      <c r="AD698">
        <v>4</v>
      </c>
      <c r="AE698">
        <v>-52</v>
      </c>
      <c r="AF698">
        <v>5302</v>
      </c>
      <c r="AG698">
        <v>1002</v>
      </c>
      <c r="AH698">
        <v>5350</v>
      </c>
      <c r="AI698">
        <v>8</v>
      </c>
      <c r="AJ698">
        <v>87</v>
      </c>
      <c r="AK698">
        <v>1648</v>
      </c>
      <c r="AL698">
        <v>4831</v>
      </c>
      <c r="AM698">
        <v>15</v>
      </c>
      <c r="AN698">
        <v>902</v>
      </c>
      <c r="AO698" t="s">
        <v>826</v>
      </c>
    </row>
    <row r="699" spans="1:41">
      <c r="A699">
        <v>691</v>
      </c>
      <c r="B699" s="2">
        <v>45296.626875</v>
      </c>
      <c r="C699">
        <v>1011.374</v>
      </c>
      <c r="D699" t="s">
        <v>821</v>
      </c>
      <c r="E699" t="s">
        <v>840</v>
      </c>
      <c r="F699">
        <v>0</v>
      </c>
      <c r="G699">
        <f t="shared" si="10"/>
        <v>0</v>
      </c>
      <c r="H699">
        <v>1</v>
      </c>
      <c r="I699">
        <v>0</v>
      </c>
      <c r="J699">
        <v>5302</v>
      </c>
      <c r="K699">
        <v>6248</v>
      </c>
      <c r="L699" s="1">
        <v>-12496</v>
      </c>
      <c r="M699">
        <v>-12496</v>
      </c>
      <c r="N699">
        <v>59.3</v>
      </c>
      <c r="O699">
        <v>0</v>
      </c>
      <c r="P699">
        <v>65535</v>
      </c>
      <c r="Q699">
        <v>0</v>
      </c>
      <c r="R699">
        <v>-9759</v>
      </c>
      <c r="S699">
        <v>44.3</v>
      </c>
      <c r="T699">
        <v>16</v>
      </c>
      <c r="U699">
        <v>100</v>
      </c>
      <c r="V699">
        <v>0</v>
      </c>
      <c r="W699">
        <v>0</v>
      </c>
      <c r="X699" t="s">
        <v>823</v>
      </c>
      <c r="Y699" t="s">
        <v>839</v>
      </c>
      <c r="Z699" t="s">
        <v>828</v>
      </c>
      <c r="AA699">
        <v>14</v>
      </c>
      <c r="AB699">
        <v>6</v>
      </c>
      <c r="AC699">
        <v>76</v>
      </c>
      <c r="AD699">
        <v>4</v>
      </c>
      <c r="AE699">
        <v>-56</v>
      </c>
      <c r="AF699">
        <v>5302</v>
      </c>
      <c r="AG699">
        <v>1003</v>
      </c>
      <c r="AH699">
        <v>5354</v>
      </c>
      <c r="AI699">
        <v>8</v>
      </c>
      <c r="AJ699">
        <v>87</v>
      </c>
      <c r="AK699">
        <v>1648</v>
      </c>
      <c r="AL699">
        <v>4835</v>
      </c>
      <c r="AM699">
        <v>15</v>
      </c>
      <c r="AN699">
        <v>900</v>
      </c>
      <c r="AO699" t="s">
        <v>826</v>
      </c>
    </row>
    <row r="700" spans="1:41">
      <c r="A700">
        <v>692</v>
      </c>
      <c r="B700" s="2">
        <v>45296.6268981481</v>
      </c>
      <c r="C700">
        <v>1013.74</v>
      </c>
      <c r="D700" t="s">
        <v>821</v>
      </c>
      <c r="E700" t="s">
        <v>840</v>
      </c>
      <c r="F700">
        <v>0</v>
      </c>
      <c r="G700">
        <f t="shared" si="10"/>
        <v>0</v>
      </c>
      <c r="H700">
        <v>1</v>
      </c>
      <c r="I700">
        <v>0</v>
      </c>
      <c r="J700">
        <v>5302</v>
      </c>
      <c r="K700">
        <v>5728</v>
      </c>
      <c r="L700" s="1">
        <v>-12496</v>
      </c>
      <c r="M700">
        <v>-12496</v>
      </c>
      <c r="N700">
        <v>59.6</v>
      </c>
      <c r="O700">
        <v>0</v>
      </c>
      <c r="P700">
        <v>65535</v>
      </c>
      <c r="Q700">
        <v>0</v>
      </c>
      <c r="R700">
        <v>-8947</v>
      </c>
      <c r="S700">
        <v>44.4</v>
      </c>
      <c r="T700">
        <v>16</v>
      </c>
      <c r="U700">
        <v>100</v>
      </c>
      <c r="V700">
        <v>0</v>
      </c>
      <c r="W700">
        <v>0</v>
      </c>
      <c r="X700" t="s">
        <v>823</v>
      </c>
      <c r="Y700" t="s">
        <v>839</v>
      </c>
      <c r="Z700" t="s">
        <v>828</v>
      </c>
      <c r="AA700">
        <v>14</v>
      </c>
      <c r="AB700">
        <v>6</v>
      </c>
      <c r="AC700">
        <v>76</v>
      </c>
      <c r="AD700">
        <v>4</v>
      </c>
      <c r="AE700">
        <v>-66</v>
      </c>
      <c r="AF700">
        <v>5302</v>
      </c>
      <c r="AG700">
        <v>1006</v>
      </c>
      <c r="AH700">
        <v>5364</v>
      </c>
      <c r="AI700">
        <v>8</v>
      </c>
      <c r="AJ700">
        <v>87</v>
      </c>
      <c r="AK700">
        <v>1648</v>
      </c>
      <c r="AL700">
        <v>4845</v>
      </c>
      <c r="AM700">
        <v>15</v>
      </c>
      <c r="AN700">
        <v>906</v>
      </c>
      <c r="AO700" t="s">
        <v>826</v>
      </c>
    </row>
    <row r="701" spans="1:41">
      <c r="A701">
        <v>693</v>
      </c>
      <c r="B701" s="2">
        <v>45296.6269097222</v>
      </c>
      <c r="C701">
        <v>1014.687</v>
      </c>
      <c r="D701" t="s">
        <v>821</v>
      </c>
      <c r="E701" t="s">
        <v>840</v>
      </c>
      <c r="F701">
        <v>0</v>
      </c>
      <c r="G701">
        <f t="shared" si="10"/>
        <v>0</v>
      </c>
      <c r="H701">
        <v>1</v>
      </c>
      <c r="I701">
        <v>0</v>
      </c>
      <c r="J701">
        <v>5302</v>
      </c>
      <c r="K701">
        <v>5456</v>
      </c>
      <c r="L701" s="1">
        <v>-12496</v>
      </c>
      <c r="M701">
        <v>-12496</v>
      </c>
      <c r="N701">
        <v>59.8</v>
      </c>
      <c r="O701">
        <v>0</v>
      </c>
      <c r="P701">
        <v>65535</v>
      </c>
      <c r="Q701">
        <v>0</v>
      </c>
      <c r="R701">
        <v>-8522</v>
      </c>
      <c r="S701">
        <v>44.4</v>
      </c>
      <c r="T701">
        <v>16</v>
      </c>
      <c r="U701">
        <v>100</v>
      </c>
      <c r="V701">
        <v>0</v>
      </c>
      <c r="W701">
        <v>0</v>
      </c>
      <c r="X701" t="s">
        <v>823</v>
      </c>
      <c r="Y701" t="s">
        <v>839</v>
      </c>
      <c r="Z701" t="s">
        <v>828</v>
      </c>
      <c r="AA701">
        <v>14</v>
      </c>
      <c r="AB701">
        <v>6</v>
      </c>
      <c r="AC701">
        <v>76</v>
      </c>
      <c r="AD701">
        <v>4</v>
      </c>
      <c r="AE701">
        <v>-66</v>
      </c>
      <c r="AF701">
        <v>5302</v>
      </c>
      <c r="AG701">
        <v>1007</v>
      </c>
      <c r="AH701">
        <v>5368</v>
      </c>
      <c r="AI701">
        <v>8</v>
      </c>
      <c r="AJ701">
        <v>87</v>
      </c>
      <c r="AK701">
        <v>1648</v>
      </c>
      <c r="AL701">
        <v>4849</v>
      </c>
      <c r="AM701">
        <v>15</v>
      </c>
      <c r="AN701">
        <v>916</v>
      </c>
      <c r="AO701" t="s">
        <v>826</v>
      </c>
    </row>
    <row r="702" spans="1:41">
      <c r="A702">
        <v>694</v>
      </c>
      <c r="B702" s="2">
        <v>45296.6269444444</v>
      </c>
      <c r="C702">
        <v>1017.05</v>
      </c>
      <c r="D702" t="s">
        <v>821</v>
      </c>
      <c r="E702" t="s">
        <v>840</v>
      </c>
      <c r="F702">
        <v>0</v>
      </c>
      <c r="G702">
        <f t="shared" si="10"/>
        <v>0</v>
      </c>
      <c r="H702">
        <v>1</v>
      </c>
      <c r="I702">
        <v>0</v>
      </c>
      <c r="J702">
        <v>5302</v>
      </c>
      <c r="K702">
        <v>4528</v>
      </c>
      <c r="L702" s="1">
        <v>-12496</v>
      </c>
      <c r="M702">
        <v>-12496</v>
      </c>
      <c r="N702">
        <v>60.4</v>
      </c>
      <c r="O702">
        <v>0</v>
      </c>
      <c r="P702">
        <v>65535</v>
      </c>
      <c r="Q702">
        <v>0</v>
      </c>
      <c r="R702">
        <v>-7073</v>
      </c>
      <c r="S702">
        <v>44.5</v>
      </c>
      <c r="T702">
        <v>16</v>
      </c>
      <c r="U702">
        <v>100</v>
      </c>
      <c r="V702">
        <v>0</v>
      </c>
      <c r="W702">
        <v>0</v>
      </c>
      <c r="X702" t="s">
        <v>823</v>
      </c>
      <c r="Y702" t="s">
        <v>841</v>
      </c>
      <c r="Z702" t="s">
        <v>828</v>
      </c>
      <c r="AA702">
        <v>14</v>
      </c>
      <c r="AB702">
        <v>6</v>
      </c>
      <c r="AC702">
        <v>76</v>
      </c>
      <c r="AD702">
        <v>4</v>
      </c>
      <c r="AE702">
        <v>0</v>
      </c>
      <c r="AF702">
        <v>5379</v>
      </c>
      <c r="AG702">
        <v>1009</v>
      </c>
      <c r="AH702">
        <v>5375</v>
      </c>
      <c r="AI702">
        <v>8</v>
      </c>
      <c r="AJ702">
        <v>87</v>
      </c>
      <c r="AK702">
        <v>1648</v>
      </c>
      <c r="AL702">
        <v>4856</v>
      </c>
      <c r="AM702">
        <v>15</v>
      </c>
      <c r="AN702">
        <v>925</v>
      </c>
      <c r="AO702" t="s">
        <v>826</v>
      </c>
    </row>
    <row r="703" spans="1:41">
      <c r="A703">
        <v>695</v>
      </c>
      <c r="B703" s="2">
        <v>45296.6269560185</v>
      </c>
      <c r="C703">
        <v>1018.01</v>
      </c>
      <c r="D703" t="s">
        <v>821</v>
      </c>
      <c r="E703" t="s">
        <v>840</v>
      </c>
      <c r="F703">
        <v>0</v>
      </c>
      <c r="G703">
        <f t="shared" si="10"/>
        <v>0</v>
      </c>
      <c r="H703">
        <v>1</v>
      </c>
      <c r="I703">
        <v>0</v>
      </c>
      <c r="J703">
        <v>5302</v>
      </c>
      <c r="K703">
        <v>4528</v>
      </c>
      <c r="L703" s="1">
        <v>-12498</v>
      </c>
      <c r="M703">
        <v>-12496</v>
      </c>
      <c r="N703">
        <v>60.7</v>
      </c>
      <c r="O703">
        <v>0</v>
      </c>
      <c r="P703">
        <v>65535</v>
      </c>
      <c r="Q703">
        <v>0</v>
      </c>
      <c r="R703">
        <v>-6549</v>
      </c>
      <c r="S703">
        <v>44.5</v>
      </c>
      <c r="T703">
        <v>16</v>
      </c>
      <c r="U703">
        <v>100</v>
      </c>
      <c r="V703">
        <v>0</v>
      </c>
      <c r="W703">
        <v>0</v>
      </c>
      <c r="X703" t="s">
        <v>823</v>
      </c>
      <c r="Y703" t="s">
        <v>841</v>
      </c>
      <c r="Z703" t="s">
        <v>828</v>
      </c>
      <c r="AA703">
        <v>14</v>
      </c>
      <c r="AN703">
        <v>1018</v>
      </c>
      <c r="AO703" t="s">
        <v>842</v>
      </c>
    </row>
    <row r="704" spans="1:41">
      <c r="A704">
        <v>696</v>
      </c>
      <c r="B704" s="2">
        <v>45296.6269675926</v>
      </c>
      <c r="C704">
        <v>1019.056</v>
      </c>
      <c r="G704">
        <f t="shared" si="10"/>
        <v>0</v>
      </c>
      <c r="AN704">
        <v>659</v>
      </c>
      <c r="AO704" t="s">
        <v>842</v>
      </c>
    </row>
    <row r="705" spans="1:41">
      <c r="A705">
        <v>697</v>
      </c>
      <c r="B705" s="2">
        <v>45296.6270023148</v>
      </c>
      <c r="C705">
        <v>1022.022</v>
      </c>
      <c r="G705">
        <f t="shared" si="10"/>
        <v>0</v>
      </c>
      <c r="AN705">
        <v>813</v>
      </c>
      <c r="AO705" t="s">
        <v>842</v>
      </c>
    </row>
    <row r="706" spans="1:41">
      <c r="A706">
        <v>698</v>
      </c>
      <c r="B706" s="2">
        <v>45296.6270023148</v>
      </c>
      <c r="C706">
        <v>1022.883</v>
      </c>
      <c r="G706">
        <f t="shared" si="10"/>
        <v>0</v>
      </c>
      <c r="AN706">
        <v>675</v>
      </c>
      <c r="AO706" t="s">
        <v>842</v>
      </c>
    </row>
    <row r="707" spans="1:41">
      <c r="A707">
        <v>699</v>
      </c>
      <c r="B707" s="2">
        <v>45296.6270833333</v>
      </c>
      <c r="C707">
        <v>1029.012</v>
      </c>
      <c r="G707">
        <f t="shared" ref="G707:G721" si="11">F706-F707</f>
        <v>0</v>
      </c>
      <c r="AN707">
        <v>1089</v>
      </c>
      <c r="AO707" t="s">
        <v>842</v>
      </c>
    </row>
    <row r="708" spans="1:41">
      <c r="A708">
        <v>700</v>
      </c>
      <c r="B708" s="2">
        <v>45296.6271527778</v>
      </c>
      <c r="C708">
        <v>1035.509</v>
      </c>
      <c r="G708">
        <f t="shared" si="11"/>
        <v>0</v>
      </c>
      <c r="AN708">
        <v>684</v>
      </c>
      <c r="AO708" t="s">
        <v>842</v>
      </c>
    </row>
    <row r="709" spans="1:41">
      <c r="A709">
        <v>701</v>
      </c>
      <c r="B709" s="2">
        <v>45296.6272222222</v>
      </c>
      <c r="C709">
        <v>1041.698</v>
      </c>
      <c r="G709">
        <f t="shared" si="11"/>
        <v>0</v>
      </c>
      <c r="AN709">
        <v>671</v>
      </c>
      <c r="AO709" t="s">
        <v>842</v>
      </c>
    </row>
    <row r="710" spans="1:41">
      <c r="A710">
        <v>702</v>
      </c>
      <c r="B710" s="2">
        <v>45296.6272916667</v>
      </c>
      <c r="C710">
        <v>1047.789</v>
      </c>
      <c r="G710">
        <f t="shared" si="11"/>
        <v>0</v>
      </c>
      <c r="AN710">
        <v>721</v>
      </c>
      <c r="AO710" t="s">
        <v>842</v>
      </c>
    </row>
    <row r="711" spans="1:41">
      <c r="A711">
        <v>703</v>
      </c>
      <c r="B711" s="2">
        <v>45296.6273726852</v>
      </c>
      <c r="C711">
        <v>1053.917</v>
      </c>
      <c r="G711">
        <f t="shared" si="11"/>
        <v>0</v>
      </c>
      <c r="AN711">
        <v>734</v>
      </c>
      <c r="AO711" t="s">
        <v>842</v>
      </c>
    </row>
    <row r="712" spans="1:41">
      <c r="A712">
        <v>704</v>
      </c>
      <c r="B712" s="2">
        <v>45296.6274421296</v>
      </c>
      <c r="C712">
        <v>1060.06</v>
      </c>
      <c r="G712">
        <f t="shared" si="11"/>
        <v>0</v>
      </c>
      <c r="AN712">
        <v>670</v>
      </c>
      <c r="AO712" t="s">
        <v>842</v>
      </c>
    </row>
    <row r="713" spans="1:41">
      <c r="A713">
        <v>705</v>
      </c>
      <c r="B713" s="2">
        <v>45296.6275115741</v>
      </c>
      <c r="C713">
        <v>1066.134</v>
      </c>
      <c r="G713">
        <f t="shared" si="11"/>
        <v>0</v>
      </c>
      <c r="AN713">
        <v>671</v>
      </c>
      <c r="AO713" t="s">
        <v>842</v>
      </c>
    </row>
    <row r="714" spans="1:41">
      <c r="A714">
        <v>706</v>
      </c>
      <c r="B714" s="2">
        <v>45296.6275810185</v>
      </c>
      <c r="C714">
        <v>1072.228</v>
      </c>
      <c r="G714">
        <f t="shared" si="11"/>
        <v>0</v>
      </c>
      <c r="AN714">
        <v>733</v>
      </c>
      <c r="AO714" t="s">
        <v>842</v>
      </c>
    </row>
    <row r="715" spans="1:41">
      <c r="A715">
        <v>707</v>
      </c>
      <c r="B715" s="2">
        <v>45296.627650463</v>
      </c>
      <c r="C715">
        <v>1078.379</v>
      </c>
      <c r="G715">
        <f t="shared" si="11"/>
        <v>0</v>
      </c>
      <c r="AN715">
        <v>677</v>
      </c>
      <c r="AO715" t="s">
        <v>842</v>
      </c>
    </row>
    <row r="716" spans="1:41">
      <c r="A716">
        <v>708</v>
      </c>
      <c r="B716" s="2">
        <v>45296.6277199074</v>
      </c>
      <c r="C716">
        <v>1084.516</v>
      </c>
      <c r="G716">
        <f t="shared" si="11"/>
        <v>0</v>
      </c>
      <c r="AN716">
        <v>681</v>
      </c>
      <c r="AO716" t="s">
        <v>842</v>
      </c>
    </row>
    <row r="717" spans="1:41">
      <c r="A717">
        <v>709</v>
      </c>
      <c r="B717" s="2">
        <v>45296.6277893518</v>
      </c>
      <c r="C717">
        <v>1090.635</v>
      </c>
      <c r="G717">
        <f t="shared" si="11"/>
        <v>0</v>
      </c>
      <c r="AN717">
        <v>651</v>
      </c>
      <c r="AO717" t="s">
        <v>842</v>
      </c>
    </row>
    <row r="718" spans="1:41">
      <c r="A718">
        <v>710</v>
      </c>
      <c r="B718" s="2">
        <v>45296.6278587963</v>
      </c>
      <c r="C718">
        <v>1096.739</v>
      </c>
      <c r="G718">
        <f t="shared" si="11"/>
        <v>0</v>
      </c>
      <c r="AN718">
        <v>741</v>
      </c>
      <c r="AO718" t="s">
        <v>842</v>
      </c>
    </row>
    <row r="719" spans="1:41">
      <c r="A719">
        <v>711</v>
      </c>
      <c r="B719" s="2">
        <v>45296.6279398148</v>
      </c>
      <c r="C719">
        <v>1102.919</v>
      </c>
      <c r="G719">
        <f t="shared" si="11"/>
        <v>0</v>
      </c>
      <c r="AN719">
        <v>682</v>
      </c>
      <c r="AO719" t="s">
        <v>842</v>
      </c>
    </row>
    <row r="720" spans="1:41">
      <c r="A720">
        <v>712</v>
      </c>
      <c r="B720" s="2">
        <v>45296.6280092593</v>
      </c>
      <c r="C720">
        <v>1109.043</v>
      </c>
      <c r="G720">
        <f t="shared" si="11"/>
        <v>0</v>
      </c>
      <c r="AN720">
        <v>714</v>
      </c>
      <c r="AO720" t="s">
        <v>842</v>
      </c>
    </row>
    <row r="721" spans="1:41">
      <c r="A721">
        <v>713</v>
      </c>
      <c r="B721" s="2">
        <v>45296.6280787037</v>
      </c>
      <c r="C721">
        <v>1115.219</v>
      </c>
      <c r="G721">
        <f t="shared" si="11"/>
        <v>0</v>
      </c>
      <c r="AN721">
        <v>771</v>
      </c>
      <c r="AO721" t="s">
        <v>842</v>
      </c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4"/>
  <sheetViews>
    <sheetView zoomScale="115" zoomScaleNormal="115" topLeftCell="F9" workbookViewId="0">
      <selection activeCell="M19" sqref="M19"/>
    </sheetView>
  </sheetViews>
  <sheetFormatPr defaultColWidth="9" defaultRowHeight="13.5"/>
  <cols>
    <col min="1" max="1" width="14.5833333333333" style="29" customWidth="1"/>
    <col min="2" max="2" width="16.3333333333333" style="29" customWidth="1"/>
    <col min="3" max="3" width="10.8833333333333" style="29" customWidth="1"/>
    <col min="4" max="4" width="19.6666666666667" style="29" customWidth="1"/>
    <col min="5" max="5" width="14.775" style="29" customWidth="1"/>
    <col min="6" max="6" width="12.1083333333333" style="29" customWidth="1"/>
    <col min="7" max="7" width="12.775" style="29" customWidth="1"/>
    <col min="8" max="8" width="10.525" style="29" customWidth="1"/>
    <col min="9" max="9" width="14.3333333333333" style="115" customWidth="1"/>
    <col min="10" max="10" width="18.6666666666667" style="29" customWidth="1"/>
    <col min="11" max="11" width="12.6666666666667" style="29"/>
    <col min="12" max="12" width="31" style="29" customWidth="1"/>
    <col min="13" max="13" width="33.4416666666667" style="29" customWidth="1"/>
    <col min="14" max="14" width="26.6666666666667" style="29" customWidth="1"/>
    <col min="15" max="24" width="9" style="29"/>
    <col min="25" max="26" width="50.8833333333333" style="29" customWidth="1"/>
    <col min="27" max="16383" width="9" style="29"/>
  </cols>
  <sheetData>
    <row r="1" customHeight="1"/>
    <row r="2" ht="22.5" customHeight="1" spans="1:12">
      <c r="A2" s="150" t="s">
        <v>232</v>
      </c>
      <c r="L2" s="29">
        <f>0.4/100</f>
        <v>0.004</v>
      </c>
    </row>
    <row r="3" ht="27" customHeight="1" spans="2:11">
      <c r="B3" s="29" t="s">
        <v>233</v>
      </c>
      <c r="C3" s="151" t="s">
        <v>213</v>
      </c>
      <c r="D3" s="29" t="s">
        <v>234</v>
      </c>
      <c r="E3" s="29" t="s">
        <v>235</v>
      </c>
      <c r="I3" s="115">
        <f>2.8*7</f>
        <v>19.6</v>
      </c>
      <c r="K3" s="29">
        <f>500/2500</f>
        <v>0.2</v>
      </c>
    </row>
    <row r="4" customHeight="1" spans="2:11">
      <c r="B4" s="29" t="s">
        <v>233</v>
      </c>
      <c r="C4" s="29" t="s">
        <v>217</v>
      </c>
      <c r="D4" s="29" t="s">
        <v>236</v>
      </c>
      <c r="E4" s="29" t="s">
        <v>237</v>
      </c>
      <c r="K4" s="29">
        <f>2250*K3</f>
        <v>450</v>
      </c>
    </row>
    <row r="5" customHeight="1"/>
    <row r="6" customHeight="1"/>
    <row r="7" customHeight="1"/>
    <row r="8" ht="30.9" customHeight="1" spans="2:13">
      <c r="B8" s="146" t="s">
        <v>122</v>
      </c>
      <c r="C8" s="8" t="s">
        <v>123</v>
      </c>
      <c r="D8" s="146" t="s">
        <v>124</v>
      </c>
      <c r="E8" s="146" t="s">
        <v>125</v>
      </c>
      <c r="F8" s="146" t="s">
        <v>126</v>
      </c>
      <c r="G8" s="146" t="s">
        <v>127</v>
      </c>
      <c r="H8" s="146" t="s">
        <v>128</v>
      </c>
      <c r="I8" s="147" t="s">
        <v>129</v>
      </c>
      <c r="J8" s="147" t="s">
        <v>69</v>
      </c>
      <c r="K8" s="8" t="s">
        <v>130</v>
      </c>
      <c r="L8" s="8" t="s">
        <v>131</v>
      </c>
      <c r="M8" s="8" t="s">
        <v>132</v>
      </c>
    </row>
    <row r="9" ht="44.85" customHeight="1" spans="1:10">
      <c r="A9" s="29" t="s">
        <v>141</v>
      </c>
      <c r="B9" s="137" t="s">
        <v>142</v>
      </c>
      <c r="C9" s="137" t="s">
        <v>147</v>
      </c>
      <c r="D9" s="137" t="s">
        <v>154</v>
      </c>
      <c r="E9" s="137" t="s">
        <v>145</v>
      </c>
      <c r="F9" s="137" t="s">
        <v>146</v>
      </c>
      <c r="G9" s="137" t="s">
        <v>147</v>
      </c>
      <c r="H9" s="137" t="s">
        <v>143</v>
      </c>
      <c r="I9" s="148" t="s">
        <v>155</v>
      </c>
      <c r="J9" s="149" t="s">
        <v>91</v>
      </c>
    </row>
    <row r="10" ht="21" customHeight="1" spans="10:10">
      <c r="J10" s="112"/>
    </row>
    <row r="11" ht="21" customHeight="1" spans="1:25">
      <c r="A11" s="29" t="s">
        <v>238</v>
      </c>
      <c r="B11" s="137" t="s">
        <v>142</v>
      </c>
      <c r="C11" s="137" t="s">
        <v>147</v>
      </c>
      <c r="D11" s="137" t="s">
        <v>154</v>
      </c>
      <c r="E11" s="137" t="s">
        <v>145</v>
      </c>
      <c r="F11" s="137" t="s">
        <v>146</v>
      </c>
      <c r="G11" s="137" t="s">
        <v>239</v>
      </c>
      <c r="H11" s="137" t="s">
        <v>143</v>
      </c>
      <c r="I11" s="148" t="s">
        <v>240</v>
      </c>
      <c r="K11" s="29">
        <f>2450*0.98*0.97</f>
        <v>2328.97</v>
      </c>
      <c r="Y11" s="29">
        <f>28.4/6</f>
        <v>4.73333333333333</v>
      </c>
    </row>
    <row r="12" ht="24.9" customHeight="1" spans="1:15">
      <c r="A12" s="29" t="s">
        <v>241</v>
      </c>
      <c r="C12" s="137" t="s">
        <v>242</v>
      </c>
      <c r="F12" s="137" t="s">
        <v>243</v>
      </c>
      <c r="J12" s="29">
        <f>0.6/2.5</f>
        <v>0.24</v>
      </c>
      <c r="M12" s="29" t="s">
        <v>244</v>
      </c>
      <c r="N12" s="29" t="s">
        <v>245</v>
      </c>
      <c r="O12" s="29" t="s">
        <v>246</v>
      </c>
    </row>
    <row r="13" spans="1:12">
      <c r="A13" s="29" t="s">
        <v>247</v>
      </c>
      <c r="C13" s="137"/>
      <c r="L13" s="29">
        <f>12*0.96</f>
        <v>11.52</v>
      </c>
    </row>
    <row r="14" spans="12:12">
      <c r="L14" s="29">
        <f>173*0.44</f>
        <v>76.12</v>
      </c>
    </row>
    <row r="15" spans="7:9">
      <c r="G15" s="115" t="s">
        <v>131</v>
      </c>
      <c r="H15" s="29">
        <v>3.45</v>
      </c>
      <c r="I15" s="29">
        <v>3.6</v>
      </c>
    </row>
    <row r="16" spans="4:11">
      <c r="D16" s="29">
        <f>7*2.8</f>
        <v>19.6</v>
      </c>
      <c r="E16" s="29">
        <f>D16/210</f>
        <v>0.0933333333333333</v>
      </c>
      <c r="G16" s="115"/>
      <c r="H16" s="29">
        <f>H15*7</f>
        <v>24.15</v>
      </c>
      <c r="I16" s="29">
        <f>I15*7</f>
        <v>25.2</v>
      </c>
      <c r="J16" s="112" t="s">
        <v>182</v>
      </c>
      <c r="K16" s="29">
        <f>4.15*7</f>
        <v>29.05</v>
      </c>
    </row>
    <row r="17" spans="4:11">
      <c r="D17" s="29">
        <f>7*4.2</f>
        <v>29.4</v>
      </c>
      <c r="E17" s="29">
        <f>D17/210</f>
        <v>0.14</v>
      </c>
      <c r="J17" s="112" t="s">
        <v>185</v>
      </c>
      <c r="K17" s="29">
        <f>3.6*7</f>
        <v>25.2</v>
      </c>
    </row>
    <row r="18" spans="4:13">
      <c r="D18" s="133"/>
      <c r="E18" s="152"/>
      <c r="G18" s="29" t="s">
        <v>248</v>
      </c>
      <c r="I18" s="29"/>
      <c r="J18" s="112" t="s">
        <v>249</v>
      </c>
      <c r="K18" s="29">
        <v>2250</v>
      </c>
      <c r="L18" s="29" t="s">
        <v>250</v>
      </c>
      <c r="M18" s="29">
        <f>2450*0.98*0.98</f>
        <v>2352.98</v>
      </c>
    </row>
    <row r="19" spans="3:11">
      <c r="C19" s="29">
        <f>72/24</f>
        <v>3</v>
      </c>
      <c r="I19" s="115">
        <f>I18/7</f>
        <v>0</v>
      </c>
      <c r="J19" s="112" t="s">
        <v>251</v>
      </c>
      <c r="K19" s="29">
        <f>2250*K17/1000</f>
        <v>56.7</v>
      </c>
    </row>
    <row r="20" spans="9:10">
      <c r="I20" s="115">
        <f>0.2*2.5</f>
        <v>0.5</v>
      </c>
      <c r="J20" s="112"/>
    </row>
    <row r="21" spans="6:13">
      <c r="F21" s="29">
        <f>29.4/7</f>
        <v>4.2</v>
      </c>
      <c r="J21" s="112"/>
      <c r="M21" s="29">
        <f>7*2.8</f>
        <v>19.6</v>
      </c>
    </row>
    <row r="22" ht="22.5" spans="1:14">
      <c r="A22" s="150" t="s">
        <v>252</v>
      </c>
      <c r="F22" s="29">
        <f>F21*6</f>
        <v>25.2</v>
      </c>
      <c r="N22" s="29">
        <f>0.2*7050</f>
        <v>1410</v>
      </c>
    </row>
    <row r="23" ht="27.75" spans="2:13">
      <c r="B23" s="146" t="s">
        <v>122</v>
      </c>
      <c r="C23" s="8" t="s">
        <v>123</v>
      </c>
      <c r="D23" s="146" t="s">
        <v>124</v>
      </c>
      <c r="E23" s="146" t="s">
        <v>125</v>
      </c>
      <c r="F23" s="146" t="s">
        <v>126</v>
      </c>
      <c r="G23" s="146" t="s">
        <v>127</v>
      </c>
      <c r="H23" s="146" t="s">
        <v>128</v>
      </c>
      <c r="I23" s="147" t="s">
        <v>129</v>
      </c>
      <c r="J23" s="147" t="s">
        <v>69</v>
      </c>
      <c r="K23" s="8" t="s">
        <v>130</v>
      </c>
      <c r="L23" s="8" t="s">
        <v>131</v>
      </c>
      <c r="M23" s="8" t="s">
        <v>132</v>
      </c>
    </row>
    <row r="24" ht="51" customHeight="1" spans="1:13">
      <c r="A24" s="29" t="s">
        <v>253</v>
      </c>
      <c r="B24" s="137" t="s">
        <v>142</v>
      </c>
      <c r="C24" s="137" t="s">
        <v>153</v>
      </c>
      <c r="D24" s="137" t="s">
        <v>154</v>
      </c>
      <c r="E24" s="137" t="s">
        <v>145</v>
      </c>
      <c r="F24" s="137" t="s">
        <v>146</v>
      </c>
      <c r="G24" s="137" t="s">
        <v>153</v>
      </c>
      <c r="H24" s="137" t="s">
        <v>143</v>
      </c>
      <c r="I24" s="148" t="s">
        <v>155</v>
      </c>
      <c r="J24" s="149" t="s">
        <v>206</v>
      </c>
      <c r="K24" s="165">
        <f>AVERAGE(K25:K29)*0.98</f>
        <v>1935.82666666667</v>
      </c>
      <c r="M24" s="29" t="s">
        <v>157</v>
      </c>
    </row>
    <row r="25" ht="51" customHeight="1" spans="1:15">
      <c r="A25" s="29" t="s">
        <v>141</v>
      </c>
      <c r="C25" s="137" t="s">
        <v>143</v>
      </c>
      <c r="F25" s="137" t="s">
        <v>243</v>
      </c>
      <c r="I25" s="148" t="s">
        <v>240</v>
      </c>
      <c r="K25" s="29">
        <v>1968</v>
      </c>
      <c r="L25" s="29">
        <f>K25*0.98</f>
        <v>1928.64</v>
      </c>
      <c r="M25" s="29" t="s">
        <v>254</v>
      </c>
      <c r="O25" s="29" t="s">
        <v>255</v>
      </c>
    </row>
    <row r="26" ht="14.25" spans="1:12">
      <c r="A26" s="153"/>
      <c r="C26" s="29" t="s">
        <v>147</v>
      </c>
      <c r="E26" s="29">
        <f>0.2*1.85</f>
        <v>0.37</v>
      </c>
      <c r="K26" s="29">
        <v>1975</v>
      </c>
      <c r="L26" s="29">
        <f>1968/2000</f>
        <v>0.984</v>
      </c>
    </row>
    <row r="27" spans="1:1">
      <c r="A27" s="29" t="s">
        <v>247</v>
      </c>
    </row>
    <row r="28" ht="14.25" spans="1:1">
      <c r="A28" s="153" t="s">
        <v>256</v>
      </c>
    </row>
    <row r="29" ht="15" spans="1:13">
      <c r="A29" s="29" t="s">
        <v>257</v>
      </c>
      <c r="B29" s="154">
        <f>3.7*6</f>
        <v>22.2</v>
      </c>
      <c r="C29" s="155"/>
      <c r="I29" s="29"/>
      <c r="K29" s="29">
        <v>1983</v>
      </c>
      <c r="M29" s="29">
        <f>1950*0.98</f>
        <v>1911</v>
      </c>
    </row>
    <row r="30" spans="1:9">
      <c r="A30" s="29" t="s">
        <v>258</v>
      </c>
      <c r="B30" s="29">
        <f>2.8*6</f>
        <v>16.8</v>
      </c>
      <c r="I30" s="112" t="s">
        <v>179</v>
      </c>
    </row>
    <row r="31" spans="1:11">
      <c r="A31" s="29" t="s">
        <v>167</v>
      </c>
      <c r="B31" s="29">
        <f>20*6</f>
        <v>120</v>
      </c>
      <c r="I31" s="112" t="s">
        <v>182</v>
      </c>
      <c r="J31" s="29">
        <f>4.15*6</f>
        <v>24.9</v>
      </c>
      <c r="K31" s="29">
        <f>25.2/6</f>
        <v>4.2</v>
      </c>
    </row>
    <row r="32" spans="1:11">
      <c r="A32" s="29" t="s">
        <v>259</v>
      </c>
      <c r="B32" s="29" t="s">
        <v>260</v>
      </c>
      <c r="C32" s="29">
        <v>3.53</v>
      </c>
      <c r="D32" s="29">
        <v>3.61</v>
      </c>
      <c r="I32" s="112" t="s">
        <v>185</v>
      </c>
      <c r="J32" s="29">
        <f>3.7*6</f>
        <v>22.2</v>
      </c>
      <c r="K32" s="29">
        <f>2.8*6</f>
        <v>16.8</v>
      </c>
    </row>
    <row r="33" spans="3:11">
      <c r="C33" s="29">
        <f>C32*6</f>
        <v>21.18</v>
      </c>
      <c r="D33" s="29">
        <f>D32*6</f>
        <v>21.66</v>
      </c>
      <c r="I33" s="112" t="s">
        <v>188</v>
      </c>
      <c r="J33" s="29">
        <v>1.85</v>
      </c>
      <c r="K33" s="29" t="s">
        <v>250</v>
      </c>
    </row>
    <row r="34" spans="1:10">
      <c r="A34" s="29" t="s">
        <v>261</v>
      </c>
      <c r="B34" s="29">
        <f>24.9/6</f>
        <v>4.15</v>
      </c>
      <c r="I34" s="112" t="s">
        <v>191</v>
      </c>
      <c r="J34" s="29">
        <f>J33*22.2</f>
        <v>41.07</v>
      </c>
    </row>
    <row r="35" spans="1:13">
      <c r="A35" s="29" t="s">
        <v>262</v>
      </c>
      <c r="B35" s="29">
        <f>25.2/6</f>
        <v>4.2</v>
      </c>
      <c r="D35" s="29">
        <f>2250/2450</f>
        <v>0.918367346938776</v>
      </c>
      <c r="I35" s="114" t="s">
        <v>263</v>
      </c>
      <c r="J35" s="29">
        <v>1850</v>
      </c>
      <c r="K35" s="29">
        <f>1950*0.98*0.97</f>
        <v>1853.67</v>
      </c>
      <c r="M35" s="29">
        <f>24.9+0.95</f>
        <v>25.85</v>
      </c>
    </row>
    <row r="36" spans="1:13">
      <c r="A36" s="29" t="s">
        <v>264</v>
      </c>
      <c r="B36" s="29">
        <f>16.8/6</f>
        <v>2.8</v>
      </c>
      <c r="D36" s="29">
        <f>1950*D35</f>
        <v>1790.81632653061</v>
      </c>
      <c r="I36" s="133" t="s">
        <v>265</v>
      </c>
      <c r="K36" s="29">
        <f>2000*0.98*0.97</f>
        <v>1901.2</v>
      </c>
      <c r="M36" s="29">
        <f>24.9/6</f>
        <v>4.15</v>
      </c>
    </row>
    <row r="37" spans="6:9">
      <c r="F37" s="29">
        <f>5104*0.98</f>
        <v>5001.92</v>
      </c>
      <c r="I37" s="29"/>
    </row>
    <row r="38" spans="6:6">
      <c r="F38" s="29">
        <f>5198*0.98</f>
        <v>5094.04</v>
      </c>
    </row>
    <row r="39" spans="1:1">
      <c r="A39" s="29">
        <f>0.6/1.935</f>
        <v>0.310077519379845</v>
      </c>
    </row>
    <row r="40" spans="5:5">
      <c r="E40" s="29">
        <f>60*0.93</f>
        <v>55.8</v>
      </c>
    </row>
    <row r="41" spans="1:5">
      <c r="A41" s="29">
        <f>29.225/7</f>
        <v>4.175</v>
      </c>
      <c r="E41" s="29">
        <f>10/1.85</f>
        <v>5.40540540540541</v>
      </c>
    </row>
    <row r="42" spans="1:11">
      <c r="A42" s="29">
        <f>A41*6</f>
        <v>25.05</v>
      </c>
      <c r="I42" s="115" t="s">
        <v>266</v>
      </c>
      <c r="J42" s="29">
        <v>3.53</v>
      </c>
      <c r="K42" s="29">
        <v>3.61</v>
      </c>
    </row>
    <row r="43" spans="9:11">
      <c r="I43" s="115" t="s">
        <v>131</v>
      </c>
      <c r="J43" s="29">
        <f>J42*6</f>
        <v>21.18</v>
      </c>
      <c r="K43" s="29">
        <f>K42*6</f>
        <v>21.66</v>
      </c>
    </row>
    <row r="45" spans="3:10">
      <c r="C45" s="29">
        <f>7*4.2</f>
        <v>29.4</v>
      </c>
      <c r="D45" s="29">
        <f>C45-0.7</f>
        <v>28.7</v>
      </c>
      <c r="E45" s="29">
        <f>D45*F45</f>
        <v>27.3333333333333</v>
      </c>
      <c r="F45" s="29">
        <f>200/210</f>
        <v>0.952380952380952</v>
      </c>
      <c r="I45" s="115" t="s">
        <v>167</v>
      </c>
      <c r="J45" s="29">
        <f>20*6</f>
        <v>120</v>
      </c>
    </row>
    <row r="46" spans="3:10">
      <c r="C46" s="29">
        <f>2.8*7</f>
        <v>19.6</v>
      </c>
      <c r="D46" s="29">
        <f>C46-0.7</f>
        <v>18.9</v>
      </c>
      <c r="E46" s="29">
        <f>D46*F46</f>
        <v>18</v>
      </c>
      <c r="F46" s="29">
        <f>200/210</f>
        <v>0.952380952380952</v>
      </c>
      <c r="I46" s="115" t="s">
        <v>267</v>
      </c>
      <c r="J46" s="29">
        <f>19.6/7</f>
        <v>2.8</v>
      </c>
    </row>
    <row r="47" spans="9:10">
      <c r="I47" s="115" t="s">
        <v>268</v>
      </c>
      <c r="J47" s="29">
        <f>J46*6</f>
        <v>16.8</v>
      </c>
    </row>
    <row r="48" spans="12:12">
      <c r="L48" s="29">
        <v>0</v>
      </c>
    </row>
    <row r="49" spans="9:10">
      <c r="I49" s="115" t="s">
        <v>202</v>
      </c>
      <c r="J49" s="29">
        <f>4.2*6</f>
        <v>25.2</v>
      </c>
    </row>
    <row r="50" spans="9:10">
      <c r="I50" s="115" t="s">
        <v>203</v>
      </c>
      <c r="J50" s="29">
        <f>1.85*0.3</f>
        <v>0.555</v>
      </c>
    </row>
    <row r="51" spans="3:11">
      <c r="C51" s="142"/>
      <c r="D51" s="29">
        <f>0.6/2.5</f>
        <v>0.24</v>
      </c>
      <c r="E51" s="29">
        <f>1/D51</f>
        <v>4.16666666666667</v>
      </c>
      <c r="J51" s="29">
        <v>4.15</v>
      </c>
      <c r="K51" s="29">
        <f>J51*6</f>
        <v>24.9</v>
      </c>
    </row>
    <row r="52" spans="4:11">
      <c r="D52" s="29">
        <f>15/2.5</f>
        <v>6</v>
      </c>
      <c r="E52" s="29">
        <f>1/D52</f>
        <v>0.166666666666667</v>
      </c>
      <c r="J52" s="29">
        <v>4.175</v>
      </c>
      <c r="K52" s="29">
        <f>J52*6</f>
        <v>25.05</v>
      </c>
    </row>
    <row r="53" spans="5:5">
      <c r="E53" s="29">
        <f>24/7</f>
        <v>3.42857142857143</v>
      </c>
    </row>
    <row r="54" spans="5:6">
      <c r="E54" s="29">
        <f>E53*28</f>
        <v>96</v>
      </c>
      <c r="F54" s="29">
        <f>0.9/0.2</f>
        <v>4.5</v>
      </c>
    </row>
    <row r="55" spans="1:12">
      <c r="A55" s="156" t="s">
        <v>269</v>
      </c>
      <c r="E55" s="29">
        <f>300/E54</f>
        <v>3.125</v>
      </c>
      <c r="F55" s="29">
        <f>900/1800</f>
        <v>0.5</v>
      </c>
      <c r="L55" s="29">
        <f>1850*0.3</f>
        <v>555</v>
      </c>
    </row>
    <row r="56" spans="1:14">
      <c r="A56" s="29" t="s">
        <v>270</v>
      </c>
      <c r="L56" s="29">
        <f>L55/M56</f>
        <v>16323.5294117647</v>
      </c>
      <c r="M56" s="29">
        <f>N56/1000</f>
        <v>0.034</v>
      </c>
      <c r="N56" s="29">
        <v>34</v>
      </c>
    </row>
    <row r="57" spans="12:12">
      <c r="L57" s="29">
        <f>L56/L58</f>
        <v>22.671568627451</v>
      </c>
    </row>
    <row r="58" spans="12:12">
      <c r="L58" s="29">
        <f>24*30</f>
        <v>720</v>
      </c>
    </row>
    <row r="60" ht="14.25"/>
    <row r="61" ht="17.25" spans="2:15">
      <c r="B61" s="157" t="s">
        <v>271</v>
      </c>
      <c r="C61" s="158"/>
      <c r="D61" s="158"/>
      <c r="E61" s="158"/>
      <c r="F61" s="158"/>
      <c r="G61" s="158"/>
      <c r="H61" s="158"/>
      <c r="I61" s="166"/>
      <c r="K61" s="167"/>
      <c r="L61" s="167"/>
      <c r="M61" s="167"/>
      <c r="N61" s="167"/>
      <c r="O61" s="168"/>
    </row>
    <row r="62" ht="17.25" spans="2:15">
      <c r="B62" s="159" t="s">
        <v>272</v>
      </c>
      <c r="C62" s="159"/>
      <c r="D62" s="160" t="s">
        <v>273</v>
      </c>
      <c r="E62" s="161" t="s">
        <v>274</v>
      </c>
      <c r="F62" s="162" t="s">
        <v>275</v>
      </c>
      <c r="G62" s="162" t="s">
        <v>276</v>
      </c>
      <c r="H62" s="162" t="s">
        <v>277</v>
      </c>
      <c r="I62" s="162"/>
      <c r="K62" s="167"/>
      <c r="L62" s="168"/>
      <c r="M62" s="167"/>
      <c r="N62" s="168"/>
      <c r="O62" s="168"/>
    </row>
    <row r="63" ht="17.25" spans="2:15">
      <c r="B63" s="159"/>
      <c r="C63" s="159"/>
      <c r="D63" s="161" t="s">
        <v>278</v>
      </c>
      <c r="E63" s="161"/>
      <c r="F63" s="162"/>
      <c r="G63" s="162"/>
      <c r="H63" s="162"/>
      <c r="I63" s="162"/>
      <c r="K63" s="167"/>
      <c r="L63" s="168"/>
      <c r="M63" s="167"/>
      <c r="N63" s="167"/>
      <c r="O63" s="168"/>
    </row>
    <row r="64" ht="14.25" spans="2:9">
      <c r="B64" s="163"/>
      <c r="C64" s="163"/>
      <c r="D64" s="164"/>
      <c r="E64" s="164"/>
      <c r="F64" s="164"/>
      <c r="G64" s="164"/>
      <c r="H64" s="164"/>
      <c r="I64" s="164"/>
    </row>
    <row r="65" ht="14.25" spans="2:9">
      <c r="B65" s="163"/>
      <c r="C65" s="163"/>
      <c r="D65" s="164"/>
      <c r="E65" s="164"/>
      <c r="F65" s="164"/>
      <c r="G65" s="164"/>
      <c r="H65" s="164"/>
      <c r="I65" s="164"/>
    </row>
    <row r="66" ht="14.25" spans="2:9">
      <c r="B66" s="169"/>
      <c r="C66" s="169"/>
      <c r="D66" s="170"/>
      <c r="E66" s="161"/>
      <c r="F66" s="161"/>
      <c r="G66" s="161"/>
      <c r="H66" s="171"/>
      <c r="I66" s="160"/>
    </row>
    <row r="67" ht="14.25" spans="2:9">
      <c r="B67" s="169"/>
      <c r="C67" s="169"/>
      <c r="D67" s="170"/>
      <c r="E67" s="161"/>
      <c r="F67" s="161"/>
      <c r="G67" s="161"/>
      <c r="H67" s="172"/>
      <c r="I67" s="207"/>
    </row>
    <row r="68" ht="14.25" spans="2:9">
      <c r="B68" s="159"/>
      <c r="C68" s="159"/>
      <c r="D68" s="170"/>
      <c r="E68" s="161"/>
      <c r="F68" s="161"/>
      <c r="G68" s="161"/>
      <c r="H68" s="171"/>
      <c r="I68" s="160"/>
    </row>
    <row r="69" ht="14.25" spans="2:9">
      <c r="B69" s="159"/>
      <c r="C69" s="159"/>
      <c r="D69" s="170"/>
      <c r="E69" s="161"/>
      <c r="F69" s="161"/>
      <c r="G69" s="161"/>
      <c r="H69" s="172"/>
      <c r="I69" s="207"/>
    </row>
    <row r="71" ht="14.25"/>
    <row r="72" ht="14.25" spans="2:21">
      <c r="B72" s="173" t="s">
        <v>279</v>
      </c>
      <c r="C72" s="174" t="s">
        <v>280</v>
      </c>
      <c r="D72" s="175" t="s">
        <v>281</v>
      </c>
      <c r="E72" s="175"/>
      <c r="F72" s="176" t="s">
        <v>282</v>
      </c>
      <c r="G72" s="174"/>
      <c r="H72"/>
      <c r="K72"/>
      <c r="L72" s="208"/>
      <c r="M72" s="208"/>
      <c r="N72" s="208"/>
      <c r="O72" s="208"/>
      <c r="P72" s="208" t="s">
        <v>283</v>
      </c>
      <c r="Q72" s="208" t="s">
        <v>284</v>
      </c>
      <c r="R72" s="208" t="s">
        <v>285</v>
      </c>
      <c r="S72" s="208"/>
      <c r="T72" s="208" t="s">
        <v>286</v>
      </c>
      <c r="U72" t="s">
        <v>287</v>
      </c>
    </row>
    <row r="73" ht="14.25" spans="2:21">
      <c r="B73" s="177" t="s">
        <v>288</v>
      </c>
      <c r="C73" s="178" t="s">
        <v>289</v>
      </c>
      <c r="D73" s="175"/>
      <c r="E73" s="175"/>
      <c r="F73" s="179" t="s">
        <v>290</v>
      </c>
      <c r="G73" s="178"/>
      <c r="H73"/>
      <c r="K73" s="208" t="s">
        <v>291</v>
      </c>
      <c r="L73" s="209" t="s">
        <v>292</v>
      </c>
      <c r="M73" s="209" t="s">
        <v>293</v>
      </c>
      <c r="N73" s="210" t="s">
        <v>294</v>
      </c>
      <c r="O73" s="210" t="s">
        <v>295</v>
      </c>
      <c r="P73" s="211" t="s">
        <v>296</v>
      </c>
      <c r="Q73" s="211" t="s">
        <v>297</v>
      </c>
      <c r="R73" s="211" t="s">
        <v>298</v>
      </c>
      <c r="S73" s="210" t="s">
        <v>299</v>
      </c>
      <c r="T73" s="211" t="s">
        <v>300</v>
      </c>
      <c r="U73" s="218" t="s">
        <v>301</v>
      </c>
    </row>
    <row r="74" ht="14.25" spans="2:21">
      <c r="B74" s="180"/>
      <c r="C74" s="17"/>
      <c r="D74" s="175"/>
      <c r="E74" s="175"/>
      <c r="F74" s="181" t="s">
        <v>302</v>
      </c>
      <c r="G74" s="182"/>
      <c r="H74"/>
      <c r="K74" s="208" t="s">
        <v>303</v>
      </c>
      <c r="L74" s="209">
        <v>1.22</v>
      </c>
      <c r="M74" s="209">
        <v>2.07</v>
      </c>
      <c r="N74" s="210"/>
      <c r="O74" s="209">
        <v>0.15</v>
      </c>
      <c r="P74" s="209">
        <v>2.3</v>
      </c>
      <c r="Q74" s="209">
        <v>0</v>
      </c>
      <c r="R74" s="209">
        <v>0</v>
      </c>
      <c r="S74" s="210"/>
      <c r="T74" s="208"/>
      <c r="U74"/>
    </row>
    <row r="75" ht="14.25" spans="2:21">
      <c r="B75" s="183" t="s">
        <v>272</v>
      </c>
      <c r="C75" s="184" t="s">
        <v>273</v>
      </c>
      <c r="D75" s="185" t="s">
        <v>274</v>
      </c>
      <c r="E75" s="185" t="s">
        <v>275</v>
      </c>
      <c r="F75" s="186" t="s">
        <v>276</v>
      </c>
      <c r="G75" s="186" t="s">
        <v>304</v>
      </c>
      <c r="H75"/>
      <c r="K75" s="208" t="s">
        <v>305</v>
      </c>
      <c r="L75" s="209">
        <v>1.27</v>
      </c>
      <c r="M75" s="209">
        <v>2.07</v>
      </c>
      <c r="N75" s="212">
        <v>9.5</v>
      </c>
      <c r="O75" s="209">
        <v>0.21</v>
      </c>
      <c r="P75" s="209">
        <v>2.3</v>
      </c>
      <c r="Q75" s="209">
        <v>0</v>
      </c>
      <c r="R75" s="209">
        <v>0</v>
      </c>
      <c r="S75" s="212">
        <v>0.042</v>
      </c>
      <c r="T75" s="208"/>
      <c r="U75"/>
    </row>
    <row r="76" ht="14.25" spans="2:21">
      <c r="B76" s="183"/>
      <c r="C76" s="185" t="s">
        <v>278</v>
      </c>
      <c r="D76" s="185"/>
      <c r="E76" s="185"/>
      <c r="F76" s="186"/>
      <c r="G76" s="186"/>
      <c r="H76"/>
      <c r="K76" s="208" t="s">
        <v>306</v>
      </c>
      <c r="L76" s="209">
        <v>1.2</v>
      </c>
      <c r="M76" s="209">
        <v>2.4</v>
      </c>
      <c r="N76" s="210"/>
      <c r="O76" s="209">
        <v>0.08</v>
      </c>
      <c r="P76" s="209">
        <v>2.09</v>
      </c>
      <c r="Q76" s="209">
        <v>2.1</v>
      </c>
      <c r="R76" s="209">
        <v>2.09</v>
      </c>
      <c r="S76" s="210"/>
      <c r="T76" s="208"/>
      <c r="U76"/>
    </row>
    <row r="77" ht="39" spans="2:21">
      <c r="B77" s="187" t="s">
        <v>307</v>
      </c>
      <c r="C77" s="188" t="s">
        <v>109</v>
      </c>
      <c r="D77" s="188" t="s">
        <v>308</v>
      </c>
      <c r="E77" s="188" t="s">
        <v>309</v>
      </c>
      <c r="F77" s="188"/>
      <c r="G77" s="188"/>
      <c r="H77"/>
      <c r="K77" s="208" t="s">
        <v>310</v>
      </c>
      <c r="L77" s="209">
        <f t="shared" ref="L77:L79" si="0">L74/0.1</f>
        <v>12.2</v>
      </c>
      <c r="M77" s="209">
        <f t="shared" ref="M77:M79" si="1">M74/0.2</f>
        <v>10.35</v>
      </c>
      <c r="N77" s="210"/>
      <c r="O77" s="209">
        <f t="shared" ref="O77:O79" si="2">O74/1</f>
        <v>0.15</v>
      </c>
      <c r="P77" s="209">
        <f t="shared" ref="P77:R77" si="3">P74/1.5</f>
        <v>1.53333333333333</v>
      </c>
      <c r="Q77" s="209">
        <f t="shared" si="3"/>
        <v>0</v>
      </c>
      <c r="R77" s="209">
        <f t="shared" si="3"/>
        <v>0</v>
      </c>
      <c r="S77" s="210"/>
      <c r="T77" s="208"/>
      <c r="U77"/>
    </row>
    <row r="78" ht="26.25" spans="2:21">
      <c r="B78" s="189" t="s">
        <v>311</v>
      </c>
      <c r="C78" s="190" t="s">
        <v>312</v>
      </c>
      <c r="D78" s="188" t="s">
        <v>313</v>
      </c>
      <c r="E78" s="190" t="s">
        <v>314</v>
      </c>
      <c r="F78" s="188"/>
      <c r="G78" s="188"/>
      <c r="H78" s="188"/>
      <c r="K78" s="208" t="s">
        <v>315</v>
      </c>
      <c r="L78" s="209">
        <f t="shared" si="0"/>
        <v>12.7</v>
      </c>
      <c r="M78" s="209">
        <f t="shared" si="1"/>
        <v>10.35</v>
      </c>
      <c r="N78" s="210">
        <f>N75/51</f>
        <v>0.186274509803922</v>
      </c>
      <c r="O78" s="209">
        <f t="shared" si="2"/>
        <v>0.21</v>
      </c>
      <c r="P78" s="209">
        <f t="shared" ref="P78:R78" si="4">P75/1.5</f>
        <v>1.53333333333333</v>
      </c>
      <c r="Q78" s="209">
        <f t="shared" si="4"/>
        <v>0</v>
      </c>
      <c r="R78" s="209">
        <f t="shared" si="4"/>
        <v>0</v>
      </c>
      <c r="S78" s="210">
        <f>S75/1</f>
        <v>0.042</v>
      </c>
      <c r="T78" s="208"/>
      <c r="U78"/>
    </row>
    <row r="79" ht="26.25" spans="2:21">
      <c r="B79" s="189" t="s">
        <v>316</v>
      </c>
      <c r="C79" s="190" t="s">
        <v>317</v>
      </c>
      <c r="D79" s="188"/>
      <c r="E79" s="190" t="s">
        <v>318</v>
      </c>
      <c r="F79" s="188"/>
      <c r="G79" s="188"/>
      <c r="H79" s="188"/>
      <c r="K79" s="208" t="s">
        <v>319</v>
      </c>
      <c r="L79" s="209">
        <f t="shared" si="0"/>
        <v>12</v>
      </c>
      <c r="M79" s="209">
        <f t="shared" si="1"/>
        <v>12</v>
      </c>
      <c r="N79"/>
      <c r="O79" s="213">
        <f t="shared" si="2"/>
        <v>0.08</v>
      </c>
      <c r="P79" s="209">
        <f t="shared" ref="P79:R79" si="5">P76/1.5</f>
        <v>1.39333333333333</v>
      </c>
      <c r="Q79" s="209">
        <f t="shared" si="5"/>
        <v>1.4</v>
      </c>
      <c r="R79" s="209">
        <f t="shared" si="5"/>
        <v>1.39333333333333</v>
      </c>
      <c r="S79"/>
      <c r="T79"/>
      <c r="U79"/>
    </row>
    <row r="80" ht="14.25" spans="2:21">
      <c r="B80" s="191"/>
      <c r="C80" s="190" t="s">
        <v>320</v>
      </c>
      <c r="D80" s="188"/>
      <c r="E80" s="15"/>
      <c r="F80" s="188"/>
      <c r="G80" s="188"/>
      <c r="H80" s="188"/>
      <c r="K80" s="208" t="s">
        <v>321</v>
      </c>
      <c r="L80" s="209">
        <v>1.47</v>
      </c>
      <c r="M80" s="209">
        <v>2.39</v>
      </c>
      <c r="N80" s="212">
        <v>11.37</v>
      </c>
      <c r="O80" s="209">
        <v>0.26</v>
      </c>
      <c r="P80" s="209">
        <v>2.27</v>
      </c>
      <c r="Q80" s="209">
        <v>2.27</v>
      </c>
      <c r="R80" s="209">
        <v>2.31</v>
      </c>
      <c r="S80" s="212">
        <v>0.043</v>
      </c>
      <c r="T80" s="208">
        <v>1.55</v>
      </c>
      <c r="U80" s="219">
        <v>1.7</v>
      </c>
    </row>
    <row r="81" ht="14.25" spans="2:21">
      <c r="B81" s="180"/>
      <c r="C81" s="188"/>
      <c r="D81" s="188"/>
      <c r="E81" s="17"/>
      <c r="F81" s="188"/>
      <c r="G81" s="188"/>
      <c r="H81" s="188"/>
      <c r="K81" s="208" t="s">
        <v>322</v>
      </c>
      <c r="L81" s="209">
        <f>L80/0.1</f>
        <v>14.7</v>
      </c>
      <c r="M81" s="209">
        <f>M80/0.2</f>
        <v>11.95</v>
      </c>
      <c r="N81" s="210">
        <f>N80/51</f>
        <v>0.222941176470588</v>
      </c>
      <c r="O81" s="209">
        <f>O80/1</f>
        <v>0.26</v>
      </c>
      <c r="P81" s="209">
        <f>P80/1.5</f>
        <v>1.51333333333333</v>
      </c>
      <c r="Q81" s="209">
        <f>Q80/1.5</f>
        <v>1.51333333333333</v>
      </c>
      <c r="R81" s="209">
        <f>R80/2</f>
        <v>1.155</v>
      </c>
      <c r="S81" s="210">
        <f>S80/1</f>
        <v>0.043</v>
      </c>
      <c r="T81" s="210">
        <f>T80/10</f>
        <v>0.155</v>
      </c>
      <c r="U81" s="210">
        <f>U80/10</f>
        <v>0.17</v>
      </c>
    </row>
    <row r="82" ht="26.25" spans="2:8">
      <c r="B82" s="187" t="s">
        <v>323</v>
      </c>
      <c r="C82" s="190" t="s">
        <v>312</v>
      </c>
      <c r="D82" s="188" t="s">
        <v>324</v>
      </c>
      <c r="E82" s="190" t="s">
        <v>314</v>
      </c>
      <c r="F82" s="188"/>
      <c r="G82" s="17"/>
      <c r="H82" s="17"/>
    </row>
    <row r="83" ht="26.25" spans="2:8">
      <c r="B83" s="187"/>
      <c r="C83" s="190" t="s">
        <v>317</v>
      </c>
      <c r="D83" s="188"/>
      <c r="E83" s="190" t="s">
        <v>318</v>
      </c>
      <c r="F83" s="188"/>
      <c r="G83" s="17"/>
      <c r="H83" s="17"/>
    </row>
    <row r="84" ht="16.5" spans="2:12">
      <c r="B84" s="187"/>
      <c r="C84" s="190" t="s">
        <v>320</v>
      </c>
      <c r="D84" s="188"/>
      <c r="E84" s="15"/>
      <c r="F84" s="188"/>
      <c r="G84" s="17"/>
      <c r="H84" s="17"/>
      <c r="L84" s="214"/>
    </row>
    <row r="85" ht="16.5" spans="2:12">
      <c r="B85" s="187"/>
      <c r="C85" s="188"/>
      <c r="D85" s="188"/>
      <c r="E85" s="17"/>
      <c r="F85" s="188"/>
      <c r="G85" s="17"/>
      <c r="H85" s="17"/>
      <c r="L85" s="215" t="s">
        <v>325</v>
      </c>
    </row>
    <row r="86" spans="2:13">
      <c r="B86" s="192"/>
      <c r="L86" s="216" t="s">
        <v>326</v>
      </c>
      <c r="M86" s="217" t="s">
        <v>327</v>
      </c>
    </row>
    <row r="87" spans="2:13">
      <c r="B87" s="193"/>
      <c r="L87" s="217" t="s">
        <v>328</v>
      </c>
      <c r="M87" s="217" t="s">
        <v>329</v>
      </c>
    </row>
    <row r="88" spans="2:13">
      <c r="B88" s="194" t="s">
        <v>272</v>
      </c>
      <c r="C88" s="195" t="s">
        <v>330</v>
      </c>
      <c r="D88" s="194" t="s">
        <v>274</v>
      </c>
      <c r="E88" s="194" t="s">
        <v>275</v>
      </c>
      <c r="F88" s="194" t="s">
        <v>276</v>
      </c>
      <c r="G88" s="194" t="s">
        <v>331</v>
      </c>
      <c r="L88" s="217" t="s">
        <v>332</v>
      </c>
      <c r="M88" s="217" t="s">
        <v>333</v>
      </c>
    </row>
    <row r="89" ht="21.9" customHeight="1" spans="2:13">
      <c r="B89" s="194"/>
      <c r="C89" s="196"/>
      <c r="D89" s="194"/>
      <c r="E89" s="194"/>
      <c r="F89" s="194"/>
      <c r="G89" s="194"/>
      <c r="L89" s="217" t="s">
        <v>334</v>
      </c>
      <c r="M89" s="217" t="s">
        <v>335</v>
      </c>
    </row>
    <row r="90" spans="2:13">
      <c r="B90" s="197" t="s">
        <v>336</v>
      </c>
      <c r="C90" s="198" t="s">
        <v>337</v>
      </c>
      <c r="D90" s="197" t="s">
        <v>338</v>
      </c>
      <c r="E90" s="197" t="s">
        <v>339</v>
      </c>
      <c r="F90" s="199" t="s">
        <v>340</v>
      </c>
      <c r="G90" s="199" t="s">
        <v>341</v>
      </c>
      <c r="L90" s="217" t="s">
        <v>342</v>
      </c>
      <c r="M90" s="217" t="s">
        <v>343</v>
      </c>
    </row>
    <row r="91" spans="2:7">
      <c r="B91" s="197"/>
      <c r="C91" s="198"/>
      <c r="D91" s="197"/>
      <c r="E91" s="197"/>
      <c r="F91" s="199"/>
      <c r="G91" s="200"/>
    </row>
    <row r="92" spans="2:12">
      <c r="B92" s="197" t="s">
        <v>344</v>
      </c>
      <c r="C92" s="197" t="s">
        <v>345</v>
      </c>
      <c r="D92" s="197" t="s">
        <v>346</v>
      </c>
      <c r="E92" s="197" t="s">
        <v>347</v>
      </c>
      <c r="F92" s="199" t="s">
        <v>340</v>
      </c>
      <c r="G92" s="199" t="s">
        <v>341</v>
      </c>
      <c r="L92" s="29" t="s">
        <v>348</v>
      </c>
    </row>
    <row r="93" spans="2:7">
      <c r="B93" s="197"/>
      <c r="C93" s="197"/>
      <c r="D93" s="197"/>
      <c r="E93" s="197"/>
      <c r="F93" s="199"/>
      <c r="G93" s="200"/>
    </row>
    <row r="94" spans="2:13">
      <c r="B94" s="197" t="s">
        <v>349</v>
      </c>
      <c r="C94" s="201" t="s">
        <v>350</v>
      </c>
      <c r="D94" s="197" t="s">
        <v>351</v>
      </c>
      <c r="E94" s="197" t="s">
        <v>352</v>
      </c>
      <c r="F94" s="199" t="s">
        <v>340</v>
      </c>
      <c r="G94" s="200" t="s">
        <v>341</v>
      </c>
      <c r="L94" s="216" t="s">
        <v>353</v>
      </c>
      <c r="M94" s="217" t="s">
        <v>327</v>
      </c>
    </row>
    <row r="95" spans="2:13">
      <c r="B95" s="197"/>
      <c r="C95" s="201"/>
      <c r="D95" s="197"/>
      <c r="E95" s="197"/>
      <c r="F95" s="199"/>
      <c r="G95" s="200"/>
      <c r="L95" s="217" t="s">
        <v>354</v>
      </c>
      <c r="M95" s="217" t="s">
        <v>355</v>
      </c>
    </row>
    <row r="96" spans="2:13">
      <c r="B96" s="197"/>
      <c r="C96" s="201"/>
      <c r="D96" s="197"/>
      <c r="E96" s="197"/>
      <c r="F96" s="199"/>
      <c r="G96" s="200"/>
      <c r="L96" s="217" t="s">
        <v>356</v>
      </c>
      <c r="M96" s="217" t="s">
        <v>357</v>
      </c>
    </row>
    <row r="97" spans="2:13">
      <c r="B97" s="197"/>
      <c r="C97" s="201"/>
      <c r="D97" s="197"/>
      <c r="E97" s="197"/>
      <c r="F97" s="199"/>
      <c r="G97" s="200"/>
      <c r="L97" s="217" t="s">
        <v>358</v>
      </c>
      <c r="M97" s="217" t="s">
        <v>359</v>
      </c>
    </row>
    <row r="98" spans="2:13">
      <c r="B98" s="197" t="s">
        <v>360</v>
      </c>
      <c r="C98" s="201" t="s">
        <v>350</v>
      </c>
      <c r="D98" s="197" t="s">
        <v>361</v>
      </c>
      <c r="E98" s="197" t="s">
        <v>352</v>
      </c>
      <c r="F98" s="199" t="s">
        <v>340</v>
      </c>
      <c r="G98" s="200" t="s">
        <v>341</v>
      </c>
      <c r="L98" s="217" t="s">
        <v>362</v>
      </c>
      <c r="M98" s="217" t="s">
        <v>363</v>
      </c>
    </row>
    <row r="99" spans="2:13">
      <c r="B99" s="197"/>
      <c r="C99" s="201"/>
      <c r="D99" s="197"/>
      <c r="E99" s="197"/>
      <c r="F99" s="199"/>
      <c r="G99" s="200"/>
      <c r="L99" s="217" t="s">
        <v>364</v>
      </c>
      <c r="M99" s="217" t="s">
        <v>365</v>
      </c>
    </row>
    <row r="100" spans="2:13">
      <c r="B100" s="197"/>
      <c r="C100" s="201"/>
      <c r="D100" s="197"/>
      <c r="E100" s="197"/>
      <c r="F100" s="199"/>
      <c r="G100" s="200"/>
      <c r="L100" s="217" t="s">
        <v>366</v>
      </c>
      <c r="M100" s="217" t="s">
        <v>367</v>
      </c>
    </row>
    <row r="101" spans="2:13">
      <c r="B101" s="197"/>
      <c r="C101" s="201"/>
      <c r="D101" s="197"/>
      <c r="E101" s="197"/>
      <c r="F101" s="199"/>
      <c r="G101" s="200"/>
      <c r="L101" s="217" t="s">
        <v>368</v>
      </c>
      <c r="M101" s="217" t="s">
        <v>369</v>
      </c>
    </row>
    <row r="102" spans="2:13">
      <c r="B102" s="197" t="s">
        <v>370</v>
      </c>
      <c r="C102" s="201" t="s">
        <v>371</v>
      </c>
      <c r="D102" s="197"/>
      <c r="E102" s="197" t="s">
        <v>372</v>
      </c>
      <c r="F102" s="199" t="s">
        <v>340</v>
      </c>
      <c r="G102" s="200" t="s">
        <v>341</v>
      </c>
      <c r="L102" s="217" t="s">
        <v>373</v>
      </c>
      <c r="M102" s="217" t="s">
        <v>374</v>
      </c>
    </row>
    <row r="103" spans="2:13">
      <c r="B103" s="197"/>
      <c r="C103" s="201"/>
      <c r="D103" s="197"/>
      <c r="E103" s="197"/>
      <c r="F103" s="199"/>
      <c r="G103" s="200"/>
      <c r="L103" s="217" t="s">
        <v>375</v>
      </c>
      <c r="M103" s="217" t="s">
        <v>376</v>
      </c>
    </row>
    <row r="104" spans="2:7">
      <c r="B104" s="197"/>
      <c r="C104" s="201"/>
      <c r="D104" s="197"/>
      <c r="E104" s="197"/>
      <c r="F104" s="199"/>
      <c r="G104" s="200"/>
    </row>
    <row r="105" spans="2:7">
      <c r="B105" s="197"/>
      <c r="C105" s="201"/>
      <c r="D105" s="197"/>
      <c r="E105" s="197"/>
      <c r="F105" s="199"/>
      <c r="G105" s="200"/>
    </row>
    <row r="106" spans="2:7">
      <c r="B106" s="193"/>
      <c r="C106" s="202"/>
      <c r="D106" s="202"/>
      <c r="E106" s="202"/>
      <c r="F106" s="202"/>
      <c r="G106" s="202"/>
    </row>
    <row r="107" spans="2:2">
      <c r="B107" s="193"/>
    </row>
    <row r="108" spans="2:2">
      <c r="B108" s="193"/>
    </row>
    <row r="109" spans="2:2">
      <c r="B109"/>
    </row>
    <row r="110" ht="15.75" spans="2:2">
      <c r="B110" s="203" t="s">
        <v>377</v>
      </c>
    </row>
    <row r="111" ht="15.75" spans="2:2">
      <c r="B111" s="203" t="s">
        <v>378</v>
      </c>
    </row>
    <row r="112" ht="15.75" spans="2:2">
      <c r="B112" s="203" t="s">
        <v>379</v>
      </c>
    </row>
    <row r="113" ht="15.75" spans="2:2">
      <c r="B113" s="203" t="s">
        <v>380</v>
      </c>
    </row>
    <row r="114" ht="15.75" spans="2:2">
      <c r="B114" s="203" t="s">
        <v>381</v>
      </c>
    </row>
    <row r="115" ht="15.75" spans="2:2">
      <c r="B115" s="203" t="s">
        <v>382</v>
      </c>
    </row>
    <row r="116" ht="15.75" spans="2:2">
      <c r="B116" s="203" t="s">
        <v>383</v>
      </c>
    </row>
    <row r="117" ht="15.75" spans="2:2">
      <c r="B117" s="203" t="s">
        <v>384</v>
      </c>
    </row>
    <row r="121" ht="17.25" spans="2:2">
      <c r="B121" s="204" t="s">
        <v>385</v>
      </c>
    </row>
    <row r="122" spans="2:2">
      <c r="B122" s="205" t="s">
        <v>386</v>
      </c>
    </row>
    <row r="124" ht="17.25" spans="2:2">
      <c r="B124" s="204" t="s">
        <v>387</v>
      </c>
    </row>
    <row r="125" spans="2:2">
      <c r="B125" s="206"/>
    </row>
    <row r="126" ht="17.25" spans="2:2">
      <c r="B126" s="204" t="s">
        <v>388</v>
      </c>
    </row>
    <row r="127" spans="2:2">
      <c r="B127" s="206"/>
    </row>
    <row r="128" ht="17.25" spans="2:2">
      <c r="B128" s="204" t="s">
        <v>389</v>
      </c>
    </row>
    <row r="129" spans="2:2">
      <c r="B129" s="7"/>
    </row>
    <row r="131" spans="6:6">
      <c r="F131" s="29">
        <f>4.2*7</f>
        <v>29.4</v>
      </c>
    </row>
    <row r="132" spans="6:6">
      <c r="F132" s="29">
        <f>3.7*7</f>
        <v>25.9</v>
      </c>
    </row>
    <row r="133" spans="6:6">
      <c r="F133" s="29">
        <f>2.8*7</f>
        <v>19.6</v>
      </c>
    </row>
    <row r="134" spans="5:6">
      <c r="E134" s="29" t="s">
        <v>300</v>
      </c>
      <c r="F134" s="29">
        <v>10</v>
      </c>
    </row>
  </sheetData>
  <mergeCells count="78">
    <mergeCell ref="B61:I61"/>
    <mergeCell ref="B64:C64"/>
    <mergeCell ref="H64:I64"/>
    <mergeCell ref="B65:C65"/>
    <mergeCell ref="H65:I65"/>
    <mergeCell ref="H66:I66"/>
    <mergeCell ref="H67:I67"/>
    <mergeCell ref="H68:I68"/>
    <mergeCell ref="H69:I69"/>
    <mergeCell ref="F72:G72"/>
    <mergeCell ref="F73:G73"/>
    <mergeCell ref="F74:G74"/>
    <mergeCell ref="B75:B76"/>
    <mergeCell ref="B82:B85"/>
    <mergeCell ref="B88:B89"/>
    <mergeCell ref="B90:B91"/>
    <mergeCell ref="B92:B93"/>
    <mergeCell ref="B94:B97"/>
    <mergeCell ref="B98:B101"/>
    <mergeCell ref="B102:B105"/>
    <mergeCell ref="C88:C89"/>
    <mergeCell ref="C90:C91"/>
    <mergeCell ref="C92:C93"/>
    <mergeCell ref="C94:C97"/>
    <mergeCell ref="C98:C101"/>
    <mergeCell ref="C102:C105"/>
    <mergeCell ref="D66:D67"/>
    <mergeCell ref="D68:D69"/>
    <mergeCell ref="D75:D76"/>
    <mergeCell ref="D78:D81"/>
    <mergeCell ref="D82:D85"/>
    <mergeCell ref="D88:D89"/>
    <mergeCell ref="D90:D91"/>
    <mergeCell ref="D92:D93"/>
    <mergeCell ref="D94:D97"/>
    <mergeCell ref="D98:D101"/>
    <mergeCell ref="D102:D105"/>
    <mergeCell ref="E62:E63"/>
    <mergeCell ref="E66:E67"/>
    <mergeCell ref="E68:E69"/>
    <mergeCell ref="E75:E76"/>
    <mergeCell ref="E88:E89"/>
    <mergeCell ref="E90:E91"/>
    <mergeCell ref="E92:E93"/>
    <mergeCell ref="E94:E97"/>
    <mergeCell ref="E98:E101"/>
    <mergeCell ref="E102:E105"/>
    <mergeCell ref="F62:F63"/>
    <mergeCell ref="F66:F67"/>
    <mergeCell ref="F68:F69"/>
    <mergeCell ref="F75:F76"/>
    <mergeCell ref="F78:F81"/>
    <mergeCell ref="F82:F85"/>
    <mergeCell ref="F88:F89"/>
    <mergeCell ref="F90:F91"/>
    <mergeCell ref="F92:F93"/>
    <mergeCell ref="F94:F97"/>
    <mergeCell ref="F98:F101"/>
    <mergeCell ref="F102:F105"/>
    <mergeCell ref="G62:G63"/>
    <mergeCell ref="G66:G67"/>
    <mergeCell ref="G68:G69"/>
    <mergeCell ref="G75:G76"/>
    <mergeCell ref="G88:G89"/>
    <mergeCell ref="G90:G91"/>
    <mergeCell ref="G92:G93"/>
    <mergeCell ref="G94:G97"/>
    <mergeCell ref="G98:G101"/>
    <mergeCell ref="G102:G105"/>
    <mergeCell ref="H72:H74"/>
    <mergeCell ref="H75:H76"/>
    <mergeCell ref="B62:C63"/>
    <mergeCell ref="H62:I63"/>
    <mergeCell ref="B66:C67"/>
    <mergeCell ref="D72:E74"/>
    <mergeCell ref="G78:H81"/>
    <mergeCell ref="G82:H85"/>
    <mergeCell ref="B68:C69"/>
  </mergeCells>
  <hyperlinks>
    <hyperlink ref="G9" r:id="rId2" display="A2"/>
    <hyperlink ref="C9" r:id="rId3" display="A2"/>
    <hyperlink ref="B9" r:id="rId4" display="V1.13"/>
    <hyperlink ref="F9" r:id="rId5" display="V5.3"/>
    <hyperlink ref="D9" r:id="rId5" display="V5"/>
    <hyperlink ref="E9" r:id="rId6" display="R01"/>
    <hyperlink ref="H9" r:id="rId7" display="A1"/>
    <hyperlink ref="I9" r:id="rId8" display="V1.28"/>
    <hyperlink ref="G24" r:id="rId9" display="A0"/>
    <hyperlink ref="C24" r:id="rId10" display="A0"/>
    <hyperlink ref="B24" r:id="rId11" display="V1.13"/>
    <hyperlink ref="F24" r:id="rId12" display="V5.3"/>
    <hyperlink ref="D24" r:id="rId12" display="V5"/>
    <hyperlink ref="E24" r:id="rId13" display="R01"/>
    <hyperlink ref="H24" r:id="rId14" display="A1"/>
    <hyperlink ref="I24" r:id="rId8" display="V1.28"/>
    <hyperlink ref="G11" r:id="rId15" display="A3"/>
    <hyperlink ref="C11" r:id="rId3" display="A2"/>
    <hyperlink ref="B11" r:id="rId4" display="V1.13"/>
    <hyperlink ref="D11" r:id="rId5" display="V5"/>
    <hyperlink ref="E11" r:id="rId6" display="R01"/>
    <hyperlink ref="H11" r:id="rId7" display="A1"/>
    <hyperlink ref="I11" r:id="rId16" display="V1.29"/>
    <hyperlink ref="F12" r:id="rId17" display="高科润V5.3"/>
    <hyperlink ref="F11" r:id="rId5" display="V5.3"/>
    <hyperlink ref="F25" r:id="rId18" display="高科润V5.3"/>
    <hyperlink ref="C12" r:id="rId3" display="A4"/>
    <hyperlink ref="J9" r:id="rId19" display="Tenpower INR18650-25PG-2500mAh"/>
    <hyperlink ref="J24" r:id="rId20" display="Tenpower  ICR18650 20SG 18650 2000 3.7V "/>
    <hyperlink ref="I25" r:id="rId16" display="V1.29"/>
    <hyperlink ref="C25" r:id="rId10" display="A1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O98"/>
  <sheetViews>
    <sheetView zoomScale="40" zoomScaleNormal="40" topLeftCell="B53" workbookViewId="0">
      <selection activeCell="G69" sqref="G69"/>
    </sheetView>
  </sheetViews>
  <sheetFormatPr defaultColWidth="9" defaultRowHeight="13.5"/>
  <cols>
    <col min="1" max="1" width="12.6666666666667" customWidth="1"/>
    <col min="2" max="2" width="20.4416666666667" customWidth="1"/>
    <col min="3" max="3" width="19.2166666666667" customWidth="1"/>
    <col min="4" max="4" width="14.6666666666667" customWidth="1"/>
    <col min="5" max="7" width="12.6666666666667"/>
    <col min="11" max="11" width="11.2166666666667" customWidth="1"/>
  </cols>
  <sheetData>
    <row r="2" ht="31.5" spans="2:10">
      <c r="B2" s="136" t="s">
        <v>390</v>
      </c>
      <c r="C2" s="29"/>
      <c r="D2" s="29"/>
      <c r="E2" s="29"/>
      <c r="F2" s="29"/>
      <c r="G2" s="29"/>
      <c r="H2" s="29"/>
      <c r="I2" s="29"/>
      <c r="J2" s="115"/>
    </row>
    <row r="3" spans="2:12">
      <c r="B3" s="29"/>
      <c r="C3" s="29" t="s">
        <v>122</v>
      </c>
      <c r="D3" s="29" t="s">
        <v>123</v>
      </c>
      <c r="E3" s="29" t="s">
        <v>124</v>
      </c>
      <c r="F3" s="29" t="s">
        <v>125</v>
      </c>
      <c r="G3" s="29" t="s">
        <v>126</v>
      </c>
      <c r="H3" s="29" t="s">
        <v>127</v>
      </c>
      <c r="I3" s="29" t="s">
        <v>128</v>
      </c>
      <c r="J3" s="115" t="s">
        <v>129</v>
      </c>
      <c r="K3" t="s">
        <v>391</v>
      </c>
      <c r="L3" t="s">
        <v>392</v>
      </c>
    </row>
    <row r="4" spans="3:10">
      <c r="C4" s="29"/>
      <c r="D4" s="29"/>
      <c r="E4" s="29"/>
      <c r="F4" s="29"/>
      <c r="G4" s="29"/>
      <c r="H4" s="29"/>
      <c r="I4" s="29"/>
      <c r="J4" s="115"/>
    </row>
    <row r="5" spans="2:11">
      <c r="B5" s="29" t="s">
        <v>393</v>
      </c>
      <c r="C5" s="137" t="s">
        <v>394</v>
      </c>
      <c r="D5" s="137" t="s">
        <v>153</v>
      </c>
      <c r="E5" s="137" t="s">
        <v>175</v>
      </c>
      <c r="F5" s="137" t="s">
        <v>175</v>
      </c>
      <c r="G5" s="137" t="s">
        <v>175</v>
      </c>
      <c r="H5" s="137" t="s">
        <v>153</v>
      </c>
      <c r="I5" s="137" t="s">
        <v>153</v>
      </c>
      <c r="J5" s="145" t="s">
        <v>395</v>
      </c>
      <c r="K5" s="4" t="s">
        <v>396</v>
      </c>
    </row>
    <row r="6" spans="11:12">
      <c r="K6" t="s">
        <v>397</v>
      </c>
      <c r="L6">
        <v>1900</v>
      </c>
    </row>
    <row r="8" spans="14:14">
      <c r="N8" t="s">
        <v>398</v>
      </c>
    </row>
    <row r="9" spans="10:14">
      <c r="J9" t="s">
        <v>131</v>
      </c>
      <c r="K9">
        <v>3.55</v>
      </c>
      <c r="L9">
        <f>K9*5</f>
        <v>17.75</v>
      </c>
      <c r="N9" t="s">
        <v>399</v>
      </c>
    </row>
    <row r="10" spans="1:12">
      <c r="A10" t="s">
        <v>131</v>
      </c>
      <c r="K10">
        <v>3.6</v>
      </c>
      <c r="L10">
        <f>K10*5</f>
        <v>18</v>
      </c>
    </row>
    <row r="11" spans="1:14">
      <c r="A11" t="s">
        <v>400</v>
      </c>
      <c r="B11">
        <v>3.55</v>
      </c>
      <c r="C11">
        <v>3.6</v>
      </c>
      <c r="D11">
        <v>3.6</v>
      </c>
      <c r="N11" t="s">
        <v>401</v>
      </c>
    </row>
    <row r="12" spans="2:14">
      <c r="B12">
        <f>B11*5</f>
        <v>17.75</v>
      </c>
      <c r="C12">
        <f>C11*5</f>
        <v>18</v>
      </c>
      <c r="D12">
        <f>D11*5</f>
        <v>18</v>
      </c>
      <c r="N12" t="s">
        <v>402</v>
      </c>
    </row>
    <row r="16" spans="1:1">
      <c r="A16" t="s">
        <v>179</v>
      </c>
    </row>
    <row r="17" spans="1:5">
      <c r="A17" t="s">
        <v>403</v>
      </c>
      <c r="C17">
        <f>4.15*5</f>
        <v>20.75</v>
      </c>
      <c r="D17" t="s">
        <v>404</v>
      </c>
      <c r="E17">
        <f>29*1.5</f>
        <v>43.5</v>
      </c>
    </row>
    <row r="18" spans="1:4">
      <c r="A18" t="s">
        <v>405</v>
      </c>
      <c r="C18">
        <f>3.6*5</f>
        <v>18</v>
      </c>
      <c r="D18" t="s">
        <v>404</v>
      </c>
    </row>
    <row r="19" spans="1:4">
      <c r="A19" t="s">
        <v>406</v>
      </c>
      <c r="C19">
        <f>0.98*2000</f>
        <v>1960</v>
      </c>
      <c r="D19" t="s">
        <v>407</v>
      </c>
    </row>
    <row r="20" spans="1:4">
      <c r="A20" t="s">
        <v>408</v>
      </c>
      <c r="C20">
        <f>C18*C19/1000</f>
        <v>35.28</v>
      </c>
      <c r="D20" t="s">
        <v>409</v>
      </c>
    </row>
    <row r="21" spans="5:7">
      <c r="E21">
        <f>2.8*7</f>
        <v>19.6</v>
      </c>
      <c r="F21">
        <f>E21*G21</f>
        <v>8.90909090909091</v>
      </c>
      <c r="G21">
        <f>100/220</f>
        <v>0.454545454545455</v>
      </c>
    </row>
    <row r="22" spans="5:7">
      <c r="E22">
        <f>4.2*7</f>
        <v>29.4</v>
      </c>
      <c r="F22">
        <f>E22*G22</f>
        <v>13.3636363636364</v>
      </c>
      <c r="G22">
        <f>100/220</f>
        <v>0.454545454545455</v>
      </c>
    </row>
    <row r="31" ht="31.5" spans="2:10">
      <c r="B31" s="136" t="s">
        <v>410</v>
      </c>
      <c r="C31" s="29"/>
      <c r="D31" s="29"/>
      <c r="E31" s="29"/>
      <c r="F31" s="29"/>
      <c r="G31" s="29"/>
      <c r="H31" s="29"/>
      <c r="I31" s="29"/>
      <c r="J31" s="115"/>
    </row>
    <row r="32" spans="2:11">
      <c r="B32" s="29"/>
      <c r="C32" s="29" t="s">
        <v>122</v>
      </c>
      <c r="D32" s="29" t="s">
        <v>123</v>
      </c>
      <c r="E32" s="29" t="s">
        <v>124</v>
      </c>
      <c r="F32" s="29" t="s">
        <v>125</v>
      </c>
      <c r="G32" s="29" t="s">
        <v>126</v>
      </c>
      <c r="H32" s="29" t="s">
        <v>127</v>
      </c>
      <c r="I32" s="29" t="s">
        <v>128</v>
      </c>
      <c r="J32" s="115" t="s">
        <v>129</v>
      </c>
      <c r="K32" t="s">
        <v>391</v>
      </c>
    </row>
    <row r="33" spans="3:10">
      <c r="C33" s="29"/>
      <c r="D33" s="29"/>
      <c r="E33" s="29"/>
      <c r="F33" s="29"/>
      <c r="G33" s="29"/>
      <c r="H33" s="29"/>
      <c r="I33" s="29"/>
      <c r="J33" s="115"/>
    </row>
    <row r="34" spans="2:11">
      <c r="B34" s="29" t="s">
        <v>393</v>
      </c>
      <c r="C34" s="137" t="s">
        <v>394</v>
      </c>
      <c r="D34" s="137" t="s">
        <v>153</v>
      </c>
      <c r="E34" s="137" t="s">
        <v>175</v>
      </c>
      <c r="F34" s="137" t="s">
        <v>175</v>
      </c>
      <c r="G34" s="137" t="s">
        <v>175</v>
      </c>
      <c r="H34" s="137" t="s">
        <v>153</v>
      </c>
      <c r="I34" s="137" t="s">
        <v>153</v>
      </c>
      <c r="J34" s="145" t="s">
        <v>395</v>
      </c>
      <c r="K34" s="4" t="s">
        <v>411</v>
      </c>
    </row>
    <row r="35" spans="11:12">
      <c r="K35" t="s">
        <v>397</v>
      </c>
      <c r="L35">
        <v>1900</v>
      </c>
    </row>
    <row r="37" spans="1:4">
      <c r="A37" t="s">
        <v>412</v>
      </c>
      <c r="B37">
        <v>3.53</v>
      </c>
      <c r="C37">
        <v>3.61</v>
      </c>
      <c r="D37">
        <v>3.7</v>
      </c>
    </row>
    <row r="38" spans="2:4">
      <c r="B38">
        <f>B37*5</f>
        <v>17.65</v>
      </c>
      <c r="C38">
        <f>C37*5</f>
        <v>18.05</v>
      </c>
      <c r="D38">
        <f>D37*5</f>
        <v>18.5</v>
      </c>
    </row>
    <row r="39" spans="13:15">
      <c r="M39" t="s">
        <v>413</v>
      </c>
      <c r="N39" t="s">
        <v>414</v>
      </c>
      <c r="O39" t="s">
        <v>415</v>
      </c>
    </row>
    <row r="40" spans="1:15">
      <c r="A40" s="138"/>
      <c r="B40" s="138" t="s">
        <v>159</v>
      </c>
      <c r="C40" s="138" t="s">
        <v>160</v>
      </c>
      <c r="D40" s="138" t="s">
        <v>161</v>
      </c>
      <c r="E40" s="138" t="s">
        <v>162</v>
      </c>
      <c r="M40" t="s">
        <v>416</v>
      </c>
      <c r="N40" t="s">
        <v>414</v>
      </c>
      <c r="O40" t="s">
        <v>417</v>
      </c>
    </row>
    <row r="41" spans="1:5">
      <c r="A41" s="139" t="s">
        <v>163</v>
      </c>
      <c r="B41" s="139">
        <f>C41-E41</f>
        <v>15</v>
      </c>
      <c r="C41" s="139">
        <v>20</v>
      </c>
      <c r="D41" s="139">
        <f>C41+E41</f>
        <v>25</v>
      </c>
      <c r="E41" s="138">
        <v>5</v>
      </c>
    </row>
    <row r="42" spans="1:5">
      <c r="A42" s="139" t="s">
        <v>164</v>
      </c>
      <c r="B42" s="139">
        <f>C42-E42</f>
        <v>45</v>
      </c>
      <c r="C42" s="139">
        <v>50</v>
      </c>
      <c r="D42" s="139">
        <f>C42+E42</f>
        <v>55</v>
      </c>
      <c r="E42" s="138">
        <v>5</v>
      </c>
    </row>
    <row r="43" spans="1:15">
      <c r="A43" s="139" t="s">
        <v>165</v>
      </c>
      <c r="B43" s="139">
        <f>C43-E43</f>
        <v>90</v>
      </c>
      <c r="C43" s="139">
        <v>100</v>
      </c>
      <c r="D43" s="139">
        <f>C43+E43</f>
        <v>110</v>
      </c>
      <c r="E43" s="138">
        <v>10</v>
      </c>
      <c r="M43" t="s">
        <v>413</v>
      </c>
      <c r="N43" t="s">
        <v>414</v>
      </c>
      <c r="O43" t="s">
        <v>418</v>
      </c>
    </row>
    <row r="44" spans="1:15">
      <c r="A44" s="139" t="s">
        <v>166</v>
      </c>
      <c r="B44" s="139">
        <f>C44-E44</f>
        <v>180</v>
      </c>
      <c r="C44" s="139">
        <v>200</v>
      </c>
      <c r="D44" s="139">
        <f>C44+E44</f>
        <v>220</v>
      </c>
      <c r="E44" s="138">
        <v>20</v>
      </c>
      <c r="M44" t="s">
        <v>416</v>
      </c>
      <c r="N44" t="s">
        <v>414</v>
      </c>
      <c r="O44" t="s">
        <v>419</v>
      </c>
    </row>
    <row r="45" spans="1:5">
      <c r="A45" s="139" t="s">
        <v>167</v>
      </c>
      <c r="B45" s="139">
        <f>C45*(1-E45)</f>
        <v>2.97</v>
      </c>
      <c r="C45" s="139">
        <v>3</v>
      </c>
      <c r="D45" s="139">
        <f>C45*(1+E45)</f>
        <v>3.03</v>
      </c>
      <c r="E45" s="138">
        <v>0.01</v>
      </c>
    </row>
    <row r="46" spans="1:5">
      <c r="A46" s="140" t="s">
        <v>163</v>
      </c>
      <c r="B46" s="140">
        <f>B41/$D$45</f>
        <v>4.95049504950495</v>
      </c>
      <c r="C46" s="140">
        <f>C41/$C$45</f>
        <v>6.66666666666667</v>
      </c>
      <c r="D46" s="140">
        <f>D41/$B$45</f>
        <v>8.41750841750842</v>
      </c>
      <c r="E46" s="141">
        <f>(D46-B46)/2</f>
        <v>1.73350668400173</v>
      </c>
    </row>
    <row r="47" spans="1:5">
      <c r="A47" s="140" t="s">
        <v>164</v>
      </c>
      <c r="B47" s="140">
        <f>B42/$D$45</f>
        <v>14.8514851485149</v>
      </c>
      <c r="C47" s="140">
        <f>C42/$C$45</f>
        <v>16.6666666666667</v>
      </c>
      <c r="D47" s="140">
        <f>D42/$B$45</f>
        <v>18.5185185185185</v>
      </c>
      <c r="E47" s="141">
        <f>(D47-B47)/2</f>
        <v>1.83351668500183</v>
      </c>
    </row>
    <row r="48" spans="1:5">
      <c r="A48" s="140" t="s">
        <v>165</v>
      </c>
      <c r="B48" s="140">
        <f>B43/$D$45</f>
        <v>29.7029702970297</v>
      </c>
      <c r="C48" s="140">
        <f>C43/$C$45</f>
        <v>33.3333333333333</v>
      </c>
      <c r="D48" s="140">
        <f>D43/$B$45</f>
        <v>37.037037037037</v>
      </c>
      <c r="E48" s="141">
        <f>(D48-B48)/2</f>
        <v>3.66703337000367</v>
      </c>
    </row>
    <row r="49" spans="1:5">
      <c r="A49" s="140" t="s">
        <v>166</v>
      </c>
      <c r="B49" s="140">
        <f>B44/$D$45</f>
        <v>59.4059405940594</v>
      </c>
      <c r="C49" s="140">
        <f>C44/$C$45</f>
        <v>66.6666666666667</v>
      </c>
      <c r="D49" s="140">
        <f>D44/$B$45</f>
        <v>74.0740740740741</v>
      </c>
      <c r="E49" s="141">
        <f>(D49-B49)/2</f>
        <v>7.33406674000734</v>
      </c>
    </row>
    <row r="50" spans="1:4">
      <c r="A50" s="142"/>
      <c r="B50" s="142"/>
      <c r="C50" s="142"/>
      <c r="D50" s="142"/>
    </row>
    <row r="51" ht="31.5" spans="1:4">
      <c r="A51" s="143" t="s">
        <v>420</v>
      </c>
      <c r="B51" s="143" t="s">
        <v>421</v>
      </c>
      <c r="C51" s="143" t="s">
        <v>422</v>
      </c>
      <c r="D51" s="143" t="s">
        <v>423</v>
      </c>
    </row>
    <row r="52" ht="126" spans="1:4">
      <c r="A52" s="144" t="s">
        <v>424</v>
      </c>
      <c r="B52" s="144" t="s">
        <v>425</v>
      </c>
      <c r="C52" s="144" t="s">
        <v>426</v>
      </c>
      <c r="D52" s="144" t="s">
        <v>427</v>
      </c>
    </row>
    <row r="53" ht="126" spans="1:4">
      <c r="A53" s="144" t="s">
        <v>428</v>
      </c>
      <c r="B53" s="144" t="s">
        <v>429</v>
      </c>
      <c r="C53" s="144" t="s">
        <v>430</v>
      </c>
      <c r="D53" s="144" t="s">
        <v>431</v>
      </c>
    </row>
    <row r="74" spans="2:2">
      <c r="B74">
        <f>7800*0.2</f>
        <v>1560</v>
      </c>
    </row>
    <row r="75" spans="2:3">
      <c r="B75">
        <f>B74/0.00015</f>
        <v>10400000</v>
      </c>
      <c r="C75" t="s">
        <v>432</v>
      </c>
    </row>
    <row r="76" spans="2:2">
      <c r="B76">
        <f>B75/24</f>
        <v>433333.333333333</v>
      </c>
    </row>
    <row r="77" spans="2:2">
      <c r="B77">
        <f>B76/30</f>
        <v>14444.4444444444</v>
      </c>
    </row>
    <row r="78" spans="2:2">
      <c r="B78">
        <f>B77/12</f>
        <v>1203.7037037037</v>
      </c>
    </row>
    <row r="87" ht="31.5" spans="3:11">
      <c r="C87" s="136" t="s">
        <v>433</v>
      </c>
      <c r="D87" s="29"/>
      <c r="E87" s="29"/>
      <c r="F87" s="29"/>
      <c r="G87" s="29"/>
      <c r="H87" s="29"/>
      <c r="I87" s="29"/>
      <c r="J87" s="29"/>
      <c r="K87" s="115"/>
    </row>
    <row r="88" ht="14.25" spans="3:15">
      <c r="C88" s="29"/>
      <c r="D88" s="146" t="s">
        <v>122</v>
      </c>
      <c r="E88" s="8" t="s">
        <v>123</v>
      </c>
      <c r="F88" s="146" t="s">
        <v>124</v>
      </c>
      <c r="G88" s="146" t="s">
        <v>125</v>
      </c>
      <c r="H88" s="146" t="s">
        <v>126</v>
      </c>
      <c r="I88" s="146" t="s">
        <v>127</v>
      </c>
      <c r="J88" s="146" t="s">
        <v>128</v>
      </c>
      <c r="K88" s="147" t="s">
        <v>129</v>
      </c>
      <c r="L88" s="147" t="s">
        <v>69</v>
      </c>
      <c r="M88" s="8" t="s">
        <v>130</v>
      </c>
      <c r="N88" s="8" t="s">
        <v>131</v>
      </c>
      <c r="O88" s="8" t="s">
        <v>132</v>
      </c>
    </row>
    <row r="89" ht="54.75" spans="3:15">
      <c r="C89" s="29" t="s">
        <v>141</v>
      </c>
      <c r="D89" s="137" t="s">
        <v>142</v>
      </c>
      <c r="E89" s="137" t="s">
        <v>147</v>
      </c>
      <c r="F89" s="137" t="s">
        <v>154</v>
      </c>
      <c r="G89" s="146" t="s">
        <v>175</v>
      </c>
      <c r="H89" s="137" t="s">
        <v>146</v>
      </c>
      <c r="I89" s="137" t="s">
        <v>147</v>
      </c>
      <c r="J89" s="137" t="s">
        <v>143</v>
      </c>
      <c r="K89" s="148" t="s">
        <v>155</v>
      </c>
      <c r="L89" s="149" t="s">
        <v>91</v>
      </c>
      <c r="M89" s="29"/>
      <c r="N89" s="29"/>
      <c r="O89" s="29"/>
    </row>
    <row r="90" spans="3:15">
      <c r="C90" s="29"/>
      <c r="D90" s="29"/>
      <c r="E90" s="29"/>
      <c r="F90" s="29"/>
      <c r="G90" s="29"/>
      <c r="H90" s="29"/>
      <c r="I90" s="29"/>
      <c r="J90" s="29"/>
      <c r="K90" s="115"/>
      <c r="L90" s="112"/>
      <c r="M90" s="29"/>
      <c r="N90" s="29"/>
      <c r="O90" s="29"/>
    </row>
    <row r="91" spans="3:15">
      <c r="C91" s="29"/>
      <c r="D91" s="137"/>
      <c r="E91" s="137"/>
      <c r="F91" s="137"/>
      <c r="G91" s="137"/>
      <c r="H91" s="137"/>
      <c r="I91" s="137"/>
      <c r="J91" s="137"/>
      <c r="K91" s="148"/>
      <c r="L91" s="29"/>
      <c r="M91" s="29"/>
      <c r="N91" s="29"/>
      <c r="O91" s="29"/>
    </row>
    <row r="92" spans="3:15">
      <c r="C92" s="29"/>
      <c r="D92" s="29"/>
      <c r="E92" s="137"/>
      <c r="F92" s="29"/>
      <c r="G92" s="29"/>
      <c r="H92" s="137"/>
      <c r="I92" s="29"/>
      <c r="J92" s="29"/>
      <c r="K92" s="115"/>
      <c r="L92" s="29"/>
      <c r="M92" s="29"/>
      <c r="N92" s="29"/>
      <c r="O92" s="29"/>
    </row>
    <row r="95" spans="5:5">
      <c r="E95" t="s">
        <v>434</v>
      </c>
    </row>
    <row r="96" spans="5:5">
      <c r="E96" t="s">
        <v>435</v>
      </c>
    </row>
    <row r="97" spans="5:5">
      <c r="E97" t="s">
        <v>436</v>
      </c>
    </row>
    <row r="98" spans="5:5">
      <c r="E98" t="s">
        <v>437</v>
      </c>
    </row>
  </sheetData>
  <hyperlinks>
    <hyperlink ref="H5" r:id="rId2" display="A0"/>
    <hyperlink ref="D5" r:id="rId3" display="A0"/>
    <hyperlink ref="C5" r:id="rId4" display="B"/>
    <hyperlink ref="G5" r:id="rId5" display="R00"/>
    <hyperlink ref="E5" r:id="rId5" display="R00"/>
    <hyperlink ref="F5" r:id="rId6" display="R00"/>
    <hyperlink ref="I5" r:id="rId7" display="A0"/>
    <hyperlink ref="K5" r:id="rId8" display="EVE 18650-20P"/>
    <hyperlink ref="H34" r:id="rId2" display="A0"/>
    <hyperlink ref="D34" r:id="rId3" display="A0"/>
    <hyperlink ref="C34" r:id="rId4" display="B"/>
    <hyperlink ref="G34" r:id="rId5" display="R00"/>
    <hyperlink ref="E34" r:id="rId5" display="R00"/>
    <hyperlink ref="F34" r:id="rId6" display="R00"/>
    <hyperlink ref="I34" r:id="rId7" display="A0"/>
    <hyperlink ref="K34" r:id="rId9" display="Tenpower 18650-20P"/>
    <hyperlink ref="I89" r:id="rId10" display="A2"/>
    <hyperlink ref="E89" r:id="rId11" display="A2"/>
    <hyperlink ref="D89" r:id="rId12" display="V1.13"/>
    <hyperlink ref="H89" r:id="rId13" display="V5.3"/>
    <hyperlink ref="F89" r:id="rId13" display="V5"/>
    <hyperlink ref="G89" r:id="rId14" display="R00"/>
    <hyperlink ref="J89" r:id="rId15" display="A1"/>
    <hyperlink ref="K89" r:id="rId16" display="V1.28"/>
    <hyperlink ref="L89" r:id="rId17" display="Tenpower INR18650-25PG-2500mAh"/>
  </hyperlinks>
  <pageMargins left="0.7" right="0.7" top="0.75" bottom="0.75" header="0.3" footer="0.3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U64"/>
  <sheetViews>
    <sheetView zoomScale="115" zoomScaleNormal="115" workbookViewId="0">
      <selection activeCell="C6" sqref="C6"/>
    </sheetView>
  </sheetViews>
  <sheetFormatPr defaultColWidth="9" defaultRowHeight="13.5"/>
  <cols>
    <col min="1" max="1" width="11.775" customWidth="1"/>
    <col min="3" max="3" width="25" customWidth="1"/>
    <col min="4" max="4" width="10.3333333333333"/>
    <col min="8" max="8" width="12.6666666666667"/>
    <col min="10" max="10" width="17.3333333333333" customWidth="1"/>
    <col min="11" max="11" width="17" customWidth="1"/>
    <col min="12" max="12" width="18.775" customWidth="1"/>
  </cols>
  <sheetData>
    <row r="3" ht="27" spans="1:6">
      <c r="A3" s="118" t="s">
        <v>438</v>
      </c>
      <c r="F3">
        <f>24*3</f>
        <v>72</v>
      </c>
    </row>
    <row r="4" ht="27" spans="1:13">
      <c r="A4" s="9" t="s">
        <v>151</v>
      </c>
      <c r="B4" s="9" t="s">
        <v>122</v>
      </c>
      <c r="C4" s="9" t="s">
        <v>123</v>
      </c>
      <c r="D4" s="9" t="s">
        <v>124</v>
      </c>
      <c r="E4" s="9" t="s">
        <v>125</v>
      </c>
      <c r="F4" s="9" t="s">
        <v>126</v>
      </c>
      <c r="G4" s="9" t="s">
        <v>127</v>
      </c>
      <c r="H4" s="9" t="s">
        <v>128</v>
      </c>
      <c r="I4" s="130" t="s">
        <v>129</v>
      </c>
      <c r="J4" s="130" t="s">
        <v>69</v>
      </c>
      <c r="K4" s="9" t="s">
        <v>130</v>
      </c>
      <c r="L4" s="9" t="s">
        <v>132</v>
      </c>
      <c r="M4" s="9"/>
    </row>
    <row r="5" spans="1:13">
      <c r="A5" s="9" t="s">
        <v>439</v>
      </c>
      <c r="B5" s="9"/>
      <c r="C5" s="9"/>
      <c r="D5" s="9"/>
      <c r="E5" s="9"/>
      <c r="F5" s="9"/>
      <c r="G5" s="9"/>
      <c r="H5" s="9"/>
      <c r="I5" s="130"/>
      <c r="J5" s="130"/>
      <c r="K5" s="9"/>
      <c r="L5" s="9"/>
      <c r="M5" s="9"/>
    </row>
    <row r="6" ht="27" spans="1:13">
      <c r="A6" s="119" t="s">
        <v>152</v>
      </c>
      <c r="B6" s="102" t="s">
        <v>440</v>
      </c>
      <c r="C6" s="102" t="s">
        <v>239</v>
      </c>
      <c r="D6" s="120" t="s">
        <v>154</v>
      </c>
      <c r="E6" s="102" t="s">
        <v>175</v>
      </c>
      <c r="F6" s="102" t="s">
        <v>146</v>
      </c>
      <c r="G6" s="102" t="s">
        <v>153</v>
      </c>
      <c r="H6" s="120" t="s">
        <v>143</v>
      </c>
      <c r="I6" s="120" t="s">
        <v>155</v>
      </c>
      <c r="J6" s="11" t="s">
        <v>156</v>
      </c>
      <c r="K6" s="29">
        <f>2000*0.98*0.97</f>
        <v>1901.2</v>
      </c>
      <c r="L6" s="131" t="s">
        <v>441</v>
      </c>
      <c r="M6" s="120"/>
    </row>
    <row r="7" ht="27" spans="1:14">
      <c r="A7" s="121" t="s">
        <v>141</v>
      </c>
      <c r="B7" s="26"/>
      <c r="C7" s="26"/>
      <c r="D7" s="26"/>
      <c r="E7" s="26"/>
      <c r="F7" s="26"/>
      <c r="G7" s="26"/>
      <c r="H7" s="26"/>
      <c r="I7" s="26"/>
      <c r="J7" s="25"/>
      <c r="K7" s="132"/>
      <c r="L7" s="26" t="s">
        <v>442</v>
      </c>
      <c r="M7" s="26" t="s">
        <v>443</v>
      </c>
      <c r="N7" s="33"/>
    </row>
    <row r="8" ht="40.5" spans="1:14">
      <c r="A8" s="121" t="s">
        <v>241</v>
      </c>
      <c r="B8" s="26"/>
      <c r="C8" s="26"/>
      <c r="D8" s="26"/>
      <c r="E8" s="26"/>
      <c r="F8" s="26"/>
      <c r="G8" s="26"/>
      <c r="H8" s="26"/>
      <c r="I8" s="26"/>
      <c r="J8" s="25"/>
      <c r="K8" s="132"/>
      <c r="L8" s="26" t="s">
        <v>444</v>
      </c>
      <c r="M8" s="26" t="s">
        <v>445</v>
      </c>
      <c r="N8" s="33"/>
    </row>
    <row r="9" ht="26.25" spans="1:14">
      <c r="A9" s="121"/>
      <c r="B9" s="122"/>
      <c r="C9" s="122"/>
      <c r="D9" s="122"/>
      <c r="E9" s="122"/>
      <c r="F9" s="122"/>
      <c r="G9" s="122"/>
      <c r="H9" s="122"/>
      <c r="I9" s="122"/>
      <c r="J9" s="122"/>
      <c r="K9" s="133" t="s">
        <v>182</v>
      </c>
      <c r="L9" s="133">
        <f>4.15*4</f>
        <v>16.6</v>
      </c>
      <c r="M9" s="133"/>
      <c r="N9" s="33"/>
    </row>
    <row r="10" ht="25.5" spans="1:13">
      <c r="A10" s="121"/>
      <c r="B10" s="123"/>
      <c r="C10" s="124"/>
      <c r="D10" s="125"/>
      <c r="E10" s="121"/>
      <c r="F10" s="121"/>
      <c r="G10" s="121"/>
      <c r="H10" s="121"/>
      <c r="I10" s="121"/>
      <c r="J10" s="121"/>
      <c r="K10" s="133" t="s">
        <v>185</v>
      </c>
      <c r="L10" s="133">
        <f>3.7*4</f>
        <v>14.8</v>
      </c>
      <c r="M10" s="133"/>
    </row>
    <row r="11" ht="26.25" spans="1:13">
      <c r="A11" s="121"/>
      <c r="B11" s="126"/>
      <c r="C11" s="127"/>
      <c r="D11" s="128"/>
      <c r="E11" s="121"/>
      <c r="F11" s="121">
        <f>16.7/4</f>
        <v>4.175</v>
      </c>
      <c r="G11" s="121"/>
      <c r="H11" s="121"/>
      <c r="I11" s="121"/>
      <c r="J11" s="121"/>
      <c r="K11" s="133" t="s">
        <v>188</v>
      </c>
      <c r="L11" s="133">
        <v>1.85</v>
      </c>
      <c r="M11" s="133" t="s">
        <v>250</v>
      </c>
    </row>
    <row r="12" ht="36" customHeight="1" spans="1:13">
      <c r="A12" s="121"/>
      <c r="B12" s="121"/>
      <c r="C12" s="121"/>
      <c r="D12" s="121"/>
      <c r="E12" s="121"/>
      <c r="F12" s="121">
        <f>16.7+0.7</f>
        <v>17.4</v>
      </c>
      <c r="G12" s="121"/>
      <c r="H12" s="121"/>
      <c r="I12" s="121"/>
      <c r="J12" s="121"/>
      <c r="K12" s="133" t="s">
        <v>191</v>
      </c>
      <c r="L12" s="133">
        <f>L11*L10</f>
        <v>27.38</v>
      </c>
      <c r="M12" s="133"/>
    </row>
    <row r="13" spans="1:13">
      <c r="A13" s="121"/>
      <c r="B13" s="121"/>
      <c r="C13" s="121"/>
      <c r="D13" s="121"/>
      <c r="E13" s="121"/>
      <c r="F13" s="121"/>
      <c r="G13" s="121"/>
      <c r="H13" s="121"/>
      <c r="I13" s="121"/>
      <c r="J13" s="121"/>
      <c r="K13" s="133" t="s">
        <v>263</v>
      </c>
      <c r="L13" s="133">
        <f>M13</f>
        <v>1901.2</v>
      </c>
      <c r="M13" s="133">
        <f>2000*0.98*0.97</f>
        <v>1901.2</v>
      </c>
    </row>
    <row r="14" ht="14.1" customHeight="1" spans="1:14">
      <c r="A14" s="121"/>
      <c r="B14" s="121"/>
      <c r="C14" s="121"/>
      <c r="D14" s="121"/>
      <c r="E14" s="121"/>
      <c r="F14" s="121"/>
      <c r="G14" s="121">
        <f>12.36-0.7</f>
        <v>11.66</v>
      </c>
      <c r="H14" s="121">
        <f>40/2000</f>
        <v>0.02</v>
      </c>
      <c r="I14" s="121"/>
      <c r="J14" s="121"/>
      <c r="K14" s="133" t="s">
        <v>265</v>
      </c>
      <c r="L14" s="133"/>
      <c r="M14" s="133">
        <f>2000*0.98*0.97</f>
        <v>1901.2</v>
      </c>
      <c r="N14" s="133">
        <f>1950*0.98*0.97</f>
        <v>1853.67</v>
      </c>
    </row>
    <row r="15" ht="14.1" customHeight="1" spans="1:13">
      <c r="A15" s="121"/>
      <c r="B15" s="121"/>
      <c r="C15" s="121"/>
      <c r="D15" s="121"/>
      <c r="E15" s="121"/>
      <c r="F15" s="121"/>
      <c r="G15" s="121"/>
      <c r="H15" s="121"/>
      <c r="I15" s="121"/>
      <c r="J15" s="121"/>
      <c r="K15" s="133"/>
      <c r="L15" s="29"/>
      <c r="M15" s="29"/>
    </row>
    <row r="16" ht="14.1" customHeight="1" spans="1:21">
      <c r="A16" s="121"/>
      <c r="B16" s="121"/>
      <c r="C16" s="12" t="s">
        <v>177</v>
      </c>
      <c r="D16" s="19">
        <v>4</v>
      </c>
      <c r="E16" s="19"/>
      <c r="F16" s="19" t="s">
        <v>178</v>
      </c>
      <c r="G16" s="13"/>
      <c r="H16" s="121"/>
      <c r="I16" s="121"/>
      <c r="J16" s="121"/>
      <c r="K16" s="133" t="s">
        <v>446</v>
      </c>
      <c r="L16" s="29">
        <f>L11*0.6</f>
        <v>1.11</v>
      </c>
      <c r="M16" s="29"/>
      <c r="R16" s="135">
        <f>1850*0.2</f>
        <v>370</v>
      </c>
      <c r="S16" s="135"/>
      <c r="T16" s="135"/>
      <c r="U16" s="135"/>
    </row>
    <row r="17" ht="14.1" customHeight="1" spans="1:21">
      <c r="A17" s="121"/>
      <c r="B17" s="121"/>
      <c r="C17" s="28" t="s">
        <v>179</v>
      </c>
      <c r="D17" s="29"/>
      <c r="E17" s="29"/>
      <c r="G17" s="15"/>
      <c r="H17" s="121"/>
      <c r="I17" s="121"/>
      <c r="J17" s="121"/>
      <c r="K17" s="133"/>
      <c r="L17" s="29">
        <f>1/0.6</f>
        <v>1.66666666666667</v>
      </c>
      <c r="M17" s="29">
        <f>1/0.2</f>
        <v>5</v>
      </c>
      <c r="R17" s="135">
        <f>R16/0.03</f>
        <v>12333.3333333333</v>
      </c>
      <c r="S17" s="135"/>
      <c r="T17" s="135"/>
      <c r="U17" s="135"/>
    </row>
    <row r="18" ht="14.1" customHeight="1" spans="1:21">
      <c r="A18" s="121"/>
      <c r="B18" s="121"/>
      <c r="C18" s="28" t="s">
        <v>182</v>
      </c>
      <c r="D18" s="29">
        <f>4.15*D16</f>
        <v>16.6</v>
      </c>
      <c r="F18" s="29">
        <f>D18/5</f>
        <v>3.32</v>
      </c>
      <c r="G18" s="15"/>
      <c r="H18" s="121"/>
      <c r="I18" s="121"/>
      <c r="J18" s="121"/>
      <c r="K18" s="133" t="s">
        <v>447</v>
      </c>
      <c r="L18" s="29">
        <f>L17*60</f>
        <v>100</v>
      </c>
      <c r="M18" s="29"/>
      <c r="R18" s="135">
        <f>R17/24</f>
        <v>513.888888888889</v>
      </c>
      <c r="S18" s="135"/>
      <c r="T18" s="135" t="s">
        <v>448</v>
      </c>
      <c r="U18" s="135" t="s">
        <v>449</v>
      </c>
    </row>
    <row r="19" ht="14.1" customHeight="1" spans="1:21">
      <c r="A19" s="121"/>
      <c r="B19" s="121"/>
      <c r="C19" s="28" t="s">
        <v>185</v>
      </c>
      <c r="D19" s="29">
        <f>3.7*D16</f>
        <v>14.8</v>
      </c>
      <c r="E19" s="29"/>
      <c r="G19" s="15"/>
      <c r="H19" s="121"/>
      <c r="I19" s="121"/>
      <c r="J19" s="121"/>
      <c r="K19" s="133"/>
      <c r="L19" s="29">
        <f>L18*0.86</f>
        <v>86</v>
      </c>
      <c r="M19" s="29"/>
      <c r="R19" s="135">
        <f>R18/30</f>
        <v>17.1296296296296</v>
      </c>
      <c r="S19" s="135"/>
      <c r="T19" s="135"/>
      <c r="U19" s="135"/>
    </row>
    <row r="20" ht="14.1" customHeight="1" spans="1:13">
      <c r="A20" s="121"/>
      <c r="B20" s="121"/>
      <c r="C20" s="28" t="s">
        <v>188</v>
      </c>
      <c r="D20" s="29">
        <v>1.85</v>
      </c>
      <c r="E20" s="29"/>
      <c r="G20" s="15"/>
      <c r="H20" s="121"/>
      <c r="I20" s="121"/>
      <c r="J20" s="121"/>
      <c r="K20" s="133">
        <f>1850*0.96</f>
        <v>1776</v>
      </c>
      <c r="L20" s="29"/>
      <c r="M20" s="29"/>
    </row>
    <row r="21" ht="14.1" customHeight="1" spans="1:13">
      <c r="A21" s="121"/>
      <c r="B21" s="121"/>
      <c r="C21" s="28" t="s">
        <v>191</v>
      </c>
      <c r="D21" s="29">
        <f>D20*D19</f>
        <v>27.38</v>
      </c>
      <c r="E21" s="29"/>
      <c r="G21" s="15"/>
      <c r="H21" s="121"/>
      <c r="I21" s="121"/>
      <c r="J21" s="121"/>
      <c r="K21" s="133"/>
      <c r="L21" s="29"/>
      <c r="M21" s="29"/>
    </row>
    <row r="22" ht="14.1" customHeight="1" spans="1:13">
      <c r="A22" s="121"/>
      <c r="B22" s="121"/>
      <c r="C22" s="28" t="s">
        <v>194</v>
      </c>
      <c r="D22" s="29">
        <f>F22*0.98*0.97</f>
        <v>1853.67</v>
      </c>
      <c r="F22" s="1">
        <v>1950</v>
      </c>
      <c r="G22" s="15"/>
      <c r="H22" s="121"/>
      <c r="I22" s="121"/>
      <c r="J22" s="121"/>
      <c r="K22" s="133"/>
      <c r="L22" s="29">
        <f>17.65/4</f>
        <v>4.4125</v>
      </c>
      <c r="M22" s="29"/>
    </row>
    <row r="23" ht="14.1" customHeight="1" spans="1:13">
      <c r="A23" s="121"/>
      <c r="B23" s="121"/>
      <c r="C23" s="28" t="s">
        <v>197</v>
      </c>
      <c r="D23" s="29">
        <f>F23*0.98*0.97</f>
        <v>1901.2</v>
      </c>
      <c r="F23">
        <v>2000</v>
      </c>
      <c r="G23" s="15"/>
      <c r="H23" s="121"/>
      <c r="I23" s="121"/>
      <c r="J23" s="121"/>
      <c r="K23" s="133">
        <f>289/300</f>
        <v>0.963333333333333</v>
      </c>
      <c r="L23" s="29"/>
      <c r="M23" s="29"/>
    </row>
    <row r="24" ht="14.1" customHeight="1" spans="1:13">
      <c r="A24" s="121"/>
      <c r="B24" s="121"/>
      <c r="C24" s="28" t="s">
        <v>450</v>
      </c>
      <c r="D24">
        <f>D16*F24+20</f>
        <v>100</v>
      </c>
      <c r="F24">
        <v>20</v>
      </c>
      <c r="G24" s="15"/>
      <c r="H24" s="121"/>
      <c r="I24" s="121"/>
      <c r="J24" s="121"/>
      <c r="K24" s="133"/>
      <c r="L24" s="29"/>
      <c r="M24" s="29"/>
    </row>
    <row r="25" ht="14.1" customHeight="1" spans="1:13">
      <c r="A25" s="121"/>
      <c r="B25" s="121"/>
      <c r="C25" s="14"/>
      <c r="G25" s="15"/>
      <c r="H25" s="121"/>
      <c r="I25" s="121"/>
      <c r="J25" s="121"/>
      <c r="K25" s="133"/>
      <c r="L25" s="29"/>
      <c r="M25" s="29"/>
    </row>
    <row r="26" ht="14.1" customHeight="1" spans="1:13">
      <c r="A26" s="121"/>
      <c r="B26" s="121"/>
      <c r="C26" s="28"/>
      <c r="D26" s="29"/>
      <c r="E26" s="29"/>
      <c r="G26" s="15"/>
      <c r="H26" s="121"/>
      <c r="I26" s="121"/>
      <c r="J26" s="121"/>
      <c r="K26" s="133"/>
      <c r="L26" s="29"/>
      <c r="M26" s="29"/>
    </row>
    <row r="27" ht="14.1" customHeight="1" spans="1:13">
      <c r="A27" s="121"/>
      <c r="B27" s="121"/>
      <c r="C27" s="28" t="s">
        <v>199</v>
      </c>
      <c r="D27" s="30">
        <v>3.6</v>
      </c>
      <c r="E27" s="30">
        <v>3.65</v>
      </c>
      <c r="F27" s="30"/>
      <c r="G27" s="15"/>
      <c r="H27" s="121" t="s">
        <v>451</v>
      </c>
      <c r="I27" s="121"/>
      <c r="J27" s="121"/>
      <c r="K27" s="133"/>
      <c r="L27" s="29"/>
      <c r="M27" s="29"/>
    </row>
    <row r="28" ht="14.1" customHeight="1" spans="1:13">
      <c r="A28" s="121"/>
      <c r="B28" s="121"/>
      <c r="C28" s="28" t="s">
        <v>131</v>
      </c>
      <c r="D28" s="30">
        <f>D27*D16</f>
        <v>14.4</v>
      </c>
      <c r="E28" s="30">
        <f>E27*D16</f>
        <v>14.6</v>
      </c>
      <c r="F28" s="30"/>
      <c r="G28" s="15"/>
      <c r="H28" s="121">
        <f>1.85*0.6</f>
        <v>1.11</v>
      </c>
      <c r="I28" s="121"/>
      <c r="J28" s="121"/>
      <c r="K28" s="133"/>
      <c r="L28" s="29"/>
      <c r="M28" s="29"/>
    </row>
    <row r="29" ht="14.1" customHeight="1" spans="1:13">
      <c r="A29" s="121"/>
      <c r="B29" s="121"/>
      <c r="C29" s="28"/>
      <c r="D29" s="30"/>
      <c r="E29" s="30"/>
      <c r="F29" s="30"/>
      <c r="G29" s="15"/>
      <c r="H29" s="121">
        <f>1000/1850</f>
        <v>0.540540540540541</v>
      </c>
      <c r="I29" s="121"/>
      <c r="J29" s="121"/>
      <c r="K29" s="133"/>
      <c r="L29" s="29"/>
      <c r="M29" s="29"/>
    </row>
    <row r="30" ht="14.1" customHeight="1" spans="1:14">
      <c r="A30" s="121"/>
      <c r="B30" s="121"/>
      <c r="C30" s="28"/>
      <c r="D30" s="30"/>
      <c r="E30" s="30"/>
      <c r="F30" s="30"/>
      <c r="G30" s="15"/>
      <c r="H30" s="121">
        <f>1/H29</f>
        <v>1.85</v>
      </c>
      <c r="I30" s="121"/>
      <c r="J30" s="121"/>
      <c r="K30" s="133"/>
      <c r="L30" s="29"/>
      <c r="M30" s="29"/>
      <c r="N30">
        <f>24*3</f>
        <v>72</v>
      </c>
    </row>
    <row r="31" ht="14.1" customHeight="1" spans="1:13">
      <c r="A31" s="121"/>
      <c r="B31" s="121"/>
      <c r="C31" s="28" t="s">
        <v>200</v>
      </c>
      <c r="D31" s="30">
        <f>D16*F31</f>
        <v>11.2</v>
      </c>
      <c r="E31" s="30"/>
      <c r="F31" s="30">
        <v>2.8</v>
      </c>
      <c r="G31" s="15"/>
      <c r="H31" s="121">
        <f>60*H30</f>
        <v>111</v>
      </c>
      <c r="I31" s="121" t="s">
        <v>452</v>
      </c>
      <c r="J31" s="121"/>
      <c r="K31" s="133"/>
      <c r="L31" s="29"/>
      <c r="M31" s="29"/>
    </row>
    <row r="32" ht="14.1" customHeight="1" spans="1:13">
      <c r="A32" s="121"/>
      <c r="B32" s="121"/>
      <c r="C32" s="28" t="s">
        <v>201</v>
      </c>
      <c r="D32" s="30">
        <f>D16*F32</f>
        <v>16.7</v>
      </c>
      <c r="E32" s="30"/>
      <c r="F32" s="30">
        <v>4.175</v>
      </c>
      <c r="G32" s="15"/>
      <c r="H32" s="121">
        <f>H31*I32</f>
        <v>83.25</v>
      </c>
      <c r="I32" s="121">
        <v>0.75</v>
      </c>
      <c r="J32" s="121"/>
      <c r="K32" s="133"/>
      <c r="L32" s="29"/>
      <c r="M32" s="29"/>
    </row>
    <row r="33" ht="14.1" customHeight="1" spans="1:13">
      <c r="A33" s="121"/>
      <c r="B33" s="121"/>
      <c r="C33" s="28"/>
      <c r="D33" s="29"/>
      <c r="E33" s="29"/>
      <c r="G33" s="15"/>
      <c r="H33" s="121">
        <f>H31*I33</f>
        <v>88.8</v>
      </c>
      <c r="I33" s="121">
        <v>0.8</v>
      </c>
      <c r="J33" s="121"/>
      <c r="K33" s="133"/>
      <c r="L33" s="29"/>
      <c r="M33" s="29"/>
    </row>
    <row r="34" ht="14.1" customHeight="1" spans="1:13">
      <c r="A34" s="121"/>
      <c r="B34" s="121"/>
      <c r="C34" s="28" t="s">
        <v>202</v>
      </c>
      <c r="D34" s="29">
        <f>F34*6</f>
        <v>25.2</v>
      </c>
      <c r="E34" s="29"/>
      <c r="F34">
        <v>4.2</v>
      </c>
      <c r="G34" s="15"/>
      <c r="H34" s="121">
        <f>H31*I34</f>
        <v>105.45</v>
      </c>
      <c r="I34" s="121">
        <v>0.95</v>
      </c>
      <c r="J34" s="121"/>
      <c r="K34" s="133"/>
      <c r="L34" s="29"/>
      <c r="M34" s="29"/>
    </row>
    <row r="35" ht="14.1" customHeight="1" spans="1:13">
      <c r="A35" s="121"/>
      <c r="B35" s="121"/>
      <c r="C35" s="31" t="s">
        <v>203</v>
      </c>
      <c r="D35" s="32">
        <f>D22*0.3</f>
        <v>556.101</v>
      </c>
      <c r="E35" s="32"/>
      <c r="F35" s="20"/>
      <c r="G35" s="17"/>
      <c r="H35" s="121"/>
      <c r="I35" s="121"/>
      <c r="J35" s="121"/>
      <c r="K35" s="133">
        <f>4.1*4</f>
        <v>16.4</v>
      </c>
      <c r="L35" s="29"/>
      <c r="M35" s="29"/>
    </row>
    <row r="36" ht="14.1" customHeight="1" spans="1:13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33"/>
      <c r="L36" s="29"/>
      <c r="M36" s="29"/>
    </row>
    <row r="37" ht="27" spans="1:10">
      <c r="A37" s="129" t="s">
        <v>453</v>
      </c>
      <c r="B37" s="121"/>
      <c r="C37" s="121">
        <f>29.4/7</f>
        <v>4.2</v>
      </c>
      <c r="D37" s="121">
        <f>C37*4</f>
        <v>16.8</v>
      </c>
      <c r="E37" s="121"/>
      <c r="F37" s="121"/>
      <c r="G37" s="121">
        <f>G14/4</f>
        <v>2.915</v>
      </c>
      <c r="H37" s="121"/>
      <c r="I37" s="121"/>
      <c r="J37" s="121"/>
    </row>
    <row r="38" ht="27" spans="1:13">
      <c r="A38" s="30" t="s">
        <v>151</v>
      </c>
      <c r="B38" s="30" t="s">
        <v>122</v>
      </c>
      <c r="C38" s="30" t="s">
        <v>123</v>
      </c>
      <c r="D38" s="30" t="s">
        <v>124</v>
      </c>
      <c r="E38" s="30" t="s">
        <v>125</v>
      </c>
      <c r="F38" s="30" t="s">
        <v>126</v>
      </c>
      <c r="G38" s="30" t="s">
        <v>127</v>
      </c>
      <c r="H38" s="30" t="s">
        <v>128</v>
      </c>
      <c r="I38" s="134" t="s">
        <v>129</v>
      </c>
      <c r="J38" s="134" t="s">
        <v>69</v>
      </c>
      <c r="K38" s="30" t="s">
        <v>130</v>
      </c>
      <c r="L38" s="30" t="s">
        <v>132</v>
      </c>
      <c r="M38" s="30"/>
    </row>
    <row r="39" ht="56.1" customHeight="1" spans="1:13">
      <c r="A39" s="119" t="s">
        <v>152</v>
      </c>
      <c r="B39" s="120" t="s">
        <v>142</v>
      </c>
      <c r="C39" s="120" t="s">
        <v>153</v>
      </c>
      <c r="D39" s="120" t="s">
        <v>154</v>
      </c>
      <c r="E39" s="120" t="s">
        <v>145</v>
      </c>
      <c r="F39" s="120" t="s">
        <v>146</v>
      </c>
      <c r="G39" s="120" t="s">
        <v>153</v>
      </c>
      <c r="H39" s="120" t="s">
        <v>143</v>
      </c>
      <c r="I39" s="120" t="s">
        <v>155</v>
      </c>
      <c r="J39" s="120" t="s">
        <v>156</v>
      </c>
      <c r="K39" s="120"/>
      <c r="L39" s="120" t="s">
        <v>157</v>
      </c>
      <c r="M39" s="120"/>
    </row>
    <row r="43" spans="4:4">
      <c r="D43">
        <f>4*3.8</f>
        <v>15.2</v>
      </c>
    </row>
    <row r="45" spans="7:7">
      <c r="G45">
        <f>3.8*6</f>
        <v>22.8</v>
      </c>
    </row>
    <row r="46" spans="7:7">
      <c r="G46">
        <f>G45*0.05</f>
        <v>1.14</v>
      </c>
    </row>
    <row r="52" spans="5:5">
      <c r="E52">
        <v>7</v>
      </c>
    </row>
    <row r="60" spans="3:3">
      <c r="C60">
        <f>3.53-3.48</f>
        <v>0.0499999999999998</v>
      </c>
    </row>
    <row r="64" spans="8:9">
      <c r="H64" t="s">
        <v>454</v>
      </c>
      <c r="I64" t="s">
        <v>455</v>
      </c>
    </row>
  </sheetData>
  <hyperlinks>
    <hyperlink ref="G6" r:id="rId2" display="A0"/>
    <hyperlink ref="C6" r:id="rId3" display="A3"/>
    <hyperlink ref="B6" r:id="rId4" display="V1.4"/>
    <hyperlink ref="F6" r:id="rId5" display="V5.3"/>
    <hyperlink ref="D6" r:id="rId6" display="V5"/>
    <hyperlink ref="E6" r:id="rId7" display="R00"/>
    <hyperlink ref="H6" r:id="rId8" display="A1"/>
    <hyperlink ref="I6" r:id="rId9" display="V1.28"/>
    <hyperlink ref="G39" r:id="rId10" display="A0"/>
    <hyperlink ref="C39" r:id="rId11" display="A0"/>
    <hyperlink ref="B39" r:id="rId12" display="V1.13"/>
    <hyperlink ref="F39" r:id="rId13" display="V5.3"/>
    <hyperlink ref="D39" r:id="rId6" display="V5"/>
    <hyperlink ref="E39" r:id="rId6" display="R01"/>
    <hyperlink ref="H39" r:id="rId8" display="A1"/>
    <hyperlink ref="I39" r:id="rId9" display="V1.28"/>
    <hyperlink ref="J6" r:id="rId14" display="Highstar ISR18650-2000"/>
  </hyperlinks>
  <pageMargins left="0.75" right="0.75" top="1" bottom="1" header="0.5" footer="0.5"/>
  <pageSetup paperSize="9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2"/>
  <sheetViews>
    <sheetView zoomScale="130" zoomScaleNormal="130" topLeftCell="B1" workbookViewId="0">
      <selection activeCell="D10" sqref="D10"/>
    </sheetView>
  </sheetViews>
  <sheetFormatPr defaultColWidth="9" defaultRowHeight="13.5"/>
  <cols>
    <col min="1" max="1" width="45.2166666666667" style="7" customWidth="1"/>
    <col min="2" max="2" width="11.4416666666667" style="7" customWidth="1"/>
    <col min="3" max="3" width="16.6666666666667" style="7" customWidth="1"/>
    <col min="4" max="6" width="9" style="7" customWidth="1"/>
    <col min="7" max="7" width="10.3333333333333" style="7" customWidth="1"/>
    <col min="8" max="9" width="9" style="7"/>
    <col min="10" max="10" width="21" style="7" customWidth="1"/>
    <col min="11" max="11" width="12.775" style="7" customWidth="1"/>
    <col min="12" max="12" width="9" style="7"/>
    <col min="13" max="13" width="24.6666666666667" style="7" customWidth="1"/>
    <col min="14" max="14" width="12.6666666666667" style="7"/>
    <col min="15" max="16384" width="9" style="7"/>
  </cols>
  <sheetData>
    <row r="1" ht="37.95" customHeight="1" spans="1:10">
      <c r="A1" s="100" t="s">
        <v>456</v>
      </c>
      <c r="B1" s="100"/>
      <c r="C1" s="100"/>
      <c r="D1" s="100"/>
      <c r="E1" s="100"/>
      <c r="F1" s="100"/>
      <c r="G1" s="100"/>
      <c r="H1" s="100"/>
      <c r="I1" s="100"/>
      <c r="J1" s="100"/>
    </row>
    <row r="3" spans="3:6">
      <c r="C3" s="7">
        <f>8/5</f>
        <v>1.6</v>
      </c>
      <c r="D3" s="7">
        <f>5/1.6</f>
        <v>3.125</v>
      </c>
      <c r="F3" s="7">
        <f>20.7*0.95</f>
        <v>19.665</v>
      </c>
    </row>
    <row r="4" spans="3:6">
      <c r="C4" s="7">
        <f>25/8</f>
        <v>3.125</v>
      </c>
      <c r="F4" s="7">
        <f>21.6*1.05</f>
        <v>22.68</v>
      </c>
    </row>
    <row r="7" ht="26.25" spans="2:2">
      <c r="B7" s="101" t="s">
        <v>457</v>
      </c>
    </row>
    <row r="8" ht="27" spans="1:9">
      <c r="A8" s="6" t="s">
        <v>458</v>
      </c>
      <c r="F8" s="7" t="s">
        <v>224</v>
      </c>
      <c r="I8" s="22"/>
    </row>
    <row r="9" spans="2:13">
      <c r="B9" s="8" t="s">
        <v>122</v>
      </c>
      <c r="C9" s="8" t="s">
        <v>123</v>
      </c>
      <c r="D9" s="8" t="s">
        <v>124</v>
      </c>
      <c r="E9" s="8" t="s">
        <v>125</v>
      </c>
      <c r="F9" s="8" t="s">
        <v>126</v>
      </c>
      <c r="G9" s="8" t="s">
        <v>127</v>
      </c>
      <c r="H9" s="8" t="s">
        <v>128</v>
      </c>
      <c r="I9" s="23" t="s">
        <v>129</v>
      </c>
      <c r="J9" s="23" t="s">
        <v>69</v>
      </c>
      <c r="K9" s="8" t="s">
        <v>130</v>
      </c>
      <c r="L9" s="8" t="s">
        <v>459</v>
      </c>
      <c r="M9" s="8" t="s">
        <v>132</v>
      </c>
    </row>
    <row r="10" ht="53.1" customHeight="1" spans="2:16">
      <c r="B10" s="102" t="s">
        <v>145</v>
      </c>
      <c r="C10" s="102" t="s">
        <v>153</v>
      </c>
      <c r="D10" s="102" t="s">
        <v>460</v>
      </c>
      <c r="E10" s="102" t="s">
        <v>145</v>
      </c>
      <c r="F10" s="102" t="s">
        <v>146</v>
      </c>
      <c r="G10" s="102" t="s">
        <v>153</v>
      </c>
      <c r="H10" s="103" t="s">
        <v>143</v>
      </c>
      <c r="I10" s="103" t="s">
        <v>155</v>
      </c>
      <c r="J10" s="102" t="s">
        <v>91</v>
      </c>
      <c r="K10" s="103"/>
      <c r="L10" s="103"/>
      <c r="M10" s="103"/>
      <c r="N10" s="104"/>
      <c r="O10" s="104"/>
      <c r="P10" s="104"/>
    </row>
    <row r="11" spans="1:9">
      <c r="A11" s="7" t="s">
        <v>461</v>
      </c>
      <c r="F11" s="104"/>
      <c r="I11" s="22"/>
    </row>
    <row r="12" spans="1:1">
      <c r="A12" s="7" t="s">
        <v>462</v>
      </c>
    </row>
    <row r="13" spans="1:14">
      <c r="A13" s="7" t="s">
        <v>463</v>
      </c>
      <c r="K13" t="s">
        <v>177</v>
      </c>
      <c r="L13">
        <v>6</v>
      </c>
      <c r="M13"/>
      <c r="N13" t="s">
        <v>178</v>
      </c>
    </row>
    <row r="14" spans="1:14">
      <c r="A14" s="7" t="s">
        <v>464</v>
      </c>
      <c r="K14" s="112" t="s">
        <v>179</v>
      </c>
      <c r="L14" s="29"/>
      <c r="M14" s="29"/>
      <c r="N14"/>
    </row>
    <row r="15" spans="1:14">
      <c r="A15" s="7" t="s">
        <v>465</v>
      </c>
      <c r="F15" s="7">
        <f>3.6*6</f>
        <v>21.6</v>
      </c>
      <c r="K15" s="112" t="s">
        <v>182</v>
      </c>
      <c r="L15" s="29">
        <f>4.15*L13</f>
        <v>24.9</v>
      </c>
      <c r="M15"/>
      <c r="N15" s="29">
        <f>L15/L13</f>
        <v>4.15</v>
      </c>
    </row>
    <row r="16" spans="1:14">
      <c r="A16" s="7" t="s">
        <v>466</v>
      </c>
      <c r="D16" s="7">
        <f>0.01/100</f>
        <v>0.0001</v>
      </c>
      <c r="E16" s="7" t="s">
        <v>467</v>
      </c>
      <c r="K16" s="112" t="s">
        <v>185</v>
      </c>
      <c r="L16" s="29">
        <f>N16*L13</f>
        <v>21.6</v>
      </c>
      <c r="M16" s="29"/>
      <c r="N16">
        <v>3.6</v>
      </c>
    </row>
    <row r="17" ht="34.2" customHeight="1" spans="1:14">
      <c r="A17" s="7" t="s">
        <v>468</v>
      </c>
      <c r="D17" s="7">
        <f>D16*1000</f>
        <v>0.1</v>
      </c>
      <c r="E17" s="7" t="s">
        <v>469</v>
      </c>
      <c r="H17" s="7">
        <f>28/8</f>
        <v>3.5</v>
      </c>
      <c r="K17" s="112" t="s">
        <v>188</v>
      </c>
      <c r="L17" s="113">
        <f>N17/1000</f>
        <v>2.5</v>
      </c>
      <c r="M17" s="29"/>
      <c r="N17">
        <v>2500</v>
      </c>
    </row>
    <row r="18" spans="1:14">
      <c r="A18" s="7" t="s">
        <v>470</v>
      </c>
      <c r="F18" s="7">
        <f>3.8*6</f>
        <v>22.8</v>
      </c>
      <c r="K18" s="112" t="s">
        <v>191</v>
      </c>
      <c r="L18" s="29">
        <f>L17*L16</f>
        <v>54</v>
      </c>
      <c r="M18" s="29"/>
      <c r="N18"/>
    </row>
    <row r="19" spans="1:14">
      <c r="A19" s="7" t="s">
        <v>471</v>
      </c>
      <c r="F19" s="7">
        <f>F18*0.05</f>
        <v>1.14</v>
      </c>
      <c r="J19" s="7">
        <f>0.56/2.4</f>
        <v>0.233333333333333</v>
      </c>
      <c r="K19" s="114" t="s">
        <v>194</v>
      </c>
      <c r="L19" s="29">
        <f>N19*0.98</f>
        <v>2401</v>
      </c>
      <c r="M19"/>
      <c r="N19">
        <v>2450</v>
      </c>
    </row>
    <row r="20" spans="8:14">
      <c r="H20" s="7">
        <f>28/8</f>
        <v>3.5</v>
      </c>
      <c r="K20" s="114" t="s">
        <v>197</v>
      </c>
      <c r="L20" s="29">
        <f>N20*0.98</f>
        <v>2450</v>
      </c>
      <c r="M20"/>
      <c r="N20">
        <v>2500</v>
      </c>
    </row>
    <row r="21" spans="1:14">
      <c r="A21" s="7">
        <f>0.7*0.7*20</f>
        <v>9.8</v>
      </c>
      <c r="C21" s="7">
        <f>36*0.2</f>
        <v>7.2</v>
      </c>
      <c r="E21" s="7">
        <f>4*3</f>
        <v>12</v>
      </c>
      <c r="K21" s="115" t="s">
        <v>167</v>
      </c>
      <c r="L21">
        <f>L13*N21+20</f>
        <v>140</v>
      </c>
      <c r="M21"/>
      <c r="N21">
        <v>20</v>
      </c>
    </row>
    <row r="22" spans="5:14">
      <c r="E22" s="7">
        <f>300/12</f>
        <v>25</v>
      </c>
      <c r="K22"/>
      <c r="L22"/>
      <c r="M22"/>
      <c r="N22"/>
    </row>
    <row r="23" spans="2:14">
      <c r="B23" s="7" t="s">
        <v>472</v>
      </c>
      <c r="C23" s="7" t="s">
        <v>473</v>
      </c>
      <c r="I23" s="7">
        <f>15*0.93</f>
        <v>13.95</v>
      </c>
      <c r="J23" s="7">
        <f>1/4</f>
        <v>0.25</v>
      </c>
      <c r="K23" s="115"/>
      <c r="L23" s="29"/>
      <c r="M23" s="29"/>
      <c r="N23"/>
    </row>
    <row r="24" spans="3:14">
      <c r="C24" s="7">
        <f>300/D24</f>
        <v>18.1818181818182</v>
      </c>
      <c r="D24" s="7">
        <f>2.75*6</f>
        <v>16.5</v>
      </c>
      <c r="I24" s="7">
        <f>95*0.98</f>
        <v>93.1</v>
      </c>
      <c r="J24" s="7">
        <f>J23*60</f>
        <v>15</v>
      </c>
      <c r="K24" s="115" t="s">
        <v>266</v>
      </c>
      <c r="L24" s="29">
        <v>3.45</v>
      </c>
      <c r="M24" s="29">
        <v>3.61</v>
      </c>
      <c r="N24"/>
    </row>
    <row r="25" spans="11:14">
      <c r="K25" s="115" t="s">
        <v>131</v>
      </c>
      <c r="L25" s="29">
        <f>L24*L13</f>
        <v>20.7</v>
      </c>
      <c r="M25" s="29">
        <f>M24*L13</f>
        <v>21.66</v>
      </c>
      <c r="N25"/>
    </row>
    <row r="26" spans="7:14">
      <c r="G26" s="7">
        <f>300/H26</f>
        <v>20</v>
      </c>
      <c r="H26" s="7">
        <f>2.5*6</f>
        <v>15</v>
      </c>
      <c r="K26" s="115"/>
      <c r="L26" s="29"/>
      <c r="M26" s="29"/>
      <c r="N26"/>
    </row>
    <row r="27" spans="1:14">
      <c r="A27" s="7" t="s">
        <v>474</v>
      </c>
      <c r="K27" s="115"/>
      <c r="L27" s="29"/>
      <c r="M27" s="29"/>
      <c r="N27"/>
    </row>
    <row r="28" spans="9:14">
      <c r="I28" s="7">
        <f>25*0.8</f>
        <v>20</v>
      </c>
      <c r="K28" s="115" t="s">
        <v>200</v>
      </c>
      <c r="L28" s="29">
        <f>L13*N28</f>
        <v>16.2</v>
      </c>
      <c r="M28"/>
      <c r="N28" s="29">
        <v>2.7</v>
      </c>
    </row>
    <row r="29" spans="11:14">
      <c r="K29" s="115" t="s">
        <v>201</v>
      </c>
      <c r="L29" s="113">
        <f>L13*N29</f>
        <v>25.5</v>
      </c>
      <c r="M29" s="29"/>
      <c r="N29">
        <v>4.25</v>
      </c>
    </row>
    <row r="30" spans="11:14">
      <c r="K30" s="115"/>
      <c r="L30" s="29"/>
      <c r="M30" s="29"/>
      <c r="N30"/>
    </row>
    <row r="31" spans="11:14">
      <c r="K31" s="115" t="s">
        <v>202</v>
      </c>
      <c r="L31" s="29">
        <f>4.2*L13</f>
        <v>25.2</v>
      </c>
      <c r="M31" s="29"/>
      <c r="N31">
        <v>4.2</v>
      </c>
    </row>
    <row r="32" spans="11:14">
      <c r="K32" s="115" t="s">
        <v>203</v>
      </c>
      <c r="L32" s="29">
        <f>L19*0.3</f>
        <v>720.3</v>
      </c>
      <c r="M32" s="29"/>
      <c r="N32"/>
    </row>
    <row r="33" spans="11:14">
      <c r="K33" s="115"/>
      <c r="L33" s="29"/>
      <c r="M33" s="29"/>
      <c r="N33"/>
    </row>
    <row r="34" spans="11:14">
      <c r="K34" s="7" t="s">
        <v>475</v>
      </c>
      <c r="L34" s="7">
        <v>26.5</v>
      </c>
      <c r="M34" s="7" t="s">
        <v>476</v>
      </c>
      <c r="N34" s="7">
        <f>L34/6</f>
        <v>4.41666666666667</v>
      </c>
    </row>
    <row r="35" spans="10:10">
      <c r="J35" s="7">
        <f>1/J37</f>
        <v>2</v>
      </c>
    </row>
    <row r="37" spans="10:10">
      <c r="J37" s="7">
        <f>1/2</f>
        <v>0.5</v>
      </c>
    </row>
    <row r="38" spans="10:11">
      <c r="J38" s="7">
        <f>60*J37</f>
        <v>30</v>
      </c>
      <c r="K38" s="7">
        <f>0.95*J38</f>
        <v>28.5</v>
      </c>
    </row>
    <row r="39" spans="10:10">
      <c r="J39" s="7">
        <f>5/2.5</f>
        <v>2</v>
      </c>
    </row>
    <row r="41" spans="3:3">
      <c r="C41" s="7">
        <f>4.2*4</f>
        <v>16.8</v>
      </c>
    </row>
    <row r="42" spans="3:3">
      <c r="C42" s="7">
        <v>15</v>
      </c>
    </row>
    <row r="43" spans="3:3">
      <c r="C43" s="7">
        <f>C41/C42</f>
        <v>1.12</v>
      </c>
    </row>
    <row r="46" ht="36.9" customHeight="1" spans="2:2">
      <c r="B46" s="105"/>
    </row>
    <row r="47" ht="17.25" spans="2:2">
      <c r="B47" s="105"/>
    </row>
    <row r="48" ht="34.5" spans="1:3">
      <c r="A48" s="106" t="s">
        <v>477</v>
      </c>
      <c r="B48" s="107" t="s">
        <v>478</v>
      </c>
      <c r="C48" s="8" t="s">
        <v>479</v>
      </c>
    </row>
    <row r="49" ht="51.75" spans="1:2">
      <c r="A49" s="7" t="s">
        <v>395</v>
      </c>
      <c r="B49" s="105" t="s">
        <v>480</v>
      </c>
    </row>
    <row r="50" ht="34.5" spans="1:2">
      <c r="A50" s="7" t="s">
        <v>395</v>
      </c>
      <c r="B50" s="105" t="s">
        <v>481</v>
      </c>
    </row>
    <row r="51" ht="117" customHeight="1" spans="2:2">
      <c r="B51" s="105" t="s">
        <v>482</v>
      </c>
    </row>
    <row r="52" ht="78" customHeight="1" spans="2:18">
      <c r="B52" s="105" t="s">
        <v>483</v>
      </c>
      <c r="P52" s="116" t="s">
        <v>484</v>
      </c>
      <c r="Q52" s="116"/>
      <c r="R52" s="116"/>
    </row>
    <row r="53" ht="101.1" customHeight="1" spans="2:18">
      <c r="B53" s="105" t="s">
        <v>485</v>
      </c>
      <c r="P53" s="116" t="s">
        <v>486</v>
      </c>
      <c r="Q53" s="116"/>
      <c r="R53" s="116"/>
    </row>
    <row r="54" ht="102" customHeight="1" spans="1:18">
      <c r="A54" s="108" t="s">
        <v>487</v>
      </c>
      <c r="B54" s="105" t="s">
        <v>488</v>
      </c>
      <c r="P54" s="116"/>
      <c r="Q54" s="116"/>
      <c r="R54" s="116"/>
    </row>
    <row r="55" ht="114" customHeight="1" spans="1:2">
      <c r="A55" s="108"/>
      <c r="B55" s="105" t="s">
        <v>489</v>
      </c>
    </row>
    <row r="56" ht="95.1" customHeight="1" spans="2:2">
      <c r="B56" s="105" t="s">
        <v>490</v>
      </c>
    </row>
    <row r="57" ht="86.25" spans="1:2">
      <c r="A57" s="7" t="s">
        <v>491</v>
      </c>
      <c r="B57" s="105" t="s">
        <v>492</v>
      </c>
    </row>
    <row r="58" ht="103.5" spans="1:2">
      <c r="A58" s="7" t="s">
        <v>491</v>
      </c>
      <c r="B58" s="105" t="s">
        <v>493</v>
      </c>
    </row>
    <row r="61" spans="3:7">
      <c r="C61" s="7" t="s">
        <v>494</v>
      </c>
      <c r="D61" s="7" t="s">
        <v>495</v>
      </c>
      <c r="E61" s="7" t="s">
        <v>496</v>
      </c>
      <c r="F61" s="7" t="s">
        <v>497</v>
      </c>
      <c r="G61" s="7" t="s">
        <v>498</v>
      </c>
    </row>
    <row r="62" spans="3:9">
      <c r="C62" s="109" t="s">
        <v>499</v>
      </c>
      <c r="D62" s="109">
        <v>88.85</v>
      </c>
      <c r="E62" s="109">
        <v>67.85</v>
      </c>
      <c r="F62" s="110">
        <v>44.3</v>
      </c>
      <c r="G62" s="110">
        <v>58.4</v>
      </c>
      <c r="H62" s="110"/>
      <c r="I62" s="110"/>
    </row>
    <row r="63" spans="3:9">
      <c r="C63" s="111" t="s">
        <v>500</v>
      </c>
      <c r="D63" s="111">
        <v>88.35</v>
      </c>
      <c r="E63" s="111">
        <v>68.05</v>
      </c>
      <c r="F63" s="110">
        <v>49.6</v>
      </c>
      <c r="G63" s="110">
        <v>66.6</v>
      </c>
      <c r="H63" s="110"/>
      <c r="I63" s="110"/>
    </row>
    <row r="64" spans="3:9">
      <c r="C64" s="111" t="s">
        <v>501</v>
      </c>
      <c r="D64" s="111">
        <v>87.25</v>
      </c>
      <c r="E64" s="111">
        <v>67.65</v>
      </c>
      <c r="F64" s="110">
        <v>51.9</v>
      </c>
      <c r="G64" s="110">
        <v>70</v>
      </c>
      <c r="H64" s="110"/>
      <c r="I64" s="110"/>
    </row>
    <row r="65" spans="3:9">
      <c r="C65" s="111" t="s">
        <v>502</v>
      </c>
      <c r="D65" s="111">
        <v>85.15</v>
      </c>
      <c r="E65" s="111">
        <v>66.7</v>
      </c>
      <c r="F65" s="110">
        <v>56.5</v>
      </c>
      <c r="G65" s="110">
        <v>77.7</v>
      </c>
      <c r="H65" s="110"/>
      <c r="I65" s="110"/>
    </row>
    <row r="66" spans="3:9">
      <c r="C66" s="111" t="s">
        <v>503</v>
      </c>
      <c r="D66" s="111">
        <v>82.9</v>
      </c>
      <c r="E66" s="111">
        <v>65.5</v>
      </c>
      <c r="F66" s="110">
        <v>59.6</v>
      </c>
      <c r="G66" s="110">
        <v>80</v>
      </c>
      <c r="H66" s="110"/>
      <c r="I66" s="110"/>
    </row>
    <row r="67" spans="3:9">
      <c r="C67" s="111" t="s">
        <v>504</v>
      </c>
      <c r="D67" s="111">
        <v>80.75</v>
      </c>
      <c r="E67" s="111">
        <v>64.35</v>
      </c>
      <c r="F67" s="110">
        <v>60.5</v>
      </c>
      <c r="G67" s="110">
        <v>80</v>
      </c>
      <c r="H67" s="110"/>
      <c r="I67" s="110"/>
    </row>
    <row r="68" spans="3:9">
      <c r="C68" s="111" t="s">
        <v>505</v>
      </c>
      <c r="D68" s="111">
        <v>78.65</v>
      </c>
      <c r="E68" s="111">
        <v>63.2</v>
      </c>
      <c r="F68" s="110">
        <v>60.7</v>
      </c>
      <c r="G68" s="110">
        <v>78.9</v>
      </c>
      <c r="H68" s="110"/>
      <c r="I68" s="110"/>
    </row>
    <row r="69" spans="3:9">
      <c r="C69" s="111" t="s">
        <v>506</v>
      </c>
      <c r="D69" s="111">
        <v>76.7</v>
      </c>
      <c r="E69" s="111">
        <v>62.05</v>
      </c>
      <c r="F69" s="110">
        <v>60.4</v>
      </c>
      <c r="G69" s="110">
        <v>77</v>
      </c>
      <c r="H69" s="110"/>
      <c r="I69" s="110"/>
    </row>
    <row r="70" spans="3:7">
      <c r="C70" s="111" t="s">
        <v>507</v>
      </c>
      <c r="D70" s="111">
        <v>73.85</v>
      </c>
      <c r="E70" s="111">
        <v>60.35</v>
      </c>
      <c r="F70" s="110">
        <v>59.6</v>
      </c>
      <c r="G70" s="110">
        <v>74.1</v>
      </c>
    </row>
    <row r="71" spans="3:7">
      <c r="C71" s="111" t="s">
        <v>508</v>
      </c>
      <c r="D71" s="111">
        <v>70.35</v>
      </c>
      <c r="E71" s="111">
        <v>58.2</v>
      </c>
      <c r="F71" s="110">
        <v>58.3</v>
      </c>
      <c r="G71" s="110">
        <v>70.7</v>
      </c>
    </row>
    <row r="72" spans="3:7">
      <c r="C72" s="111" t="s">
        <v>509</v>
      </c>
      <c r="D72" s="111">
        <v>67</v>
      </c>
      <c r="E72" s="111">
        <v>56.05</v>
      </c>
      <c r="F72" s="110">
        <v>56.7</v>
      </c>
      <c r="G72" s="110">
        <v>67.5</v>
      </c>
    </row>
    <row r="73" spans="3:7">
      <c r="C73" s="111" t="s">
        <v>510</v>
      </c>
      <c r="D73" s="111">
        <v>64.1</v>
      </c>
      <c r="E73" s="111">
        <v>54.1</v>
      </c>
      <c r="F73" s="110">
        <v>55</v>
      </c>
      <c r="G73" s="110">
        <v>64.1</v>
      </c>
    </row>
    <row r="79" spans="3:5">
      <c r="C79" s="117"/>
      <c r="D79" s="110"/>
      <c r="E79" s="110"/>
    </row>
    <row r="80" spans="2:5">
      <c r="B80" s="7" t="s">
        <v>511</v>
      </c>
      <c r="C80" s="117" t="s">
        <v>512</v>
      </c>
      <c r="D80" s="110"/>
      <c r="E80" s="110"/>
    </row>
    <row r="81" spans="2:5">
      <c r="B81" s="7" t="s">
        <v>513</v>
      </c>
      <c r="C81" s="117" t="s">
        <v>514</v>
      </c>
      <c r="D81" s="110"/>
      <c r="E81" s="110"/>
    </row>
    <row r="82" spans="3:5">
      <c r="C82" s="117"/>
      <c r="D82" s="110"/>
      <c r="E82" s="110"/>
    </row>
  </sheetData>
  <mergeCells count="1">
    <mergeCell ref="A1:J1"/>
  </mergeCells>
  <hyperlinks>
    <hyperlink ref="G10" r:id="rId2" display="A0"/>
    <hyperlink ref="C10" r:id="rId3" display="A0"/>
    <hyperlink ref="B10" r:id="rId4" display="R01"/>
    <hyperlink ref="F10" r:id="rId5" display="V5.3"/>
    <hyperlink ref="D10" r:id="rId5" display="V01"/>
    <hyperlink ref="E10" r:id="rId6" display="R01"/>
    <hyperlink ref="H10" r:id="rId7" display="A1"/>
    <hyperlink ref="I10" r:id="rId8" display="V1.28"/>
    <hyperlink ref="J10" r:id="rId9" display="Tenpower INR18650-25PG-2500mAh"/>
  </hyperlink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398"/>
  <sheetViews>
    <sheetView zoomScale="90" zoomScaleNormal="90" topLeftCell="F1" workbookViewId="0">
      <selection activeCell="J5" sqref="J5"/>
    </sheetView>
  </sheetViews>
  <sheetFormatPr defaultColWidth="9" defaultRowHeight="13.5"/>
  <cols>
    <col min="1" max="1" width="38.2166666666667" customWidth="1"/>
    <col min="2" max="2" width="32.4416666666667" customWidth="1"/>
    <col min="3" max="3" width="20.775" customWidth="1"/>
    <col min="4" max="4" width="12.6666666666667"/>
    <col min="5" max="5" width="21.1083333333333" customWidth="1"/>
    <col min="6" max="6" width="16.6666666666667" customWidth="1"/>
    <col min="7" max="7" width="12.8833333333333" customWidth="1"/>
    <col min="8" max="8" width="18.5" customWidth="1"/>
    <col min="9" max="9" width="12.6666666666667"/>
    <col min="10" max="10" width="18" customWidth="1"/>
    <col min="11" max="11" width="10.3333333333333" customWidth="1"/>
    <col min="13" max="13" width="19.3833333333333" customWidth="1"/>
    <col min="14" max="14" width="12.6666666666667"/>
    <col min="15" max="15" width="16.6666666666667" customWidth="1"/>
    <col min="16" max="16" width="42.3333333333333" customWidth="1"/>
    <col min="17" max="17" width="19.3333333333333" customWidth="1"/>
    <col min="18" max="18" width="21.6666666666667" customWidth="1"/>
    <col min="19" max="19" width="15.1333333333333" customWidth="1"/>
    <col min="20" max="20" width="13.6666666666667" customWidth="1"/>
    <col min="21" max="21" width="27" customWidth="1"/>
    <col min="22" max="23" width="12.6666666666667"/>
  </cols>
  <sheetData>
    <row r="1" spans="1:22">
      <c r="A1" t="s">
        <v>515</v>
      </c>
      <c r="T1" t="s">
        <v>516</v>
      </c>
      <c r="U1">
        <f>5000*0.4</f>
        <v>2000</v>
      </c>
      <c r="V1" t="s">
        <v>407</v>
      </c>
    </row>
    <row r="2" customHeight="1" spans="2:24">
      <c r="B2" s="4" t="s">
        <v>517</v>
      </c>
      <c r="D2" t="s">
        <v>518</v>
      </c>
      <c r="J2" s="3" t="s">
        <v>519</v>
      </c>
      <c r="O2" t="s">
        <v>520</v>
      </c>
      <c r="P2" t="s">
        <v>521</v>
      </c>
      <c r="Q2">
        <v>0.0382</v>
      </c>
      <c r="R2" t="s">
        <v>522</v>
      </c>
      <c r="T2" t="s">
        <v>523</v>
      </c>
      <c r="U2">
        <f>4.2*8</f>
        <v>33.6</v>
      </c>
      <c r="V2" t="s">
        <v>524</v>
      </c>
      <c r="W2" t="s">
        <v>525</v>
      </c>
      <c r="X2" t="s">
        <v>526</v>
      </c>
    </row>
    <row r="3" ht="49" customHeight="1" spans="1:24">
      <c r="A3" s="6" t="s">
        <v>527</v>
      </c>
      <c r="B3" s="7"/>
      <c r="C3" s="7"/>
      <c r="D3" t="s">
        <v>528</v>
      </c>
      <c r="E3" s="7"/>
      <c r="F3" s="7"/>
      <c r="G3" s="7"/>
      <c r="H3" s="7"/>
      <c r="I3" s="22"/>
      <c r="J3" s="7"/>
      <c r="K3" s="7"/>
      <c r="L3" s="7"/>
      <c r="M3" s="7"/>
      <c r="T3" t="s">
        <v>529</v>
      </c>
      <c r="U3">
        <f>U2/X3</f>
        <v>0.021</v>
      </c>
      <c r="V3" t="s">
        <v>467</v>
      </c>
      <c r="W3">
        <f>U3*U3*X3</f>
        <v>0.7056</v>
      </c>
      <c r="X3">
        <v>1600</v>
      </c>
    </row>
    <row r="4" spans="1:22">
      <c r="A4" s="7"/>
      <c r="B4" s="8" t="s">
        <v>122</v>
      </c>
      <c r="C4" s="8" t="s">
        <v>123</v>
      </c>
      <c r="D4" s="8" t="s">
        <v>124</v>
      </c>
      <c r="E4" s="8" t="s">
        <v>125</v>
      </c>
      <c r="F4" s="8" t="s">
        <v>126</v>
      </c>
      <c r="G4" s="8" t="s">
        <v>127</v>
      </c>
      <c r="H4" s="8" t="s">
        <v>128</v>
      </c>
      <c r="I4" s="23" t="s">
        <v>129</v>
      </c>
      <c r="J4" s="23" t="s">
        <v>69</v>
      </c>
      <c r="K4" s="8" t="s">
        <v>130</v>
      </c>
      <c r="L4" s="8" t="s">
        <v>459</v>
      </c>
      <c r="M4" s="8" t="s">
        <v>132</v>
      </c>
      <c r="N4" s="24" t="s">
        <v>530</v>
      </c>
      <c r="T4" t="s">
        <v>529</v>
      </c>
      <c r="U4">
        <f>U3*1000</f>
        <v>21</v>
      </c>
      <c r="V4" t="s">
        <v>407</v>
      </c>
    </row>
    <row r="5" ht="40.5" customHeight="1" spans="1:22">
      <c r="A5" s="9" t="s">
        <v>152</v>
      </c>
      <c r="B5" s="10" t="s">
        <v>175</v>
      </c>
      <c r="C5" s="10" t="s">
        <v>153</v>
      </c>
      <c r="D5" s="10" t="s">
        <v>175</v>
      </c>
      <c r="E5" s="10" t="s">
        <v>175</v>
      </c>
      <c r="F5" s="10" t="s">
        <v>175</v>
      </c>
      <c r="G5" s="10" t="s">
        <v>153</v>
      </c>
      <c r="H5" s="11" t="s">
        <v>153</v>
      </c>
      <c r="I5" s="10" t="s">
        <v>175</v>
      </c>
      <c r="J5" s="25" t="s">
        <v>531</v>
      </c>
      <c r="K5" s="26"/>
      <c r="L5" s="26"/>
      <c r="M5" s="26" t="s">
        <v>157</v>
      </c>
      <c r="N5" s="4" t="s">
        <v>532</v>
      </c>
      <c r="T5" t="s">
        <v>533</v>
      </c>
      <c r="U5">
        <f>U1/U4</f>
        <v>95.2380952380952</v>
      </c>
      <c r="V5" t="s">
        <v>534</v>
      </c>
    </row>
    <row r="6" spans="20:22">
      <c r="T6" t="s">
        <v>533</v>
      </c>
      <c r="U6">
        <f>U5/24</f>
        <v>3.96825396825397</v>
      </c>
      <c r="V6" t="s">
        <v>535</v>
      </c>
    </row>
    <row r="8" customHeight="1" spans="10:11">
      <c r="J8" s="21" t="s">
        <v>536</v>
      </c>
      <c r="K8">
        <f>0.05*5000</f>
        <v>250</v>
      </c>
    </row>
    <row r="9" ht="23.25" spans="4:20">
      <c r="D9" s="12" t="s">
        <v>537</v>
      </c>
      <c r="E9" s="13"/>
      <c r="K9" s="27" t="s">
        <v>538</v>
      </c>
      <c r="T9" s="27" t="s">
        <v>539</v>
      </c>
    </row>
    <row r="10" spans="1:23">
      <c r="A10">
        <f>4.45*6</f>
        <v>26.7</v>
      </c>
      <c r="D10" s="14"/>
      <c r="E10" s="15">
        <v>53.6</v>
      </c>
      <c r="F10" t="s">
        <v>540</v>
      </c>
      <c r="H10">
        <f>0.05/3.3</f>
        <v>0.0151515151515152</v>
      </c>
      <c r="J10" s="12" t="s">
        <v>177</v>
      </c>
      <c r="K10" s="19">
        <v>8</v>
      </c>
      <c r="L10" s="19"/>
      <c r="M10" s="19" t="s">
        <v>178</v>
      </c>
      <c r="N10" s="13"/>
      <c r="P10">
        <f>2800*8*5000/Q10</f>
        <v>22400</v>
      </c>
      <c r="Q10">
        <v>5000</v>
      </c>
      <c r="S10" s="12" t="s">
        <v>177</v>
      </c>
      <c r="T10" s="19">
        <v>8</v>
      </c>
      <c r="U10" s="19"/>
      <c r="V10" s="19" t="s">
        <v>178</v>
      </c>
      <c r="W10" s="13"/>
    </row>
    <row r="11" customHeight="1" spans="1:23">
      <c r="A11">
        <f>A10-5</f>
        <v>21.7</v>
      </c>
      <c r="C11" t="s">
        <v>541</v>
      </c>
      <c r="D11" s="14">
        <f>0.8</f>
        <v>0.8</v>
      </c>
      <c r="E11" s="15">
        <v>10</v>
      </c>
      <c r="F11" t="s">
        <v>542</v>
      </c>
      <c r="J11" s="28" t="s">
        <v>179</v>
      </c>
      <c r="K11" s="29"/>
      <c r="L11" s="29"/>
      <c r="N11" s="15"/>
      <c r="S11" s="28" t="s">
        <v>179</v>
      </c>
      <c r="T11" s="29"/>
      <c r="U11" s="29"/>
      <c r="W11" s="15"/>
    </row>
    <row r="12" ht="14.25" spans="1:23">
      <c r="A12">
        <f>A11*0.35</f>
        <v>7.595</v>
      </c>
      <c r="D12" s="16">
        <f>(E10+E11)*D11/E11</f>
        <v>5.088</v>
      </c>
      <c r="E12" s="17"/>
      <c r="G12">
        <f>2+2+5+5+2+2+5+5+2</f>
        <v>30</v>
      </c>
      <c r="J12" s="28" t="s">
        <v>182</v>
      </c>
      <c r="K12" s="29">
        <f>4.35*K10</f>
        <v>34.8</v>
      </c>
      <c r="M12" s="29">
        <f>K12/5</f>
        <v>6.96</v>
      </c>
      <c r="N12" s="15"/>
      <c r="S12" s="28" t="s">
        <v>182</v>
      </c>
      <c r="T12" s="29">
        <f>4.35*T10</f>
        <v>34.8</v>
      </c>
      <c r="V12" s="29">
        <f>T12/5</f>
        <v>6.96</v>
      </c>
      <c r="W12" s="15"/>
    </row>
    <row r="13" spans="1:23">
      <c r="A13">
        <f>A12*80</f>
        <v>607.6</v>
      </c>
      <c r="J13" s="28" t="s">
        <v>185</v>
      </c>
      <c r="K13" s="29">
        <f>3.75*K10</f>
        <v>30</v>
      </c>
      <c r="L13" s="29"/>
      <c r="N13" s="15"/>
      <c r="S13" s="28" t="s">
        <v>185</v>
      </c>
      <c r="T13" s="29">
        <f>3.75*T10</f>
        <v>30</v>
      </c>
      <c r="U13" s="29"/>
      <c r="W13" s="15"/>
    </row>
    <row r="14" customHeight="1" spans="1:23">
      <c r="A14" s="18">
        <v>45057</v>
      </c>
      <c r="B14">
        <f>16/5</f>
        <v>3.2</v>
      </c>
      <c r="F14">
        <f>12*34.8</f>
        <v>417.6</v>
      </c>
      <c r="J14" s="28" t="s">
        <v>188</v>
      </c>
      <c r="K14" s="29">
        <v>5</v>
      </c>
      <c r="L14" s="29"/>
      <c r="N14" s="15"/>
      <c r="R14">
        <f>2*5.2</f>
        <v>10.4</v>
      </c>
      <c r="S14" s="28" t="s">
        <v>188</v>
      </c>
      <c r="T14" s="29">
        <v>5</v>
      </c>
      <c r="U14" s="29"/>
      <c r="W14" s="15"/>
    </row>
    <row r="15" spans="10:23">
      <c r="J15" s="28" t="s">
        <v>191</v>
      </c>
      <c r="K15" s="29">
        <f>K14*K13</f>
        <v>150</v>
      </c>
      <c r="L15" s="29"/>
      <c r="N15" s="15"/>
      <c r="S15" s="28" t="s">
        <v>191</v>
      </c>
      <c r="T15" s="29">
        <f>T14*T13</f>
        <v>150</v>
      </c>
      <c r="U15" s="29"/>
      <c r="W15" s="15"/>
    </row>
    <row r="16" spans="8:23">
      <c r="H16">
        <f>120/0.8</f>
        <v>150</v>
      </c>
      <c r="J16" s="28" t="s">
        <v>194</v>
      </c>
      <c r="K16" s="29">
        <f>M16*0.98</f>
        <v>5001.92</v>
      </c>
      <c r="M16" s="1">
        <v>5104</v>
      </c>
      <c r="N16" s="15"/>
      <c r="S16" s="28" t="s">
        <v>194</v>
      </c>
      <c r="T16" s="29">
        <f>V16*0.98</f>
        <v>5200.86</v>
      </c>
      <c r="V16" s="33">
        <v>5307</v>
      </c>
      <c r="W16" s="15"/>
    </row>
    <row r="17" customHeight="1" spans="8:23">
      <c r="H17" t="s">
        <v>543</v>
      </c>
      <c r="J17" s="28" t="s">
        <v>197</v>
      </c>
      <c r="K17" s="29">
        <f>M17*0.98</f>
        <v>5094.04</v>
      </c>
      <c r="M17">
        <v>5198</v>
      </c>
      <c r="N17" s="15"/>
      <c r="S17" s="28" t="s">
        <v>197</v>
      </c>
      <c r="T17" s="29">
        <f>V17*0.98</f>
        <v>5296.9</v>
      </c>
      <c r="V17">
        <v>5405</v>
      </c>
      <c r="W17" s="15"/>
    </row>
    <row r="18" ht="14.25" spans="4:23">
      <c r="D18" t="s">
        <v>544</v>
      </c>
      <c r="J18" s="28" t="s">
        <v>450</v>
      </c>
      <c r="K18">
        <f>K10*M18+20</f>
        <v>60</v>
      </c>
      <c r="M18">
        <v>5</v>
      </c>
      <c r="N18" s="15"/>
      <c r="S18" s="28" t="s">
        <v>450</v>
      </c>
      <c r="T18">
        <f>T10*V18+20</f>
        <v>60</v>
      </c>
      <c r="V18">
        <v>5</v>
      </c>
      <c r="W18" s="15"/>
    </row>
    <row r="19" spans="1:23">
      <c r="A19">
        <f>17/6</f>
        <v>2.83333333333333</v>
      </c>
      <c r="D19" s="12">
        <f>255</f>
        <v>255</v>
      </c>
      <c r="E19" s="19"/>
      <c r="F19" s="13"/>
      <c r="G19" t="s">
        <v>545</v>
      </c>
      <c r="H19">
        <f>9/160</f>
        <v>0.05625</v>
      </c>
      <c r="J19" s="14"/>
      <c r="N19" s="15"/>
      <c r="S19" s="14"/>
      <c r="W19" s="15"/>
    </row>
    <row r="20" spans="1:23">
      <c r="A20">
        <f>16/6</f>
        <v>2.66666666666667</v>
      </c>
      <c r="D20" s="14">
        <f>D19/E20</f>
        <v>836.065573770492</v>
      </c>
      <c r="E20">
        <v>0.305</v>
      </c>
      <c r="F20" s="15"/>
      <c r="J20" s="28"/>
      <c r="K20" s="29"/>
      <c r="L20" s="29"/>
      <c r="N20" s="15"/>
      <c r="S20" s="28"/>
      <c r="T20" s="29"/>
      <c r="U20" s="29"/>
      <c r="W20" s="15"/>
    </row>
    <row r="21" spans="4:23">
      <c r="D21" s="14">
        <f>D20/24</f>
        <v>34.8360655737705</v>
      </c>
      <c r="F21" s="15"/>
      <c r="H21">
        <f>150*0.8</f>
        <v>120</v>
      </c>
      <c r="J21" s="28" t="s">
        <v>199</v>
      </c>
      <c r="K21" s="30">
        <v>3.6</v>
      </c>
      <c r="L21" s="30">
        <v>3.7</v>
      </c>
      <c r="M21" s="30"/>
      <c r="N21" s="15"/>
      <c r="S21" s="28" t="s">
        <v>199</v>
      </c>
      <c r="T21" s="30">
        <v>3.6</v>
      </c>
      <c r="U21" s="30">
        <v>3.7</v>
      </c>
      <c r="V21" s="30"/>
      <c r="W21" s="15"/>
    </row>
    <row r="22" spans="1:23">
      <c r="A22">
        <f>5*0.6</f>
        <v>3</v>
      </c>
      <c r="D22" s="14"/>
      <c r="F22" s="15">
        <f>D21+F30</f>
        <v>137.267759562842</v>
      </c>
      <c r="H22">
        <f>4.18-4.12</f>
        <v>0.0599999999999996</v>
      </c>
      <c r="J22" s="28" t="s">
        <v>131</v>
      </c>
      <c r="K22" s="30">
        <f>K21*K10</f>
        <v>28.8</v>
      </c>
      <c r="L22" s="30">
        <f>L21*K10</f>
        <v>29.6</v>
      </c>
      <c r="M22" s="30"/>
      <c r="N22" s="15"/>
      <c r="S22" s="28" t="s">
        <v>131</v>
      </c>
      <c r="T22" s="30">
        <f>T21*T10</f>
        <v>28.8</v>
      </c>
      <c r="U22" s="30">
        <f>U21*T10</f>
        <v>29.6</v>
      </c>
      <c r="V22" s="30"/>
      <c r="W22" s="15"/>
    </row>
    <row r="23" spans="4:23">
      <c r="D23" s="14">
        <v>30</v>
      </c>
      <c r="F23" s="15"/>
      <c r="J23" s="28"/>
      <c r="K23" s="30"/>
      <c r="L23" s="30"/>
      <c r="M23" s="30"/>
      <c r="N23" s="15"/>
      <c r="S23" s="28"/>
      <c r="T23" s="30"/>
      <c r="U23" s="30"/>
      <c r="V23" s="30"/>
      <c r="W23" s="15"/>
    </row>
    <row r="24" spans="4:23">
      <c r="D24" s="14">
        <f>D23/E24</f>
        <v>98.3606557377049</v>
      </c>
      <c r="E24">
        <v>0.305</v>
      </c>
      <c r="F24" s="15"/>
      <c r="J24" s="28"/>
      <c r="K24" s="30"/>
      <c r="L24" s="30"/>
      <c r="M24" s="30"/>
      <c r="N24" s="15" t="s">
        <v>546</v>
      </c>
      <c r="Q24" t="s">
        <v>547</v>
      </c>
      <c r="S24" s="28"/>
      <c r="T24" s="30"/>
      <c r="U24" s="30"/>
      <c r="V24" s="30"/>
      <c r="W24" s="15" t="s">
        <v>546</v>
      </c>
    </row>
    <row r="25" customHeight="1" spans="1:23">
      <c r="A25">
        <f>18.6/6</f>
        <v>3.1</v>
      </c>
      <c r="D25" s="14">
        <f>D24/24</f>
        <v>4.0983606557377</v>
      </c>
      <c r="F25" s="15"/>
      <c r="J25" s="28" t="s">
        <v>200</v>
      </c>
      <c r="K25" s="30">
        <f>K10*M25</f>
        <v>24</v>
      </c>
      <c r="L25" s="30"/>
      <c r="M25" s="30">
        <v>3</v>
      </c>
      <c r="N25" s="15">
        <f>K25/(P25+P26)</f>
        <v>4.8</v>
      </c>
      <c r="O25">
        <f>P25/P26</f>
        <v>0.0638297872340425</v>
      </c>
      <c r="P25">
        <v>0.3</v>
      </c>
      <c r="Q25">
        <f>K25*O25</f>
        <v>1.53191489361702</v>
      </c>
      <c r="S25" s="28" t="s">
        <v>200</v>
      </c>
      <c r="T25" s="30">
        <f>T10*V25</f>
        <v>24</v>
      </c>
      <c r="U25" s="30"/>
      <c r="V25" s="30">
        <v>3</v>
      </c>
      <c r="W25" s="15" t="e">
        <f>T25/(Y25+Y26)</f>
        <v>#DIV/0!</v>
      </c>
    </row>
    <row r="26" spans="4:23">
      <c r="D26" s="14"/>
      <c r="F26" s="15"/>
      <c r="J26" s="28" t="s">
        <v>201</v>
      </c>
      <c r="K26" s="30">
        <f>K10*M26</f>
        <v>35.08</v>
      </c>
      <c r="L26" s="30"/>
      <c r="M26" s="30">
        <v>4.385</v>
      </c>
      <c r="N26" s="15">
        <f>K26/(P25+P26)</f>
        <v>7.016</v>
      </c>
      <c r="P26">
        <v>4.7</v>
      </c>
      <c r="Q26">
        <f>K26*O25</f>
        <v>2.23914893617021</v>
      </c>
      <c r="S26" s="28" t="s">
        <v>201</v>
      </c>
      <c r="T26" s="30">
        <f>T10*V26</f>
        <v>35.08</v>
      </c>
      <c r="U26" s="30"/>
      <c r="V26" s="30">
        <v>4.385</v>
      </c>
      <c r="W26" s="15" t="e">
        <f>T26/(Y25+Y26)</f>
        <v>#DIV/0!</v>
      </c>
    </row>
    <row r="27" spans="1:23">
      <c r="A27" t="s">
        <v>548</v>
      </c>
      <c r="D27" s="14"/>
      <c r="F27" s="15"/>
      <c r="H27" t="s">
        <v>549</v>
      </c>
      <c r="J27" s="28"/>
      <c r="K27" s="29"/>
      <c r="L27" s="29"/>
      <c r="N27" s="15"/>
      <c r="S27" s="28"/>
      <c r="T27" s="29"/>
      <c r="U27" s="29"/>
      <c r="W27" s="15"/>
    </row>
    <row r="28" spans="1:23">
      <c r="A28">
        <f>5*6</f>
        <v>30</v>
      </c>
      <c r="B28">
        <f>5*6</f>
        <v>30</v>
      </c>
      <c r="C28" t="s">
        <v>69</v>
      </c>
      <c r="D28" s="14">
        <v>59</v>
      </c>
      <c r="F28" s="15"/>
      <c r="J28" s="28" t="s">
        <v>202</v>
      </c>
      <c r="K28" s="29">
        <f>M28*K10</f>
        <v>34.8</v>
      </c>
      <c r="L28" s="29"/>
      <c r="M28">
        <v>4.35</v>
      </c>
      <c r="N28" s="15"/>
      <c r="S28" s="28" t="s">
        <v>202</v>
      </c>
      <c r="T28" s="29">
        <f>V28*T10</f>
        <v>34.8</v>
      </c>
      <c r="U28" s="29"/>
      <c r="V28">
        <v>4.35</v>
      </c>
      <c r="W28" s="15"/>
    </row>
    <row r="29" ht="14.25" spans="1:23">
      <c r="A29">
        <v>3.5</v>
      </c>
      <c r="B29">
        <v>3.5</v>
      </c>
      <c r="C29" t="s">
        <v>550</v>
      </c>
      <c r="D29" s="14">
        <f>D28/E29</f>
        <v>2360</v>
      </c>
      <c r="E29">
        <v>0.025</v>
      </c>
      <c r="F29" s="15"/>
      <c r="J29" s="31" t="s">
        <v>551</v>
      </c>
      <c r="K29" s="32">
        <f>K16*0.3</f>
        <v>1500.576</v>
      </c>
      <c r="L29" s="32"/>
      <c r="M29" s="20"/>
      <c r="N29" s="17"/>
      <c r="S29" s="31" t="s">
        <v>551</v>
      </c>
      <c r="T29" s="32">
        <f>T16*0.3</f>
        <v>1560.258</v>
      </c>
      <c r="U29" s="32"/>
      <c r="V29" s="20"/>
      <c r="W29" s="17"/>
    </row>
    <row r="30" spans="1:12">
      <c r="A30">
        <v>3</v>
      </c>
      <c r="B30">
        <v>3</v>
      </c>
      <c r="C30" t="s">
        <v>552</v>
      </c>
      <c r="D30" s="14">
        <f>D29/24</f>
        <v>98.3333333333333</v>
      </c>
      <c r="F30" s="15">
        <f>D30+D25</f>
        <v>102.431693989071</v>
      </c>
      <c r="H30">
        <f>40/15000</f>
        <v>0.00266666666666667</v>
      </c>
      <c r="J30">
        <f>K30*L30</f>
        <v>22.4</v>
      </c>
      <c r="K30">
        <v>2.8</v>
      </c>
      <c r="L30">
        <v>8</v>
      </c>
    </row>
    <row r="31" ht="14.25" spans="1:12">
      <c r="A31">
        <v>4</v>
      </c>
      <c r="B31">
        <v>4</v>
      </c>
      <c r="C31" t="s">
        <v>553</v>
      </c>
      <c r="D31" s="16"/>
      <c r="E31" s="20"/>
      <c r="F31" s="17"/>
      <c r="H31">
        <f>H30*60*60</f>
        <v>9.6</v>
      </c>
      <c r="J31">
        <f>K31*L31</f>
        <v>25.44</v>
      </c>
      <c r="K31">
        <v>3.18</v>
      </c>
      <c r="L31">
        <v>8</v>
      </c>
    </row>
    <row r="32" customHeight="1" spans="1:12">
      <c r="A32">
        <v>10</v>
      </c>
      <c r="B32">
        <v>10</v>
      </c>
      <c r="C32" t="s">
        <v>554</v>
      </c>
      <c r="J32">
        <f t="shared" ref="J32:J39" si="0">K32*L32</f>
        <v>26.4</v>
      </c>
      <c r="K32">
        <v>3.3</v>
      </c>
      <c r="L32">
        <v>8</v>
      </c>
    </row>
    <row r="33" spans="1:12">
      <c r="A33">
        <f>SUM(A28:A32)</f>
        <v>50.5</v>
      </c>
      <c r="B33">
        <f>SUM(B28:B32)</f>
        <v>50.5</v>
      </c>
      <c r="D33" s="12" t="s">
        <v>555</v>
      </c>
      <c r="E33" s="19">
        <f>5*1.5/0.8</f>
        <v>9.375</v>
      </c>
      <c r="F33" s="13">
        <f>E33/D34</f>
        <v>0.418526785714286</v>
      </c>
      <c r="J33">
        <f t="shared" si="0"/>
        <v>28.8</v>
      </c>
      <c r="K33">
        <v>3.6</v>
      </c>
      <c r="L33">
        <v>8</v>
      </c>
    </row>
    <row r="34" spans="1:12">
      <c r="A34">
        <v>5</v>
      </c>
      <c r="B34">
        <v>5</v>
      </c>
      <c r="C34" t="s">
        <v>556</v>
      </c>
      <c r="D34" s="14">
        <f>2.8*8</f>
        <v>22.4</v>
      </c>
      <c r="E34">
        <f>D34-6.5</f>
        <v>15.9</v>
      </c>
      <c r="F34" s="15">
        <f>E34/10/2</f>
        <v>0.795</v>
      </c>
      <c r="G34">
        <f>F34*F34*10</f>
        <v>6.32025</v>
      </c>
      <c r="J34">
        <f t="shared" si="0"/>
        <v>29.6</v>
      </c>
      <c r="K34">
        <v>3.7</v>
      </c>
      <c r="L34">
        <v>8</v>
      </c>
    </row>
    <row r="35" spans="2:12">
      <c r="B35">
        <f>1000/120</f>
        <v>8.33333333333333</v>
      </c>
      <c r="D35" s="14">
        <f>4.35*8</f>
        <v>34.8</v>
      </c>
      <c r="E35">
        <f>D35-6.5</f>
        <v>28.3</v>
      </c>
      <c r="F35" s="15">
        <f>E35/10/2</f>
        <v>1.415</v>
      </c>
      <c r="G35">
        <f>F35*F35*10</f>
        <v>20.02225</v>
      </c>
      <c r="J35">
        <f t="shared" si="0"/>
        <v>31.2</v>
      </c>
      <c r="K35">
        <v>3.9</v>
      </c>
      <c r="L35">
        <v>8</v>
      </c>
    </row>
    <row r="36" spans="4:12">
      <c r="D36" s="14"/>
      <c r="F36" s="15"/>
      <c r="J36">
        <f t="shared" si="0"/>
        <v>32.8</v>
      </c>
      <c r="K36">
        <v>4.1</v>
      </c>
      <c r="L36">
        <v>8</v>
      </c>
    </row>
    <row r="37" spans="1:12">
      <c r="A37">
        <f>4.35-4.275</f>
        <v>0.0749999999999993</v>
      </c>
      <c r="D37" s="14"/>
      <c r="F37" s="15"/>
      <c r="J37">
        <f t="shared" si="0"/>
        <v>34</v>
      </c>
      <c r="K37">
        <v>4.25</v>
      </c>
      <c r="L37">
        <v>8</v>
      </c>
    </row>
    <row r="38" spans="1:12">
      <c r="A38">
        <f>3.25-3.05</f>
        <v>0.2</v>
      </c>
      <c r="D38" s="14">
        <f>2.8*8</f>
        <v>22.4</v>
      </c>
      <c r="E38">
        <f>F38/D38</f>
        <v>0.167410714285714</v>
      </c>
      <c r="F38" s="15">
        <f>5*0.6/0.8</f>
        <v>3.75</v>
      </c>
      <c r="G38" s="21" t="s">
        <v>557</v>
      </c>
      <c r="J38">
        <f t="shared" si="0"/>
        <v>35.52</v>
      </c>
      <c r="K38">
        <v>4.44</v>
      </c>
      <c r="L38">
        <v>8</v>
      </c>
    </row>
    <row r="39" ht="26.1" customHeight="1" spans="4:14">
      <c r="D39" s="16">
        <f>4.35*8</f>
        <v>34.8</v>
      </c>
      <c r="E39" s="20">
        <f>F39/D39</f>
        <v>0.107758620689655</v>
      </c>
      <c r="F39" s="17">
        <f>5*0.6/0.8</f>
        <v>3.75</v>
      </c>
      <c r="J39">
        <f t="shared" si="0"/>
        <v>35.08</v>
      </c>
      <c r="K39">
        <v>4.385</v>
      </c>
      <c r="L39">
        <v>8</v>
      </c>
      <c r="N39">
        <f>16/5.2</f>
        <v>3.07692307692308</v>
      </c>
    </row>
    <row r="40" ht="26.1" customHeight="1" spans="1:8">
      <c r="A40" t="s">
        <v>558</v>
      </c>
      <c r="H40">
        <f>0.034/100</f>
        <v>0.00034</v>
      </c>
    </row>
    <row r="41" ht="26.1" customHeight="1" spans="1:10">
      <c r="A41">
        <f>2.5*8</f>
        <v>20</v>
      </c>
      <c r="C41" t="s">
        <v>69</v>
      </c>
      <c r="H41">
        <f>H40*1000</f>
        <v>0.34</v>
      </c>
      <c r="J41">
        <v>3290</v>
      </c>
    </row>
    <row r="42" ht="26.1" customHeight="1" spans="1:10">
      <c r="A42">
        <v>3.5</v>
      </c>
      <c r="C42" t="s">
        <v>550</v>
      </c>
      <c r="J42">
        <v>3288</v>
      </c>
    </row>
    <row r="43" ht="26.1" customHeight="1" spans="1:10">
      <c r="A43">
        <v>3</v>
      </c>
      <c r="C43" t="s">
        <v>552</v>
      </c>
      <c r="G43" t="s">
        <v>559</v>
      </c>
      <c r="J43">
        <v>3290</v>
      </c>
    </row>
    <row r="44" ht="26.1" customHeight="1" spans="1:10">
      <c r="A44">
        <v>4</v>
      </c>
      <c r="C44" t="s">
        <v>553</v>
      </c>
      <c r="D44">
        <f>40*3*6</f>
        <v>720</v>
      </c>
      <c r="G44" t="s">
        <v>560</v>
      </c>
      <c r="J44">
        <v>3290</v>
      </c>
    </row>
    <row r="45" ht="26.1" customHeight="1" spans="1:10">
      <c r="A45">
        <v>10</v>
      </c>
      <c r="C45" t="s">
        <v>554</v>
      </c>
      <c r="D45">
        <f>D44/E45</f>
        <v>0.408</v>
      </c>
      <c r="E45">
        <f>5*300/0.85</f>
        <v>1764.70588235294</v>
      </c>
      <c r="J45">
        <v>3290</v>
      </c>
    </row>
    <row r="46" ht="26.1" customHeight="1" spans="1:10">
      <c r="A46">
        <f>SUM(A41:A45)</f>
        <v>40.5</v>
      </c>
      <c r="D46">
        <f>D45*60</f>
        <v>24.48</v>
      </c>
      <c r="J46">
        <v>3288</v>
      </c>
    </row>
    <row r="47" ht="26.1" customHeight="1" spans="1:10">
      <c r="A47">
        <v>10</v>
      </c>
      <c r="C47" t="s">
        <v>561</v>
      </c>
      <c r="J47">
        <v>3290</v>
      </c>
    </row>
    <row r="48" ht="26.1" customHeight="1" spans="1:10">
      <c r="A48">
        <v>10</v>
      </c>
      <c r="C48" t="s">
        <v>556</v>
      </c>
      <c r="J48">
        <v>3292</v>
      </c>
    </row>
    <row r="49" ht="26.1" customHeight="1" spans="1:11">
      <c r="A49">
        <f>A46+A47+A48</f>
        <v>60.5</v>
      </c>
      <c r="G49">
        <v>3987</v>
      </c>
      <c r="J49">
        <f>SUM(J41:J48)</f>
        <v>26318</v>
      </c>
      <c r="K49">
        <v>2635</v>
      </c>
    </row>
    <row r="50" ht="26.1" customHeight="1" spans="1:8">
      <c r="A50" t="s">
        <v>562</v>
      </c>
      <c r="B50">
        <v>80</v>
      </c>
      <c r="C50">
        <f>B50*1.3</f>
        <v>104</v>
      </c>
      <c r="G50">
        <v>3992</v>
      </c>
      <c r="H50">
        <f>31.8/8</f>
        <v>3.975</v>
      </c>
    </row>
    <row r="51" spans="1:13">
      <c r="A51" t="s">
        <v>563</v>
      </c>
      <c r="G51">
        <v>3987</v>
      </c>
      <c r="J51">
        <f>J39-K39</f>
        <v>30.695</v>
      </c>
      <c r="M51">
        <v>5</v>
      </c>
    </row>
    <row r="52" customHeight="1" spans="1:13">
      <c r="A52">
        <f>5*8</f>
        <v>40</v>
      </c>
      <c r="C52" t="s">
        <v>69</v>
      </c>
      <c r="G52">
        <v>3988</v>
      </c>
      <c r="J52">
        <f>J51/J53</f>
        <v>613.9</v>
      </c>
      <c r="L52">
        <f>J52*M52</f>
        <v>72.9166666666667</v>
      </c>
      <c r="M52">
        <f>M51/M53</f>
        <v>0.118776130748765</v>
      </c>
    </row>
    <row r="53" spans="1:13">
      <c r="A53">
        <v>3.5</v>
      </c>
      <c r="C53" t="s">
        <v>550</v>
      </c>
      <c r="G53">
        <v>3991</v>
      </c>
      <c r="J53">
        <f>J54*J55</f>
        <v>0.05</v>
      </c>
      <c r="M53">
        <f>M54*M55</f>
        <v>42.096</v>
      </c>
    </row>
    <row r="54" spans="1:13">
      <c r="A54">
        <v>3</v>
      </c>
      <c r="C54" t="s">
        <v>552</v>
      </c>
      <c r="G54">
        <v>3991</v>
      </c>
      <c r="J54">
        <v>0.35</v>
      </c>
      <c r="M54">
        <f>J39</f>
        <v>35.08</v>
      </c>
    </row>
    <row r="55" spans="1:13">
      <c r="A55">
        <v>4</v>
      </c>
      <c r="C55" t="s">
        <v>553</v>
      </c>
      <c r="D55">
        <f>40*3*6</f>
        <v>720</v>
      </c>
      <c r="G55">
        <v>3987</v>
      </c>
      <c r="J55">
        <f>0.05/0.35</f>
        <v>0.142857142857143</v>
      </c>
      <c r="M55">
        <v>1.2</v>
      </c>
    </row>
    <row r="56" spans="1:7">
      <c r="A56">
        <v>10</v>
      </c>
      <c r="C56" t="s">
        <v>554</v>
      </c>
      <c r="D56">
        <f>D55/E56</f>
        <v>0.408</v>
      </c>
      <c r="E56">
        <f>5*300/0.85</f>
        <v>1764.70588235294</v>
      </c>
      <c r="G56">
        <v>3990</v>
      </c>
    </row>
    <row r="57" spans="1:4">
      <c r="A57">
        <f>SUM(A52:A56)</f>
        <v>60.5</v>
      </c>
      <c r="D57">
        <f>D56*60</f>
        <v>24.48</v>
      </c>
    </row>
    <row r="58" spans="1:3">
      <c r="A58">
        <v>5</v>
      </c>
      <c r="C58" t="s">
        <v>561</v>
      </c>
    </row>
    <row r="59" spans="1:3">
      <c r="A59">
        <v>5</v>
      </c>
      <c r="C59" t="s">
        <v>556</v>
      </c>
    </row>
    <row r="60" spans="1:1">
      <c r="A60">
        <f>A57+A58+A59</f>
        <v>70.5</v>
      </c>
    </row>
    <row r="62" spans="1:3">
      <c r="A62" t="s">
        <v>562</v>
      </c>
      <c r="B62">
        <v>125</v>
      </c>
      <c r="C62">
        <f>B62*1.3</f>
        <v>162.5</v>
      </c>
    </row>
    <row r="66" ht="14.25" spans="1:1">
      <c r="A66" s="4" t="s">
        <v>564</v>
      </c>
    </row>
    <row r="67" spans="1:6">
      <c r="A67" s="12" t="s">
        <v>565</v>
      </c>
      <c r="B67" s="19"/>
      <c r="C67" s="19" t="s">
        <v>159</v>
      </c>
      <c r="D67" s="19" t="s">
        <v>566</v>
      </c>
      <c r="E67" s="19" t="s">
        <v>161</v>
      </c>
      <c r="F67" s="13" t="s">
        <v>567</v>
      </c>
    </row>
    <row r="68" spans="1:6">
      <c r="A68" s="14" t="s">
        <v>568</v>
      </c>
      <c r="C68">
        <f t="shared" ref="C68:C70" si="1">D68*(1-F68)</f>
        <v>4995</v>
      </c>
      <c r="D68">
        <v>5000</v>
      </c>
      <c r="E68">
        <f t="shared" ref="E68:E70" si="2">D68*(1+F68)</f>
        <v>5005</v>
      </c>
      <c r="F68" s="15">
        <f t="shared" ref="F68:F70" si="3">0.1/100</f>
        <v>0.001</v>
      </c>
    </row>
    <row r="69" spans="1:6">
      <c r="A69" s="14" t="s">
        <v>568</v>
      </c>
      <c r="C69">
        <f t="shared" si="1"/>
        <v>149.85</v>
      </c>
      <c r="D69">
        <v>150</v>
      </c>
      <c r="E69">
        <f t="shared" si="2"/>
        <v>150.15</v>
      </c>
      <c r="F69" s="15">
        <f t="shared" si="3"/>
        <v>0.001</v>
      </c>
    </row>
    <row r="70" ht="14.25" spans="1:6">
      <c r="A70" s="16" t="s">
        <v>569</v>
      </c>
      <c r="B70" s="20"/>
      <c r="C70" s="20">
        <f t="shared" si="1"/>
        <v>999</v>
      </c>
      <c r="D70" s="20">
        <v>1000</v>
      </c>
      <c r="E70" s="20">
        <f t="shared" si="2"/>
        <v>1001</v>
      </c>
      <c r="F70" s="17">
        <f t="shared" si="3"/>
        <v>0.001</v>
      </c>
    </row>
    <row r="71" ht="14.25"/>
    <row r="72" spans="1:5">
      <c r="A72" s="12" t="s">
        <v>570</v>
      </c>
      <c r="B72" s="19"/>
      <c r="C72" s="19">
        <f>E70/(C70+C69+C68)</f>
        <v>0.162927154797073</v>
      </c>
      <c r="D72" s="19">
        <f>D70/(D68+D70+D69)</f>
        <v>0.16260162601626</v>
      </c>
      <c r="E72" s="13">
        <f>C70/(E68+E70+E69)</f>
        <v>0.162276747642601</v>
      </c>
    </row>
    <row r="73" spans="1:5">
      <c r="A73" s="14" t="s">
        <v>571</v>
      </c>
      <c r="B73">
        <v>2.8</v>
      </c>
      <c r="E73" s="15"/>
    </row>
    <row r="74" ht="14.25" spans="1:5">
      <c r="A74" s="16" t="s">
        <v>572</v>
      </c>
      <c r="B74" s="20"/>
      <c r="C74" s="20">
        <f>B73/C72</f>
        <v>17.1855944055944</v>
      </c>
      <c r="D74" s="20">
        <f>B73/D72</f>
        <v>17.22</v>
      </c>
      <c r="E74" s="17">
        <f>B73/E72</f>
        <v>17.2544744744745</v>
      </c>
    </row>
    <row r="76" spans="1:5">
      <c r="A76" t="s">
        <v>573</v>
      </c>
      <c r="C76">
        <f>C74/6</f>
        <v>2.86426573426573</v>
      </c>
      <c r="D76">
        <f>D74/6</f>
        <v>2.87</v>
      </c>
      <c r="E76" s="34">
        <f>E74/6</f>
        <v>2.87574574574574</v>
      </c>
    </row>
    <row r="78" spans="1:5">
      <c r="A78" t="s">
        <v>574</v>
      </c>
      <c r="C78">
        <f>(D76-C76)*1000</f>
        <v>5.73426573426561</v>
      </c>
      <c r="E78">
        <f>(E76-D76)*1000</f>
        <v>5.74574574574527</v>
      </c>
    </row>
    <row r="80" ht="14.25" spans="1:5">
      <c r="A80" t="s">
        <v>575</v>
      </c>
      <c r="E80">
        <f>E76+0.06</f>
        <v>2.93574574574574</v>
      </c>
    </row>
    <row r="81" ht="32.25" spans="15:24">
      <c r="O81" s="36" t="s">
        <v>576</v>
      </c>
      <c r="P81" s="36" t="s">
        <v>577</v>
      </c>
      <c r="Q81" s="36" t="s">
        <v>578</v>
      </c>
      <c r="R81" s="36" t="s">
        <v>579</v>
      </c>
      <c r="S81" s="41" t="s">
        <v>580</v>
      </c>
      <c r="T81" s="36" t="s">
        <v>581</v>
      </c>
      <c r="U81" s="36" t="s">
        <v>582</v>
      </c>
      <c r="X81" t="s">
        <v>583</v>
      </c>
    </row>
    <row r="82" ht="15.75" spans="1:24">
      <c r="A82" t="s">
        <v>584</v>
      </c>
      <c r="E82">
        <f>E80+0.05</f>
        <v>2.98574574574574</v>
      </c>
      <c r="O82" s="37">
        <v>1</v>
      </c>
      <c r="P82" s="37" t="s">
        <v>585</v>
      </c>
      <c r="Q82" s="42" t="s">
        <v>586</v>
      </c>
      <c r="R82" s="43">
        <v>4.3</v>
      </c>
      <c r="S82" s="43">
        <v>0.0249999999999995</v>
      </c>
      <c r="T82" s="37" t="s">
        <v>524</v>
      </c>
      <c r="U82" s="44" t="s">
        <v>587</v>
      </c>
      <c r="V82" s="45">
        <v>4.35</v>
      </c>
      <c r="W82" t="e">
        <f>V82-U82</f>
        <v>#VALUE!</v>
      </c>
      <c r="X82">
        <v>0.0249999999999995</v>
      </c>
    </row>
    <row r="83" ht="30.75" spans="15:24">
      <c r="O83" s="38"/>
      <c r="P83" s="38" t="s">
        <v>588</v>
      </c>
      <c r="Q83" s="38" t="s">
        <v>491</v>
      </c>
      <c r="R83" s="46">
        <v>4.175</v>
      </c>
      <c r="S83" s="46">
        <v>0.0500000000000007</v>
      </c>
      <c r="T83" s="38" t="s">
        <v>524</v>
      </c>
      <c r="U83" s="38"/>
      <c r="V83" s="47">
        <v>4.275</v>
      </c>
      <c r="W83">
        <f t="shared" ref="W83:W102" si="4">V83-U83</f>
        <v>4.275</v>
      </c>
      <c r="X83">
        <v>0.0500000000000007</v>
      </c>
    </row>
    <row r="84" ht="30.75" spans="1:24">
      <c r="A84" s="12"/>
      <c r="B84" s="19"/>
      <c r="C84" s="19" t="s">
        <v>159</v>
      </c>
      <c r="D84" s="19" t="s">
        <v>566</v>
      </c>
      <c r="E84" s="13" t="s">
        <v>161</v>
      </c>
      <c r="O84" s="37"/>
      <c r="P84" s="37" t="s">
        <v>589</v>
      </c>
      <c r="Q84" s="37" t="s">
        <v>491</v>
      </c>
      <c r="R84" s="43">
        <v>4.37</v>
      </c>
      <c r="S84" s="43">
        <v>0.0299999999999994</v>
      </c>
      <c r="T84" s="37" t="s">
        <v>524</v>
      </c>
      <c r="U84" s="37" t="s">
        <v>590</v>
      </c>
      <c r="V84" s="48">
        <v>4.43</v>
      </c>
      <c r="W84" t="e">
        <f t="shared" si="4"/>
        <v>#VALUE!</v>
      </c>
      <c r="X84">
        <v>0.0299999999999994</v>
      </c>
    </row>
    <row r="85" ht="15.75" spans="1:24">
      <c r="A85" s="14" t="s">
        <v>591</v>
      </c>
      <c r="C85">
        <v>17</v>
      </c>
      <c r="D85">
        <f>3.6*6</f>
        <v>21.6</v>
      </c>
      <c r="E85" s="15">
        <f>4.2*8</f>
        <v>33.6</v>
      </c>
      <c r="O85" s="38"/>
      <c r="P85" s="38" t="s">
        <v>592</v>
      </c>
      <c r="Q85" s="38" t="s">
        <v>491</v>
      </c>
      <c r="R85" s="46">
        <v>2.95</v>
      </c>
      <c r="S85" s="46">
        <v>0.0499999999999998</v>
      </c>
      <c r="T85" s="38" t="s">
        <v>524</v>
      </c>
      <c r="U85" s="38" t="s">
        <v>587</v>
      </c>
      <c r="V85" s="49">
        <v>3.05</v>
      </c>
      <c r="W85" t="e">
        <f t="shared" si="4"/>
        <v>#VALUE!</v>
      </c>
      <c r="X85">
        <v>0.0499999999999998</v>
      </c>
    </row>
    <row r="86" ht="30.75" spans="1:24">
      <c r="A86" s="14" t="s">
        <v>593</v>
      </c>
      <c r="C86">
        <f>C85/(C68+C69+C70)*1000</f>
        <v>2.76699463691334</v>
      </c>
      <c r="D86">
        <f>D85/(D68+D69+D70)*1000</f>
        <v>3.51219512195122</v>
      </c>
      <c r="E86" s="15">
        <f>E85/(C68+C69+C70)*1000</f>
        <v>5.468883517664</v>
      </c>
      <c r="O86" s="37"/>
      <c r="P86" s="37" t="s">
        <v>594</v>
      </c>
      <c r="Q86" s="42" t="s">
        <v>595</v>
      </c>
      <c r="R86" s="43">
        <v>3.15</v>
      </c>
      <c r="S86" s="43">
        <v>0.0499999999999998</v>
      </c>
      <c r="T86" s="37" t="s">
        <v>524</v>
      </c>
      <c r="U86" s="44"/>
      <c r="V86" s="45">
        <v>3.25</v>
      </c>
      <c r="W86">
        <f t="shared" si="4"/>
        <v>3.25</v>
      </c>
      <c r="X86">
        <v>0.0499999999999998</v>
      </c>
    </row>
    <row r="87" ht="15.75" spans="1:24">
      <c r="A87" s="14" t="s">
        <v>596</v>
      </c>
      <c r="C87">
        <v>1</v>
      </c>
      <c r="D87">
        <v>3</v>
      </c>
      <c r="E87" s="15">
        <v>5.5</v>
      </c>
      <c r="O87" s="38">
        <v>4</v>
      </c>
      <c r="P87" s="38" t="s">
        <v>597</v>
      </c>
      <c r="Q87" s="50" t="s">
        <v>598</v>
      </c>
      <c r="R87" s="46">
        <v>16</v>
      </c>
      <c r="S87" s="46">
        <v>1.6</v>
      </c>
      <c r="T87" s="38" t="s">
        <v>467</v>
      </c>
      <c r="U87" s="38" t="s">
        <v>599</v>
      </c>
      <c r="V87" s="47">
        <v>20</v>
      </c>
      <c r="W87" t="e">
        <f t="shared" si="4"/>
        <v>#VALUE!</v>
      </c>
      <c r="X87">
        <v>2</v>
      </c>
    </row>
    <row r="88" ht="15.75" spans="1:24">
      <c r="A88" s="16" t="s">
        <v>600</v>
      </c>
      <c r="B88" s="20"/>
      <c r="C88" s="20">
        <f>C86+C87</f>
        <v>3.76699463691334</v>
      </c>
      <c r="D88" s="20">
        <f>D86+D87</f>
        <v>6.51219512195122</v>
      </c>
      <c r="E88" s="17">
        <f>E86+E87</f>
        <v>10.968883517664</v>
      </c>
      <c r="O88" s="37"/>
      <c r="P88" s="37" t="s">
        <v>601</v>
      </c>
      <c r="Q88" s="51"/>
      <c r="R88" s="43">
        <v>5</v>
      </c>
      <c r="S88" s="43">
        <v>3</v>
      </c>
      <c r="T88" s="37" t="s">
        <v>602</v>
      </c>
      <c r="U88" s="37"/>
      <c r="V88" s="52">
        <v>11</v>
      </c>
      <c r="W88">
        <f t="shared" si="4"/>
        <v>11</v>
      </c>
      <c r="X88">
        <v>3</v>
      </c>
    </row>
    <row r="89" ht="15.75" spans="15:24">
      <c r="O89" s="38"/>
      <c r="P89" s="38" t="s">
        <v>603</v>
      </c>
      <c r="Q89" s="53" t="s">
        <v>604</v>
      </c>
      <c r="R89" s="46">
        <v>11</v>
      </c>
      <c r="S89" s="46">
        <v>1.1</v>
      </c>
      <c r="T89" s="38" t="s">
        <v>467</v>
      </c>
      <c r="U89" s="38" t="s">
        <v>605</v>
      </c>
      <c r="V89" s="47">
        <v>15</v>
      </c>
      <c r="W89" t="e">
        <f t="shared" si="4"/>
        <v>#VALUE!</v>
      </c>
      <c r="X89">
        <v>2</v>
      </c>
    </row>
    <row r="90" ht="15.75" spans="10:24">
      <c r="J90" t="s">
        <v>606</v>
      </c>
      <c r="K90" t="s">
        <v>607</v>
      </c>
      <c r="O90" s="37"/>
      <c r="P90" s="37" t="s">
        <v>608</v>
      </c>
      <c r="Q90" s="54"/>
      <c r="R90" s="43">
        <v>1</v>
      </c>
      <c r="S90" s="43">
        <v>3</v>
      </c>
      <c r="T90" s="37" t="s">
        <v>602</v>
      </c>
      <c r="U90" s="44"/>
      <c r="V90" s="48">
        <v>5</v>
      </c>
      <c r="W90">
        <f t="shared" si="4"/>
        <v>5</v>
      </c>
      <c r="X90">
        <v>3</v>
      </c>
    </row>
    <row r="91" ht="15.75" spans="10:22">
      <c r="J91">
        <v>1</v>
      </c>
      <c r="K91">
        <v>2.71</v>
      </c>
      <c r="O91" s="38"/>
      <c r="P91" s="38" t="s">
        <v>609</v>
      </c>
      <c r="Q91" s="38" t="s">
        <v>491</v>
      </c>
      <c r="R91" s="46" t="s">
        <v>610</v>
      </c>
      <c r="S91" s="46"/>
      <c r="T91" s="38" t="s">
        <v>467</v>
      </c>
      <c r="U91" s="38"/>
      <c r="V91" s="55"/>
    </row>
    <row r="92" ht="15.75" spans="1:24">
      <c r="A92" s="1" t="s">
        <v>611</v>
      </c>
      <c r="J92">
        <v>2</v>
      </c>
      <c r="K92">
        <f t="shared" ref="K92:K97" si="5">K91+0.01</f>
        <v>2.72</v>
      </c>
      <c r="O92" s="37"/>
      <c r="P92" s="37" t="s">
        <v>612</v>
      </c>
      <c r="Q92" s="37" t="s">
        <v>491</v>
      </c>
      <c r="R92" s="43" t="s">
        <v>613</v>
      </c>
      <c r="S92" s="43"/>
      <c r="T92" s="37" t="s">
        <v>614</v>
      </c>
      <c r="U92" s="37"/>
      <c r="V92" s="45">
        <v>300</v>
      </c>
      <c r="W92">
        <f t="shared" si="4"/>
        <v>300</v>
      </c>
      <c r="X92" t="e">
        <v>#VALUE!</v>
      </c>
    </row>
    <row r="93" ht="15.75" spans="1:24">
      <c r="A93" s="4" t="s">
        <v>615</v>
      </c>
      <c r="C93" t="s">
        <v>616</v>
      </c>
      <c r="J93">
        <v>3</v>
      </c>
      <c r="K93">
        <f t="shared" si="5"/>
        <v>2.73</v>
      </c>
      <c r="O93" s="38"/>
      <c r="P93" s="38" t="s">
        <v>617</v>
      </c>
      <c r="Q93" s="38" t="s">
        <v>491</v>
      </c>
      <c r="R93" s="43" t="s">
        <v>618</v>
      </c>
      <c r="S93" s="46"/>
      <c r="T93" s="38" t="s">
        <v>614</v>
      </c>
      <c r="U93" s="38"/>
      <c r="V93" s="56">
        <v>20</v>
      </c>
      <c r="W93">
        <f t="shared" si="4"/>
        <v>20</v>
      </c>
      <c r="X93" t="e">
        <v>#VALUE!</v>
      </c>
    </row>
    <row r="94" ht="15.75" spans="3:24">
      <c r="C94">
        <f t="shared" ref="C94:C96" si="6">D94*0.99</f>
        <v>297</v>
      </c>
      <c r="D94">
        <v>300</v>
      </c>
      <c r="E94">
        <f t="shared" ref="E94:E96" si="7">D94*1.01</f>
        <v>303</v>
      </c>
      <c r="J94">
        <v>4</v>
      </c>
      <c r="K94">
        <f t="shared" si="5"/>
        <v>2.74</v>
      </c>
      <c r="O94" s="37"/>
      <c r="P94" s="37" t="s">
        <v>619</v>
      </c>
      <c r="Q94" s="57" t="s">
        <v>620</v>
      </c>
      <c r="R94" s="43">
        <v>49</v>
      </c>
      <c r="S94" s="43">
        <v>3</v>
      </c>
      <c r="T94" s="58" t="s">
        <v>621</v>
      </c>
      <c r="U94" s="44" t="s">
        <v>622</v>
      </c>
      <c r="V94" s="48">
        <v>55</v>
      </c>
      <c r="W94" t="e">
        <f t="shared" si="4"/>
        <v>#VALUE!</v>
      </c>
      <c r="X94">
        <v>3</v>
      </c>
    </row>
    <row r="95" ht="15.75" spans="1:24">
      <c r="A95" t="s">
        <v>623</v>
      </c>
      <c r="C95">
        <f t="shared" si="6"/>
        <v>0</v>
      </c>
      <c r="D95" s="35">
        <v>0</v>
      </c>
      <c r="E95">
        <f t="shared" si="7"/>
        <v>0</v>
      </c>
      <c r="H95">
        <f>40/5000</f>
        <v>0.008</v>
      </c>
      <c r="J95">
        <v>5</v>
      </c>
      <c r="K95">
        <f t="shared" si="5"/>
        <v>2.75</v>
      </c>
      <c r="O95" s="38"/>
      <c r="P95" s="38" t="s">
        <v>624</v>
      </c>
      <c r="Q95" s="59"/>
      <c r="R95" s="46">
        <v>44</v>
      </c>
      <c r="S95" s="46">
        <v>3</v>
      </c>
      <c r="T95" s="60" t="s">
        <v>621</v>
      </c>
      <c r="U95" s="38" t="s">
        <v>622</v>
      </c>
      <c r="V95" s="47">
        <v>50</v>
      </c>
      <c r="W95" t="e">
        <f t="shared" si="4"/>
        <v>#VALUE!</v>
      </c>
      <c r="X95">
        <v>3</v>
      </c>
    </row>
    <row r="96" ht="15.75" spans="1:24">
      <c r="A96" t="s">
        <v>625</v>
      </c>
      <c r="B96">
        <v>2.8</v>
      </c>
      <c r="C96">
        <f t="shared" si="6"/>
        <v>14850</v>
      </c>
      <c r="D96">
        <v>15000</v>
      </c>
      <c r="E96">
        <f t="shared" si="7"/>
        <v>15150</v>
      </c>
      <c r="H96">
        <f>H95*100</f>
        <v>0.8</v>
      </c>
      <c r="J96">
        <v>6</v>
      </c>
      <c r="K96">
        <f t="shared" si="5"/>
        <v>2.76</v>
      </c>
      <c r="O96" s="37"/>
      <c r="P96" s="37" t="s">
        <v>626</v>
      </c>
      <c r="Q96" s="59"/>
      <c r="R96" s="43">
        <v>-10</v>
      </c>
      <c r="S96" s="43">
        <v>3</v>
      </c>
      <c r="T96" s="58" t="s">
        <v>621</v>
      </c>
      <c r="U96" s="37" t="s">
        <v>622</v>
      </c>
      <c r="V96" s="48">
        <v>-4</v>
      </c>
      <c r="W96" t="e">
        <f t="shared" si="4"/>
        <v>#VALUE!</v>
      </c>
      <c r="X96">
        <v>3</v>
      </c>
    </row>
    <row r="97" ht="15.75" spans="10:24">
      <c r="J97">
        <v>7</v>
      </c>
      <c r="K97">
        <f t="shared" si="5"/>
        <v>2.77</v>
      </c>
      <c r="O97" s="38"/>
      <c r="P97" s="38" t="s">
        <v>627</v>
      </c>
      <c r="Q97" s="61"/>
      <c r="R97" s="46">
        <v>-5</v>
      </c>
      <c r="S97" s="46">
        <v>3</v>
      </c>
      <c r="T97" s="60" t="s">
        <v>621</v>
      </c>
      <c r="U97" s="38" t="s">
        <v>622</v>
      </c>
      <c r="V97" s="47">
        <v>1</v>
      </c>
      <c r="W97" t="e">
        <f t="shared" si="4"/>
        <v>#VALUE!</v>
      </c>
      <c r="X97">
        <v>3</v>
      </c>
    </row>
    <row r="98" ht="15.75" spans="1:24">
      <c r="A98" t="s">
        <v>570</v>
      </c>
      <c r="B98">
        <f>D96/(D94+D96+D95)</f>
        <v>0.980392156862745</v>
      </c>
      <c r="C98">
        <f>C96/(E94+E96+E95)</f>
        <v>0.960978450786255</v>
      </c>
      <c r="J98">
        <v>8</v>
      </c>
      <c r="K98">
        <f t="shared" ref="K98:K104" si="8">K97+0.01</f>
        <v>2.78</v>
      </c>
      <c r="O98" s="37"/>
      <c r="P98" s="37" t="s">
        <v>628</v>
      </c>
      <c r="Q98" s="62" t="s">
        <v>629</v>
      </c>
      <c r="R98" s="43">
        <v>64</v>
      </c>
      <c r="S98" s="43">
        <v>3</v>
      </c>
      <c r="T98" s="58" t="s">
        <v>621</v>
      </c>
      <c r="U98" s="44" t="s">
        <v>622</v>
      </c>
      <c r="V98" s="48">
        <v>70</v>
      </c>
      <c r="W98" t="e">
        <f t="shared" si="4"/>
        <v>#VALUE!</v>
      </c>
      <c r="X98">
        <v>3</v>
      </c>
    </row>
    <row r="99" ht="15.75" spans="10:24">
      <c r="J99">
        <v>9</v>
      </c>
      <c r="K99">
        <f t="shared" si="8"/>
        <v>2.79</v>
      </c>
      <c r="O99" s="38"/>
      <c r="P99" s="38" t="s">
        <v>630</v>
      </c>
      <c r="Q99" s="63"/>
      <c r="R99" s="46">
        <v>54</v>
      </c>
      <c r="S99" s="46">
        <v>3</v>
      </c>
      <c r="T99" s="60" t="s">
        <v>621</v>
      </c>
      <c r="U99" s="38" t="s">
        <v>622</v>
      </c>
      <c r="V99" s="47">
        <v>60</v>
      </c>
      <c r="W99" t="e">
        <f t="shared" si="4"/>
        <v>#VALUE!</v>
      </c>
      <c r="X99">
        <v>3</v>
      </c>
    </row>
    <row r="100" ht="15.75" spans="1:24">
      <c r="A100" t="s">
        <v>631</v>
      </c>
      <c r="B100">
        <f>B96/B98</f>
        <v>2.856</v>
      </c>
      <c r="C100" s="34">
        <f>B96/C98</f>
        <v>2.91369696969697</v>
      </c>
      <c r="D100">
        <f>3.6*1</f>
        <v>3.6</v>
      </c>
      <c r="E100">
        <f>4.2*1</f>
        <v>4.2</v>
      </c>
      <c r="J100">
        <v>10</v>
      </c>
      <c r="K100">
        <f t="shared" si="8"/>
        <v>2.8</v>
      </c>
      <c r="O100" s="37"/>
      <c r="P100" s="37" t="s">
        <v>632</v>
      </c>
      <c r="Q100" s="63"/>
      <c r="R100" s="43">
        <v>-10</v>
      </c>
      <c r="S100" s="43">
        <v>3</v>
      </c>
      <c r="T100" s="58" t="s">
        <v>621</v>
      </c>
      <c r="U100" s="37" t="s">
        <v>622</v>
      </c>
      <c r="V100" s="48">
        <v>-4</v>
      </c>
      <c r="W100" t="e">
        <f t="shared" si="4"/>
        <v>#VALUE!</v>
      </c>
      <c r="X100">
        <v>3</v>
      </c>
    </row>
    <row r="101" ht="15.75" spans="10:24">
      <c r="J101">
        <v>11</v>
      </c>
      <c r="K101">
        <f t="shared" si="8"/>
        <v>2.81</v>
      </c>
      <c r="O101" s="38"/>
      <c r="P101" s="38" t="s">
        <v>633</v>
      </c>
      <c r="Q101" s="64"/>
      <c r="R101" s="46">
        <v>-5</v>
      </c>
      <c r="S101" s="46">
        <v>3</v>
      </c>
      <c r="T101" s="60" t="s">
        <v>621</v>
      </c>
      <c r="U101" s="38" t="s">
        <v>622</v>
      </c>
      <c r="V101" s="47">
        <v>1</v>
      </c>
      <c r="W101" t="e">
        <f t="shared" si="4"/>
        <v>#VALUE!</v>
      </c>
      <c r="X101">
        <v>3</v>
      </c>
    </row>
    <row r="102" ht="15.75" spans="1:24">
      <c r="A102" t="s">
        <v>634</v>
      </c>
      <c r="B102">
        <f>B100/6</f>
        <v>0.476</v>
      </c>
      <c r="C102">
        <f>C100/6</f>
        <v>0.485616161616162</v>
      </c>
      <c r="J102">
        <v>12</v>
      </c>
      <c r="K102">
        <f t="shared" si="8"/>
        <v>2.82</v>
      </c>
      <c r="O102" s="37"/>
      <c r="P102" s="37" t="s">
        <v>635</v>
      </c>
      <c r="Q102" s="42" t="s">
        <v>636</v>
      </c>
      <c r="R102" s="43">
        <v>1</v>
      </c>
      <c r="S102" s="43">
        <v>3</v>
      </c>
      <c r="T102" s="37" t="s">
        <v>602</v>
      </c>
      <c r="U102" s="44"/>
      <c r="V102" s="65">
        <v>5</v>
      </c>
      <c r="W102">
        <f t="shared" si="4"/>
        <v>5</v>
      </c>
      <c r="X102">
        <v>3</v>
      </c>
    </row>
    <row r="103" ht="32.25" spans="10:21">
      <c r="J103">
        <v>13</v>
      </c>
      <c r="K103">
        <f t="shared" si="8"/>
        <v>2.83</v>
      </c>
      <c r="O103" s="39"/>
      <c r="P103" s="36" t="s">
        <v>577</v>
      </c>
      <c r="Q103" s="36" t="s">
        <v>578</v>
      </c>
      <c r="R103" s="36" t="s">
        <v>579</v>
      </c>
      <c r="S103" s="41" t="s">
        <v>580</v>
      </c>
      <c r="T103" s="36" t="s">
        <v>581</v>
      </c>
      <c r="U103" s="36" t="s">
        <v>582</v>
      </c>
    </row>
    <row r="104" ht="15.75" spans="3:21">
      <c r="C104">
        <f>C102-B102</f>
        <v>0.00961616161616202</v>
      </c>
      <c r="H104" t="s">
        <v>550</v>
      </c>
      <c r="J104">
        <v>14</v>
      </c>
      <c r="K104">
        <f t="shared" si="8"/>
        <v>2.84</v>
      </c>
      <c r="O104" s="40"/>
      <c r="P104" s="40" t="s">
        <v>619</v>
      </c>
      <c r="Q104" s="66" t="s">
        <v>148</v>
      </c>
      <c r="R104" s="66" t="s">
        <v>148</v>
      </c>
      <c r="S104" s="66"/>
      <c r="T104" s="66" t="s">
        <v>621</v>
      </c>
      <c r="U104" s="66"/>
    </row>
    <row r="105" ht="15.75" spans="2:21">
      <c r="B105" t="s">
        <v>159</v>
      </c>
      <c r="C105" t="s">
        <v>566</v>
      </c>
      <c r="D105" t="s">
        <v>161</v>
      </c>
      <c r="F105" t="s">
        <v>637</v>
      </c>
      <c r="G105">
        <f>I105*H105</f>
        <v>8.8e-5</v>
      </c>
      <c r="H105">
        <v>0.0004</v>
      </c>
      <c r="I105">
        <v>0.22</v>
      </c>
      <c r="J105">
        <v>15</v>
      </c>
      <c r="K105">
        <f t="shared" ref="K105:K116" si="9">K104+0.01</f>
        <v>2.85</v>
      </c>
      <c r="O105" s="39"/>
      <c r="P105" s="39" t="s">
        <v>624</v>
      </c>
      <c r="Q105" s="67" t="s">
        <v>148</v>
      </c>
      <c r="R105" s="67" t="s">
        <v>148</v>
      </c>
      <c r="S105" s="67"/>
      <c r="T105" s="67" t="s">
        <v>621</v>
      </c>
      <c r="U105" s="67"/>
    </row>
    <row r="106" ht="15.75" spans="1:21">
      <c r="A106" t="s">
        <v>638</v>
      </c>
      <c r="B106">
        <f>C100/(D94+D95+D96)*1000</f>
        <v>0.19043771043771</v>
      </c>
      <c r="C106">
        <f>D100/(D94+D95+D96)*1000</f>
        <v>0.235294117647059</v>
      </c>
      <c r="D106">
        <f>E100/(C94+C95+C96)*1000</f>
        <v>0.277282630223807</v>
      </c>
      <c r="F106" t="s">
        <v>639</v>
      </c>
      <c r="G106">
        <f>0.18*0.18*0.004*0.5</f>
        <v>6.48e-5</v>
      </c>
      <c r="J106">
        <v>16</v>
      </c>
      <c r="K106">
        <f t="shared" si="9"/>
        <v>2.86</v>
      </c>
      <c r="O106" s="40"/>
      <c r="P106" s="40" t="s">
        <v>626</v>
      </c>
      <c r="Q106" s="66" t="s">
        <v>148</v>
      </c>
      <c r="R106" s="66" t="s">
        <v>148</v>
      </c>
      <c r="S106" s="66"/>
      <c r="T106" s="66" t="s">
        <v>621</v>
      </c>
      <c r="U106" s="68"/>
    </row>
    <row r="107" ht="15.75" spans="2:21">
      <c r="B107">
        <v>1</v>
      </c>
      <c r="C107">
        <v>1.5</v>
      </c>
      <c r="D107">
        <v>3</v>
      </c>
      <c r="G107">
        <f>G105-G106</f>
        <v>2.32e-5</v>
      </c>
      <c r="J107">
        <v>17</v>
      </c>
      <c r="K107">
        <f t="shared" si="9"/>
        <v>2.87</v>
      </c>
      <c r="O107" s="39"/>
      <c r="P107" s="39" t="s">
        <v>627</v>
      </c>
      <c r="Q107" s="67" t="s">
        <v>148</v>
      </c>
      <c r="R107" s="67" t="s">
        <v>148</v>
      </c>
      <c r="S107" s="67"/>
      <c r="T107" s="67" t="s">
        <v>621</v>
      </c>
      <c r="U107" s="67"/>
    </row>
    <row r="108" ht="15.75" spans="2:21">
      <c r="B108">
        <f>B106+B107</f>
        <v>1.19043771043771</v>
      </c>
      <c r="C108">
        <f>C106+C107</f>
        <v>1.73529411764706</v>
      </c>
      <c r="D108">
        <f>D106+D107</f>
        <v>3.27728263022381</v>
      </c>
      <c r="J108">
        <v>18</v>
      </c>
      <c r="K108">
        <f t="shared" si="9"/>
        <v>2.88</v>
      </c>
      <c r="O108" s="40"/>
      <c r="P108" s="40" t="s">
        <v>628</v>
      </c>
      <c r="Q108" s="66" t="s">
        <v>148</v>
      </c>
      <c r="R108" s="66" t="s">
        <v>148</v>
      </c>
      <c r="S108" s="66"/>
      <c r="T108" s="66" t="s">
        <v>621</v>
      </c>
      <c r="U108" s="66"/>
    </row>
    <row r="109" ht="15.75" spans="6:21">
      <c r="F109">
        <f>4.4*8</f>
        <v>35.2</v>
      </c>
      <c r="H109">
        <v>8.8e-5</v>
      </c>
      <c r="J109">
        <v>19</v>
      </c>
      <c r="K109">
        <f t="shared" si="9"/>
        <v>2.89</v>
      </c>
      <c r="O109" s="39"/>
      <c r="P109" s="39" t="s">
        <v>630</v>
      </c>
      <c r="Q109" s="67" t="s">
        <v>148</v>
      </c>
      <c r="R109" s="67" t="s">
        <v>148</v>
      </c>
      <c r="S109" s="67"/>
      <c r="T109" s="67" t="s">
        <v>621</v>
      </c>
      <c r="U109" s="67"/>
    </row>
    <row r="110" ht="15.75" spans="4:21">
      <c r="D110">
        <f>D108-C108</f>
        <v>1.54198851257675</v>
      </c>
      <c r="J110">
        <v>20</v>
      </c>
      <c r="K110">
        <f t="shared" si="9"/>
        <v>2.9</v>
      </c>
      <c r="O110" s="40"/>
      <c r="P110" s="40" t="s">
        <v>632</v>
      </c>
      <c r="Q110" s="66" t="s">
        <v>148</v>
      </c>
      <c r="R110" s="66" t="s">
        <v>148</v>
      </c>
      <c r="S110" s="66"/>
      <c r="T110" s="66" t="s">
        <v>621</v>
      </c>
      <c r="U110" s="68"/>
    </row>
    <row r="111" ht="15.75" spans="10:21">
      <c r="J111">
        <v>21</v>
      </c>
      <c r="K111">
        <f t="shared" si="9"/>
        <v>2.91</v>
      </c>
      <c r="O111" s="39"/>
      <c r="P111" s="39" t="s">
        <v>633</v>
      </c>
      <c r="Q111" s="67" t="s">
        <v>148</v>
      </c>
      <c r="R111" s="67" t="s">
        <v>148</v>
      </c>
      <c r="S111" s="67"/>
      <c r="T111" s="67" t="s">
        <v>621</v>
      </c>
      <c r="U111" s="67"/>
    </row>
    <row r="112" ht="15.75" spans="1:21">
      <c r="A112" s="1" t="s">
        <v>640</v>
      </c>
      <c r="C112" t="s">
        <v>641</v>
      </c>
      <c r="D112">
        <f>18*0.03</f>
        <v>0.54</v>
      </c>
      <c r="J112">
        <v>22</v>
      </c>
      <c r="K112">
        <f t="shared" si="9"/>
        <v>2.92</v>
      </c>
      <c r="O112" s="40"/>
      <c r="P112" s="40" t="s">
        <v>635</v>
      </c>
      <c r="Q112" s="66" t="s">
        <v>148</v>
      </c>
      <c r="R112" s="66" t="s">
        <v>148</v>
      </c>
      <c r="S112" s="66"/>
      <c r="T112" s="66" t="s">
        <v>602</v>
      </c>
      <c r="U112" s="66"/>
    </row>
    <row r="113" ht="15.75" spans="4:21">
      <c r="D113">
        <f>5*0.3/0.8</f>
        <v>1.875</v>
      </c>
      <c r="J113">
        <v>23</v>
      </c>
      <c r="K113">
        <f t="shared" si="9"/>
        <v>2.93</v>
      </c>
      <c r="O113" s="39"/>
      <c r="P113" s="39"/>
      <c r="Q113" s="67"/>
      <c r="R113" s="67"/>
      <c r="S113" s="67"/>
      <c r="T113" s="67"/>
      <c r="U113" s="67"/>
    </row>
    <row r="114" ht="15.75" spans="4:21">
      <c r="D114">
        <f>D112/D113</f>
        <v>0.288</v>
      </c>
      <c r="J114">
        <v>24</v>
      </c>
      <c r="K114">
        <f t="shared" si="9"/>
        <v>2.93999999999999</v>
      </c>
      <c r="O114" s="40"/>
      <c r="P114" s="40"/>
      <c r="Q114" s="66"/>
      <c r="R114" s="66"/>
      <c r="S114" s="66"/>
      <c r="T114" s="66"/>
      <c r="U114" s="68"/>
    </row>
    <row r="115" ht="15.75" spans="4:21">
      <c r="D115">
        <f>D114*60</f>
        <v>17.28</v>
      </c>
      <c r="J115">
        <v>25</v>
      </c>
      <c r="K115">
        <f t="shared" si="9"/>
        <v>2.94999999999999</v>
      </c>
      <c r="O115" s="39"/>
      <c r="P115" s="39"/>
      <c r="Q115" s="67"/>
      <c r="R115" s="67"/>
      <c r="S115" s="67"/>
      <c r="T115" s="67"/>
      <c r="U115" s="67"/>
    </row>
    <row r="116" ht="15.75" spans="1:21">
      <c r="A116">
        <f>2/8</f>
        <v>0.25</v>
      </c>
      <c r="J116">
        <v>26</v>
      </c>
      <c r="K116">
        <f t="shared" si="9"/>
        <v>2.95999999999999</v>
      </c>
      <c r="O116" s="40"/>
      <c r="P116" s="40"/>
      <c r="Q116" s="66"/>
      <c r="R116" s="66"/>
      <c r="S116" s="66"/>
      <c r="T116" s="66"/>
      <c r="U116" s="66"/>
    </row>
    <row r="117" ht="15.75" spans="1:21">
      <c r="A117">
        <f>3/17</f>
        <v>0.176470588235294</v>
      </c>
      <c r="J117">
        <v>27</v>
      </c>
      <c r="K117">
        <f t="shared" ref="K117:K129" si="10">K116+0.01</f>
        <v>2.96999999999999</v>
      </c>
      <c r="O117" s="39"/>
      <c r="P117" s="39"/>
      <c r="Q117" s="67"/>
      <c r="R117" s="67"/>
      <c r="S117" s="67"/>
      <c r="T117" s="67"/>
      <c r="U117" s="67"/>
    </row>
    <row r="118" ht="15.75" spans="10:21">
      <c r="J118">
        <v>28</v>
      </c>
      <c r="K118">
        <f t="shared" si="10"/>
        <v>2.97999999999999</v>
      </c>
      <c r="O118" s="40"/>
      <c r="P118" s="40"/>
      <c r="Q118" s="66"/>
      <c r="R118" s="66"/>
      <c r="S118" s="66"/>
      <c r="T118" s="66"/>
      <c r="U118" s="68"/>
    </row>
    <row r="119" ht="15.75" spans="10:21">
      <c r="J119">
        <v>29</v>
      </c>
      <c r="K119">
        <f t="shared" si="10"/>
        <v>2.98999999999999</v>
      </c>
      <c r="O119" s="39"/>
      <c r="P119" s="39"/>
      <c r="Q119" s="67"/>
      <c r="R119" s="67"/>
      <c r="S119" s="67"/>
      <c r="T119" s="67"/>
      <c r="U119" s="67"/>
    </row>
    <row r="120" ht="15.75" spans="10:21">
      <c r="J120">
        <v>30</v>
      </c>
      <c r="K120">
        <f t="shared" si="10"/>
        <v>2.99999999999999</v>
      </c>
      <c r="O120" s="40"/>
      <c r="P120" s="40"/>
      <c r="Q120" s="66"/>
      <c r="R120" s="66"/>
      <c r="S120" s="66"/>
      <c r="T120" s="66"/>
      <c r="U120" s="66"/>
    </row>
    <row r="121" ht="15.75" spans="10:21">
      <c r="J121">
        <v>31</v>
      </c>
      <c r="K121">
        <f t="shared" si="10"/>
        <v>3.00999999999999</v>
      </c>
      <c r="O121" s="39"/>
      <c r="P121" s="39"/>
      <c r="Q121" s="67"/>
      <c r="R121" s="67"/>
      <c r="S121" s="67"/>
      <c r="T121" s="67"/>
      <c r="U121" s="67"/>
    </row>
    <row r="122" ht="15.75" spans="10:21">
      <c r="J122">
        <v>32</v>
      </c>
      <c r="K122">
        <f t="shared" si="10"/>
        <v>3.01999999999999</v>
      </c>
      <c r="O122" s="40"/>
      <c r="P122" s="40"/>
      <c r="Q122" s="66"/>
      <c r="R122" s="66"/>
      <c r="S122" s="66"/>
      <c r="T122" s="66"/>
      <c r="U122" s="68"/>
    </row>
    <row r="123" ht="15.75" spans="10:21">
      <c r="J123">
        <v>33</v>
      </c>
      <c r="K123">
        <f t="shared" si="10"/>
        <v>3.02999999999999</v>
      </c>
      <c r="O123" s="39"/>
      <c r="P123" s="39"/>
      <c r="Q123" s="67"/>
      <c r="R123" s="67"/>
      <c r="S123" s="67"/>
      <c r="T123" s="67"/>
      <c r="U123" s="67"/>
    </row>
    <row r="124" ht="15.75" spans="10:21">
      <c r="J124">
        <v>34</v>
      </c>
      <c r="K124">
        <f t="shared" si="10"/>
        <v>3.03999999999999</v>
      </c>
      <c r="O124" s="40"/>
      <c r="P124" s="40"/>
      <c r="Q124" s="66"/>
      <c r="R124" s="66"/>
      <c r="S124" s="66"/>
      <c r="T124" s="66"/>
      <c r="U124" s="66"/>
    </row>
    <row r="125" spans="1:11">
      <c r="A125" t="s">
        <v>642</v>
      </c>
      <c r="J125">
        <v>35</v>
      </c>
      <c r="K125">
        <f t="shared" si="10"/>
        <v>3.04999999999999</v>
      </c>
    </row>
    <row r="126" spans="2:11">
      <c r="B126" t="s">
        <v>643</v>
      </c>
      <c r="J126">
        <v>36</v>
      </c>
      <c r="K126">
        <f t="shared" si="10"/>
        <v>3.05999999999999</v>
      </c>
    </row>
    <row r="127" spans="2:11">
      <c r="B127">
        <f>2*2*2*2*2*2*2*2</f>
        <v>256</v>
      </c>
      <c r="J127">
        <v>37</v>
      </c>
      <c r="K127">
        <f t="shared" si="10"/>
        <v>3.06999999999999</v>
      </c>
    </row>
    <row r="128" spans="2:11">
      <c r="B128">
        <f>B127*B127</f>
        <v>65536</v>
      </c>
      <c r="J128">
        <v>38</v>
      </c>
      <c r="K128">
        <f t="shared" si="10"/>
        <v>3.07999999999999</v>
      </c>
    </row>
    <row r="129" spans="10:11">
      <c r="J129">
        <v>39</v>
      </c>
      <c r="K129">
        <f t="shared" si="10"/>
        <v>3.08999999999999</v>
      </c>
    </row>
    <row r="130" spans="2:11">
      <c r="B130" t="s">
        <v>644</v>
      </c>
      <c r="J130">
        <v>40</v>
      </c>
      <c r="K130">
        <f t="shared" ref="K130:K135" si="11">K129+0.01</f>
        <v>3.09999999999999</v>
      </c>
    </row>
    <row r="131" spans="10:11">
      <c r="J131">
        <v>41</v>
      </c>
      <c r="K131">
        <f t="shared" si="11"/>
        <v>3.10999999999999</v>
      </c>
    </row>
    <row r="132" spans="10:11">
      <c r="J132">
        <v>42</v>
      </c>
      <c r="K132">
        <f t="shared" si="11"/>
        <v>3.11999999999999</v>
      </c>
    </row>
    <row r="133" spans="1:11">
      <c r="A133" t="s">
        <v>645</v>
      </c>
      <c r="B133">
        <f>30*0.003*1000</f>
        <v>90</v>
      </c>
      <c r="J133">
        <v>43</v>
      </c>
      <c r="K133">
        <f t="shared" si="11"/>
        <v>3.12999999999999</v>
      </c>
    </row>
    <row r="134" spans="1:11">
      <c r="A134" t="s">
        <v>646</v>
      </c>
      <c r="B134">
        <f>B133*B128/5000</f>
        <v>1179.648</v>
      </c>
      <c r="J134">
        <v>44</v>
      </c>
      <c r="K134">
        <f t="shared" si="11"/>
        <v>3.13999999999999</v>
      </c>
    </row>
    <row r="135" spans="1:11">
      <c r="A135" t="s">
        <v>647</v>
      </c>
      <c r="B135">
        <f>1215000/B128</f>
        <v>18.5394287109375</v>
      </c>
      <c r="J135">
        <v>45</v>
      </c>
      <c r="K135">
        <f t="shared" si="11"/>
        <v>3.14999999999999</v>
      </c>
    </row>
    <row r="136" spans="1:2">
      <c r="A136" s="69" t="s">
        <v>648</v>
      </c>
      <c r="B136" s="69">
        <f>22.3*B137</f>
        <v>82.733</v>
      </c>
    </row>
    <row r="137" spans="1:11">
      <c r="A137" s="69" t="s">
        <v>649</v>
      </c>
      <c r="B137">
        <f>3.71</f>
        <v>3.71</v>
      </c>
      <c r="J137">
        <v>46</v>
      </c>
      <c r="K137">
        <f>K135+0.01</f>
        <v>3.15999999999999</v>
      </c>
    </row>
    <row r="138" spans="1:11">
      <c r="A138" t="s">
        <v>650</v>
      </c>
      <c r="B138">
        <f>B137/3</f>
        <v>1.23666666666667</v>
      </c>
      <c r="C138" t="s">
        <v>467</v>
      </c>
      <c r="J138">
        <v>47</v>
      </c>
      <c r="K138">
        <f>K137+0.01</f>
        <v>3.16999999999999</v>
      </c>
    </row>
    <row r="139" spans="10:11">
      <c r="J139">
        <v>48</v>
      </c>
      <c r="K139">
        <f>K138+0.01</f>
        <v>3.17999999999999</v>
      </c>
    </row>
    <row r="140" spans="2:11">
      <c r="B140">
        <f>70-25</f>
        <v>45</v>
      </c>
      <c r="J140">
        <v>49</v>
      </c>
      <c r="K140">
        <f>K139+0.01</f>
        <v>3.18999999999999</v>
      </c>
    </row>
    <row r="141" spans="1:11">
      <c r="A141" t="s">
        <v>651</v>
      </c>
      <c r="B141" s="69">
        <f>0.3*B140</f>
        <v>13.5</v>
      </c>
      <c r="J141">
        <v>50</v>
      </c>
      <c r="K141">
        <f>K140+0.01</f>
        <v>3.19999999999999</v>
      </c>
    </row>
    <row r="142" spans="2:2">
      <c r="B142" s="69">
        <v>10</v>
      </c>
    </row>
    <row r="143" spans="2:2">
      <c r="B143">
        <f>B142+B141+B136</f>
        <v>106.233</v>
      </c>
    </row>
    <row r="144" spans="2:3">
      <c r="B144">
        <f>B143/1000</f>
        <v>0.106233</v>
      </c>
      <c r="C144" t="s">
        <v>652</v>
      </c>
    </row>
    <row r="145" spans="2:3">
      <c r="B145">
        <f>B144/2.99</f>
        <v>0.0355294314381271</v>
      </c>
      <c r="C145" t="s">
        <v>467</v>
      </c>
    </row>
    <row r="146" spans="1:2">
      <c r="A146">
        <v>3.75</v>
      </c>
      <c r="B146">
        <f>3.75*8</f>
        <v>30</v>
      </c>
    </row>
    <row r="156" spans="1:7">
      <c r="A156" t="s">
        <v>653</v>
      </c>
      <c r="B156">
        <v>0.04</v>
      </c>
      <c r="G156">
        <f>0.2*0.2*10</f>
        <v>0.4</v>
      </c>
    </row>
    <row r="157" spans="1:3">
      <c r="A157" t="s">
        <v>654</v>
      </c>
      <c r="B157">
        <f>0.05/8</f>
        <v>0.00625</v>
      </c>
      <c r="C157">
        <f>B157*3</f>
        <v>0.01875</v>
      </c>
    </row>
    <row r="165" spans="3:3">
      <c r="C165" t="s">
        <v>655</v>
      </c>
    </row>
    <row r="166" spans="4:4">
      <c r="D166" t="s">
        <v>656</v>
      </c>
    </row>
    <row r="171" ht="14.25" spans="13:13">
      <c r="M171">
        <f>4.35*8</f>
        <v>34.8</v>
      </c>
    </row>
    <row r="172" ht="14.25" spans="3:8">
      <c r="C172" s="70" t="s">
        <v>657</v>
      </c>
      <c r="D172" s="71" t="s">
        <v>658</v>
      </c>
      <c r="E172" s="71" t="s">
        <v>283</v>
      </c>
      <c r="F172" s="71" t="s">
        <v>284</v>
      </c>
      <c r="G172" s="71" t="s">
        <v>285</v>
      </c>
      <c r="H172" s="71" t="s">
        <v>659</v>
      </c>
    </row>
    <row r="173" ht="26.25" spans="3:8">
      <c r="C173" s="72" t="s">
        <v>660</v>
      </c>
      <c r="D173" s="73" t="s">
        <v>661</v>
      </c>
      <c r="E173" s="73"/>
      <c r="F173" s="73"/>
      <c r="G173" s="73"/>
      <c r="H173" s="73"/>
    </row>
    <row r="174" ht="14.25" spans="3:8">
      <c r="C174" s="72" t="s">
        <v>662</v>
      </c>
      <c r="D174" s="73" t="s">
        <v>663</v>
      </c>
      <c r="E174" s="74" t="s">
        <v>664</v>
      </c>
      <c r="F174" s="73" t="s">
        <v>665</v>
      </c>
      <c r="G174" s="73" t="s">
        <v>665</v>
      </c>
      <c r="H174" s="73" t="s">
        <v>665</v>
      </c>
    </row>
    <row r="175" ht="14.25" spans="3:8">
      <c r="C175" s="72"/>
      <c r="D175" s="73" t="s">
        <v>666</v>
      </c>
      <c r="E175" s="74" t="s">
        <v>667</v>
      </c>
      <c r="F175" s="74" t="s">
        <v>664</v>
      </c>
      <c r="G175" s="73" t="s">
        <v>665</v>
      </c>
      <c r="H175" s="73" t="s">
        <v>665</v>
      </c>
    </row>
    <row r="176" ht="14.25" spans="3:8">
      <c r="C176" s="72"/>
      <c r="D176" s="73" t="s">
        <v>668</v>
      </c>
      <c r="E176" s="74" t="s">
        <v>667</v>
      </c>
      <c r="F176" s="74" t="s">
        <v>667</v>
      </c>
      <c r="G176" s="74" t="s">
        <v>664</v>
      </c>
      <c r="H176" s="73" t="s">
        <v>665</v>
      </c>
    </row>
    <row r="177" ht="14.25" spans="3:8">
      <c r="C177" s="72"/>
      <c r="D177" s="73" t="s">
        <v>669</v>
      </c>
      <c r="E177" s="74" t="s">
        <v>667</v>
      </c>
      <c r="F177" s="74" t="s">
        <v>667</v>
      </c>
      <c r="G177" s="74" t="s">
        <v>667</v>
      </c>
      <c r="H177" s="74" t="s">
        <v>664</v>
      </c>
    </row>
    <row r="178" ht="14.25" spans="3:8">
      <c r="C178" s="72"/>
      <c r="D178" s="75">
        <v>1</v>
      </c>
      <c r="E178" s="74" t="s">
        <v>667</v>
      </c>
      <c r="F178" s="74" t="s">
        <v>667</v>
      </c>
      <c r="G178" s="74" t="s">
        <v>667</v>
      </c>
      <c r="H178" s="74" t="s">
        <v>667</v>
      </c>
    </row>
    <row r="179" ht="14.25" spans="3:8">
      <c r="C179" s="76"/>
      <c r="D179" s="77"/>
      <c r="E179" s="77"/>
      <c r="F179" s="77"/>
      <c r="G179" s="77"/>
      <c r="H179" s="77"/>
    </row>
    <row r="180" ht="14.25" spans="3:8">
      <c r="C180" s="78" t="s">
        <v>670</v>
      </c>
      <c r="D180" s="75">
        <v>0</v>
      </c>
      <c r="E180" s="73" t="s">
        <v>665</v>
      </c>
      <c r="F180" s="73" t="s">
        <v>665</v>
      </c>
      <c r="G180" s="73" t="s">
        <v>665</v>
      </c>
      <c r="H180" s="73" t="s">
        <v>665</v>
      </c>
    </row>
    <row r="181" ht="14.25" spans="3:8">
      <c r="C181" s="78"/>
      <c r="D181" s="73" t="s">
        <v>671</v>
      </c>
      <c r="E181" s="74" t="s">
        <v>664</v>
      </c>
      <c r="F181" s="73" t="s">
        <v>665</v>
      </c>
      <c r="G181" s="73" t="s">
        <v>665</v>
      </c>
      <c r="H181" s="73" t="s">
        <v>665</v>
      </c>
    </row>
    <row r="182" ht="14.25" spans="3:8">
      <c r="C182" s="78"/>
      <c r="D182" s="73" t="s">
        <v>672</v>
      </c>
      <c r="E182" s="74" t="s">
        <v>667</v>
      </c>
      <c r="F182" s="73" t="s">
        <v>665</v>
      </c>
      <c r="G182" s="73" t="s">
        <v>665</v>
      </c>
      <c r="H182" s="73" t="s">
        <v>665</v>
      </c>
    </row>
    <row r="183" ht="14.25" spans="3:8">
      <c r="C183" s="78"/>
      <c r="D183" s="73" t="s">
        <v>666</v>
      </c>
      <c r="E183" s="74" t="s">
        <v>667</v>
      </c>
      <c r="F183" s="74" t="s">
        <v>667</v>
      </c>
      <c r="G183" s="73" t="s">
        <v>665</v>
      </c>
      <c r="H183" s="73" t="s">
        <v>665</v>
      </c>
    </row>
    <row r="184" ht="14.25" spans="3:8">
      <c r="C184" s="78"/>
      <c r="D184" s="73" t="s">
        <v>668</v>
      </c>
      <c r="E184" s="74" t="s">
        <v>667</v>
      </c>
      <c r="F184" s="74" t="s">
        <v>667</v>
      </c>
      <c r="G184" s="74" t="s">
        <v>667</v>
      </c>
      <c r="H184" s="73" t="s">
        <v>665</v>
      </c>
    </row>
    <row r="185" ht="14.25" spans="3:8">
      <c r="C185" s="72"/>
      <c r="D185" s="73" t="s">
        <v>673</v>
      </c>
      <c r="E185" s="74" t="s">
        <v>667</v>
      </c>
      <c r="F185" s="74" t="s">
        <v>667</v>
      </c>
      <c r="G185" s="74" t="s">
        <v>667</v>
      </c>
      <c r="H185" s="74" t="s">
        <v>667</v>
      </c>
    </row>
    <row r="186" ht="29.1" customHeight="1" spans="3:8">
      <c r="C186" s="72" t="s">
        <v>674</v>
      </c>
      <c r="D186" s="73" t="s">
        <v>661</v>
      </c>
      <c r="E186" s="73"/>
      <c r="F186" s="73"/>
      <c r="G186" s="73"/>
      <c r="H186" s="73"/>
    </row>
    <row r="188" spans="8:10">
      <c r="H188" s="79"/>
      <c r="I188" s="79"/>
      <c r="J188" s="79"/>
    </row>
    <row r="189" ht="14.25" spans="8:10">
      <c r="H189" s="79"/>
      <c r="I189" s="79"/>
      <c r="J189" s="79"/>
    </row>
    <row r="190" ht="14.25" spans="4:10">
      <c r="D190" s="80" t="s">
        <v>675</v>
      </c>
      <c r="E190" s="19"/>
      <c r="F190" s="13"/>
      <c r="H190" s="79"/>
      <c r="I190" s="79"/>
      <c r="J190" s="79"/>
    </row>
    <row r="191" spans="4:10">
      <c r="D191" s="12" t="s">
        <v>524</v>
      </c>
      <c r="E191" s="81" t="s">
        <v>676</v>
      </c>
      <c r="F191" s="81" t="s">
        <v>677</v>
      </c>
      <c r="G191" s="82" t="s">
        <v>678</v>
      </c>
      <c r="H191" s="83" t="s">
        <v>679</v>
      </c>
      <c r="I191" s="87" t="s">
        <v>680</v>
      </c>
      <c r="J191" s="88"/>
    </row>
    <row r="192" spans="4:10">
      <c r="D192" s="14">
        <f>2.8*8</f>
        <v>22.4</v>
      </c>
      <c r="E192">
        <f>D192*F192</f>
        <v>0.535885167464115</v>
      </c>
      <c r="F192" s="84">
        <f>I192/(I192+H192+G192)</f>
        <v>0.0239234449760766</v>
      </c>
      <c r="G192" s="85">
        <v>510</v>
      </c>
      <c r="H192" s="86">
        <v>510</v>
      </c>
      <c r="I192" s="86">
        <v>25</v>
      </c>
      <c r="J192" s="88"/>
    </row>
    <row r="193" spans="1:10">
      <c r="A193" s="89" t="s">
        <v>353</v>
      </c>
      <c r="B193" s="90" t="s">
        <v>327</v>
      </c>
      <c r="D193" s="14">
        <f>4.355*8</f>
        <v>34.84</v>
      </c>
      <c r="E193">
        <f>D193*F193</f>
        <v>0.90259067357513</v>
      </c>
      <c r="F193" s="84">
        <f>I193/(I193+H193+G193)</f>
        <v>0.0259067357512953</v>
      </c>
      <c r="G193" s="85">
        <v>470</v>
      </c>
      <c r="H193" s="86">
        <v>470</v>
      </c>
      <c r="I193" s="86">
        <v>25</v>
      </c>
      <c r="J193" s="79"/>
    </row>
    <row r="194" spans="1:10">
      <c r="A194" s="91" t="s">
        <v>681</v>
      </c>
      <c r="B194" s="91" t="s">
        <v>682</v>
      </c>
      <c r="D194" s="14" t="s">
        <v>683</v>
      </c>
      <c r="E194" s="84">
        <f>E193/1000/3</f>
        <v>0.000300863557858377</v>
      </c>
      <c r="F194" s="15"/>
      <c r="G194" s="92"/>
      <c r="H194" s="79"/>
      <c r="I194" s="79">
        <v>16.2</v>
      </c>
      <c r="J194" s="79"/>
    </row>
    <row r="195" spans="1:10">
      <c r="A195" s="91" t="s">
        <v>684</v>
      </c>
      <c r="B195" s="91" t="s">
        <v>685</v>
      </c>
      <c r="D195" s="14" t="s">
        <v>686</v>
      </c>
      <c r="E195" s="84">
        <v>1000</v>
      </c>
      <c r="F195" s="15"/>
      <c r="G195" s="92">
        <f>32/1000</f>
        <v>0.032</v>
      </c>
      <c r="H195" s="79"/>
      <c r="I195" s="79"/>
      <c r="J195" s="79"/>
    </row>
    <row r="196" ht="14.25" spans="1:7">
      <c r="A196" s="91" t="s">
        <v>687</v>
      </c>
      <c r="B196" s="91" t="s">
        <v>688</v>
      </c>
      <c r="D196" s="16" t="s">
        <v>689</v>
      </c>
      <c r="E196" s="20">
        <f>E194*E194*E195</f>
        <v>9.05188804472007e-5</v>
      </c>
      <c r="F196" s="17"/>
      <c r="G196" s="92"/>
    </row>
    <row r="197" spans="1:9">
      <c r="A197" s="91" t="s">
        <v>690</v>
      </c>
      <c r="B197" s="91" t="s">
        <v>691</v>
      </c>
      <c r="G197" s="85">
        <v>510</v>
      </c>
      <c r="H197" s="86">
        <v>510</v>
      </c>
      <c r="I197" s="86">
        <v>25</v>
      </c>
    </row>
    <row r="198" spans="1:9">
      <c r="A198" s="91" t="s">
        <v>692</v>
      </c>
      <c r="B198" s="91" t="s">
        <v>693</v>
      </c>
      <c r="I198">
        <f>31768/782</f>
        <v>40.6240409207161</v>
      </c>
    </row>
    <row r="199" spans="1:2">
      <c r="A199" s="91" t="s">
        <v>694</v>
      </c>
      <c r="B199" s="91" t="s">
        <v>695</v>
      </c>
    </row>
    <row r="200" ht="14.25" spans="1:5">
      <c r="A200" s="91" t="s">
        <v>696</v>
      </c>
      <c r="B200" s="91" t="s">
        <v>697</v>
      </c>
      <c r="E200" s="93"/>
    </row>
    <row r="201" spans="1:10">
      <c r="A201" s="91" t="s">
        <v>698</v>
      </c>
      <c r="B201" s="91" t="s">
        <v>699</v>
      </c>
      <c r="D201" t="s">
        <v>700</v>
      </c>
      <c r="E201" t="s">
        <v>701</v>
      </c>
      <c r="F201" t="s">
        <v>525</v>
      </c>
      <c r="I201">
        <f>3.3*J201</f>
        <v>0.99</v>
      </c>
      <c r="J201">
        <v>0.3</v>
      </c>
    </row>
    <row r="202" spans="1:10">
      <c r="A202" s="91" t="s">
        <v>354</v>
      </c>
      <c r="B202" s="91" t="s">
        <v>702</v>
      </c>
      <c r="D202">
        <f>4.35-0.3</f>
        <v>4.05</v>
      </c>
      <c r="E202">
        <f>D202/225</f>
        <v>0.018</v>
      </c>
      <c r="F202">
        <f>D202*D202/200</f>
        <v>0.0820125</v>
      </c>
      <c r="J202">
        <f>300/1000</f>
        <v>0.3</v>
      </c>
    </row>
    <row r="203" ht="14.25" spans="2:6">
      <c r="B203" s="94"/>
      <c r="D203">
        <f>4.15-0.3</f>
        <v>3.85</v>
      </c>
      <c r="E203">
        <f>D203/225</f>
        <v>0.0171111111111111</v>
      </c>
      <c r="F203">
        <f>D203*D203/200</f>
        <v>0.0741125</v>
      </c>
    </row>
    <row r="204" spans="7:7">
      <c r="G204">
        <f>175/2</f>
        <v>87.5</v>
      </c>
    </row>
    <row r="206" spans="4:6">
      <c r="D206" t="s">
        <v>703</v>
      </c>
      <c r="E206" t="s">
        <v>704</v>
      </c>
      <c r="F206" t="s">
        <v>705</v>
      </c>
    </row>
    <row r="207" spans="4:6">
      <c r="D207">
        <v>25</v>
      </c>
      <c r="E207">
        <f>D207+10</f>
        <v>35</v>
      </c>
      <c r="F207">
        <f>D207-10</f>
        <v>15</v>
      </c>
    </row>
    <row r="208" spans="4:6">
      <c r="D208">
        <v>15</v>
      </c>
      <c r="E208">
        <f>D208+10</f>
        <v>25</v>
      </c>
      <c r="F208">
        <f>D208-10</f>
        <v>5</v>
      </c>
    </row>
    <row r="210" spans="4:4">
      <c r="D210" t="s">
        <v>700</v>
      </c>
    </row>
    <row r="211" spans="4:5">
      <c r="D211">
        <f>4.35-0.4</f>
        <v>3.95</v>
      </c>
      <c r="E211">
        <f>D211/220</f>
        <v>0.0179545454545455</v>
      </c>
    </row>
    <row r="212" spans="4:5">
      <c r="D212">
        <f>4.15-0.4</f>
        <v>3.75</v>
      </c>
      <c r="E212" s="95">
        <f>D212/220</f>
        <v>0.0170454545454545</v>
      </c>
    </row>
    <row r="213" spans="5:5">
      <c r="E213" s="95"/>
    </row>
    <row r="214" spans="5:5">
      <c r="E214" s="95"/>
    </row>
    <row r="215" spans="4:5">
      <c r="D215" t="s">
        <v>706</v>
      </c>
      <c r="E215" s="95">
        <f>E212*E212*100</f>
        <v>0.0290547520661157</v>
      </c>
    </row>
    <row r="216" spans="4:7">
      <c r="D216" t="s">
        <v>707</v>
      </c>
      <c r="E216" s="95">
        <f>F216+10</f>
        <v>35</v>
      </c>
      <c r="F216">
        <v>25</v>
      </c>
      <c r="G216">
        <f>F216-10</f>
        <v>15</v>
      </c>
    </row>
    <row r="218" ht="14.25"/>
    <row r="219" ht="16.5" spans="4:7">
      <c r="D219" s="12" t="s">
        <v>708</v>
      </c>
      <c r="E219" s="19"/>
      <c r="F219" s="13"/>
      <c r="G219" s="96" t="s">
        <v>709</v>
      </c>
    </row>
    <row r="220" spans="1:6">
      <c r="A220" t="s">
        <v>710</v>
      </c>
      <c r="D220" s="12" t="s">
        <v>524</v>
      </c>
      <c r="E220" s="19" t="s">
        <v>711</v>
      </c>
      <c r="F220" s="13" t="s">
        <v>712</v>
      </c>
    </row>
    <row r="221" spans="4:11">
      <c r="D221" s="14">
        <f>2.8*8</f>
        <v>22.4</v>
      </c>
      <c r="E221">
        <f>D221/F221</f>
        <v>16.8</v>
      </c>
      <c r="F221" s="15">
        <f>G226*2</f>
        <v>1.33333333333333</v>
      </c>
      <c r="J221">
        <f>100/570</f>
        <v>0.175438596491228</v>
      </c>
      <c r="K221">
        <f>J221*D221</f>
        <v>3.92982456140351</v>
      </c>
    </row>
    <row r="222" spans="3:11">
      <c r="C222">
        <f>15*D222</f>
        <v>522</v>
      </c>
      <c r="D222" s="14">
        <f>4.35*8</f>
        <v>34.8</v>
      </c>
      <c r="E222">
        <f>D222/F221</f>
        <v>26.1000000000001</v>
      </c>
      <c r="F222" s="15">
        <f>G227*2</f>
        <v>10.2627257799672</v>
      </c>
      <c r="J222">
        <f>100/570</f>
        <v>0.175438596491228</v>
      </c>
      <c r="K222">
        <f>J222*D222</f>
        <v>6.10526315789474</v>
      </c>
    </row>
    <row r="223" spans="3:8">
      <c r="C223">
        <f>15*15*0.1</f>
        <v>22.5</v>
      </c>
      <c r="D223" s="14" t="s">
        <v>683</v>
      </c>
      <c r="E223" s="84">
        <f>E222/1000/3</f>
        <v>0.00870000000000002</v>
      </c>
      <c r="F223" s="15"/>
      <c r="H223" t="s">
        <v>713</v>
      </c>
    </row>
    <row r="224" spans="4:8">
      <c r="D224" s="14" t="s">
        <v>686</v>
      </c>
      <c r="E224" s="84">
        <v>1000</v>
      </c>
      <c r="F224" s="15"/>
      <c r="G224" t="s">
        <v>292</v>
      </c>
      <c r="H224" t="s">
        <v>714</v>
      </c>
    </row>
    <row r="225" ht="14.25" spans="4:8">
      <c r="D225" s="16" t="s">
        <v>689</v>
      </c>
      <c r="E225" s="20">
        <f>E223*E223*E224</f>
        <v>0.0756900000000004</v>
      </c>
      <c r="F225" s="17"/>
      <c r="G225">
        <v>1</v>
      </c>
      <c r="H225">
        <v>2</v>
      </c>
    </row>
    <row r="226" spans="4:7">
      <c r="D226" t="s">
        <v>715</v>
      </c>
      <c r="F226">
        <v>20.3</v>
      </c>
      <c r="G226">
        <f>G225*H225/(G225+H225)</f>
        <v>0.666666666666667</v>
      </c>
    </row>
    <row r="227" spans="4:7">
      <c r="D227" t="s">
        <v>716</v>
      </c>
      <c r="F227">
        <f>2500/F226</f>
        <v>123.152709359606</v>
      </c>
      <c r="G227">
        <f>F227/24</f>
        <v>5.13136288998358</v>
      </c>
    </row>
    <row r="228" spans="4:5">
      <c r="D228" s="270" t="s">
        <v>717</v>
      </c>
      <c r="E228">
        <f>1/10</f>
        <v>0.1</v>
      </c>
    </row>
    <row r="229" spans="4:5">
      <c r="D229" s="270" t="s">
        <v>718</v>
      </c>
      <c r="E229">
        <f>1/8</f>
        <v>0.125</v>
      </c>
    </row>
    <row r="230" spans="4:5">
      <c r="D230" s="270" t="s">
        <v>719</v>
      </c>
      <c r="E230">
        <f>1/4</f>
        <v>0.25</v>
      </c>
    </row>
    <row r="231" spans="1:5">
      <c r="A231" s="7">
        <f>0.075/100</f>
        <v>0.00075</v>
      </c>
      <c r="B231" s="7" t="s">
        <v>467</v>
      </c>
      <c r="D231" s="270" t="s">
        <v>720</v>
      </c>
      <c r="E231">
        <f>1/3</f>
        <v>0.333333333333333</v>
      </c>
    </row>
    <row r="232" spans="1:5">
      <c r="A232" s="7">
        <f>A231*1000</f>
        <v>0.75</v>
      </c>
      <c r="B232" s="7" t="s">
        <v>469</v>
      </c>
      <c r="D232" s="270" t="s">
        <v>721</v>
      </c>
      <c r="E232">
        <f>1/4</f>
        <v>0.25</v>
      </c>
    </row>
    <row r="234" spans="1:2">
      <c r="A234" s="7">
        <f>4.2/510</f>
        <v>0.00823529411764706</v>
      </c>
      <c r="B234" s="7" t="s">
        <v>469</v>
      </c>
    </row>
    <row r="235" spans="1:2">
      <c r="A235" s="7">
        <f>A234*1000</f>
        <v>8.23529411764706</v>
      </c>
      <c r="B235" s="7" t="s">
        <v>722</v>
      </c>
    </row>
    <row r="236" ht="14.25"/>
    <row r="237" ht="16.5" spans="4:7">
      <c r="D237" s="12" t="s">
        <v>723</v>
      </c>
      <c r="E237" s="19"/>
      <c r="F237" s="13"/>
      <c r="G237" s="96" t="s">
        <v>709</v>
      </c>
    </row>
    <row r="238" spans="4:6">
      <c r="D238" s="12" t="s">
        <v>524</v>
      </c>
      <c r="E238" s="19" t="s">
        <v>711</v>
      </c>
      <c r="F238" s="13" t="s">
        <v>712</v>
      </c>
    </row>
    <row r="239" spans="4:6">
      <c r="D239" s="14">
        <f>2.8*8-5</f>
        <v>17.4</v>
      </c>
      <c r="E239" s="84">
        <f>D239/F239</f>
        <v>13.05</v>
      </c>
      <c r="F239" s="15">
        <f>G244*2</f>
        <v>1.33333333333333</v>
      </c>
    </row>
    <row r="240" spans="4:6">
      <c r="D240" s="14">
        <f>4.35*8-5</f>
        <v>29.8</v>
      </c>
      <c r="E240" s="84">
        <f>D240/F239</f>
        <v>22.35</v>
      </c>
      <c r="F240" s="15">
        <f>G245*2</f>
        <v>0</v>
      </c>
    </row>
    <row r="241" spans="4:8">
      <c r="D241" s="14"/>
      <c r="E241" s="84"/>
      <c r="F241" s="15"/>
      <c r="H241" t="s">
        <v>713</v>
      </c>
    </row>
    <row r="242" spans="4:8">
      <c r="D242" s="14" t="s">
        <v>683</v>
      </c>
      <c r="E242" s="84">
        <f>E240/1000/3</f>
        <v>0.00745</v>
      </c>
      <c r="F242" s="15"/>
      <c r="G242" t="s">
        <v>292</v>
      </c>
      <c r="H242" t="s">
        <v>714</v>
      </c>
    </row>
    <row r="243" spans="4:8">
      <c r="D243" s="14" t="s">
        <v>686</v>
      </c>
      <c r="E243" s="84">
        <v>2000</v>
      </c>
      <c r="F243" s="15"/>
      <c r="G243">
        <v>1</v>
      </c>
      <c r="H243">
        <v>2</v>
      </c>
    </row>
    <row r="244" ht="14.25" spans="1:7">
      <c r="A244" t="s">
        <v>724</v>
      </c>
      <c r="D244" s="16" t="s">
        <v>689</v>
      </c>
      <c r="E244" s="20">
        <f>E242*E242*E243</f>
        <v>0.111005</v>
      </c>
      <c r="F244" s="17"/>
      <c r="G244">
        <f>G243*H243/(G243+H243)</f>
        <v>0.666666666666667</v>
      </c>
    </row>
    <row r="245" spans="1:2">
      <c r="A245">
        <v>140</v>
      </c>
      <c r="B245">
        <v>10</v>
      </c>
    </row>
    <row r="246" spans="1:5">
      <c r="A246">
        <f>A245/4700</f>
        <v>0.0297872340425532</v>
      </c>
      <c r="B246">
        <f>B245/300</f>
        <v>0.0333333333333333</v>
      </c>
      <c r="D246" t="s">
        <v>725</v>
      </c>
      <c r="E246">
        <f>(E240+E222)/1000</f>
        <v>0.0484500000000001</v>
      </c>
    </row>
    <row r="247" spans="1:5">
      <c r="A247">
        <f>A246*1000</f>
        <v>29.7872340425532</v>
      </c>
      <c r="D247" t="s">
        <v>726</v>
      </c>
      <c r="E247">
        <f>E246*E246*100</f>
        <v>0.234740250000001</v>
      </c>
    </row>
    <row r="249" ht="14.25"/>
    <row r="250" ht="14.25" spans="4:7">
      <c r="D250" s="12" t="s">
        <v>727</v>
      </c>
      <c r="E250" s="19"/>
      <c r="F250" s="13"/>
      <c r="G250" s="96"/>
    </row>
    <row r="251" spans="4:7">
      <c r="D251" s="12" t="s">
        <v>524</v>
      </c>
      <c r="E251" s="19" t="s">
        <v>711</v>
      </c>
      <c r="F251" s="13" t="s">
        <v>712</v>
      </c>
      <c r="G251" t="s">
        <v>728</v>
      </c>
    </row>
    <row r="252" spans="4:7">
      <c r="D252" s="14">
        <f>2.8*8-2</f>
        <v>20.4</v>
      </c>
      <c r="E252" s="84">
        <f t="shared" ref="E252:E253" si="12">D252/F252</f>
        <v>0.154545454545455</v>
      </c>
      <c r="F252" s="15">
        <f t="shared" ref="F252:F256" si="13">10+100+G252</f>
        <v>132</v>
      </c>
      <c r="G252">
        <v>22</v>
      </c>
    </row>
    <row r="253" spans="4:7">
      <c r="D253" s="14">
        <f>4.35*8-2</f>
        <v>32.8</v>
      </c>
      <c r="E253" s="84">
        <f t="shared" si="12"/>
        <v>0.248484848484848</v>
      </c>
      <c r="F253" s="15">
        <f t="shared" si="13"/>
        <v>132</v>
      </c>
      <c r="G253">
        <v>22</v>
      </c>
    </row>
    <row r="254" spans="4:6">
      <c r="D254" s="14" t="s">
        <v>729</v>
      </c>
      <c r="E254" s="84"/>
      <c r="F254" s="15"/>
    </row>
    <row r="255" spans="4:7">
      <c r="D255" s="14">
        <f>2.8*8-2</f>
        <v>20.4</v>
      </c>
      <c r="E255" s="84">
        <f>D255*G255/F255</f>
        <v>3.4</v>
      </c>
      <c r="F255" s="15">
        <f t="shared" si="13"/>
        <v>132</v>
      </c>
      <c r="G255">
        <v>22</v>
      </c>
    </row>
    <row r="256" spans="4:7">
      <c r="D256" s="14">
        <f>4.35*8-2</f>
        <v>32.8</v>
      </c>
      <c r="E256" s="84">
        <f>D256*G256/F256</f>
        <v>5.46666666666667</v>
      </c>
      <c r="F256" s="15">
        <f t="shared" si="13"/>
        <v>132</v>
      </c>
      <c r="G256">
        <v>22</v>
      </c>
    </row>
    <row r="257" ht="14.25" spans="4:6">
      <c r="D257" s="16"/>
      <c r="E257" s="20"/>
      <c r="F257" s="17"/>
    </row>
    <row r="259" spans="4:5">
      <c r="D259" t="s">
        <v>725</v>
      </c>
      <c r="E259">
        <f>(E253+E235)/1000</f>
        <v>0.000248484848484848</v>
      </c>
    </row>
    <row r="260" spans="4:5">
      <c r="D260" t="s">
        <v>726</v>
      </c>
      <c r="E260">
        <f>E259*E259*100</f>
        <v>6.17447199265381e-6</v>
      </c>
    </row>
    <row r="261" ht="14.25"/>
    <row r="262" ht="14.25" spans="4:6">
      <c r="D262" s="12" t="s">
        <v>730</v>
      </c>
      <c r="E262" s="19"/>
      <c r="F262" s="13"/>
    </row>
    <row r="263" spans="4:6">
      <c r="D263" s="12" t="s">
        <v>524</v>
      </c>
      <c r="E263" s="19" t="s">
        <v>614</v>
      </c>
      <c r="F263" s="13" t="s">
        <v>731</v>
      </c>
    </row>
    <row r="264" spans="4:8">
      <c r="D264" s="14">
        <f>2.8*8</f>
        <v>22.4</v>
      </c>
      <c r="E264" s="84">
        <f>D264/F264</f>
        <v>27.6543209876543</v>
      </c>
      <c r="F264" s="15">
        <f>G264+H264</f>
        <v>0.81</v>
      </c>
      <c r="G264">
        <v>0.3</v>
      </c>
      <c r="H264">
        <v>0.51</v>
      </c>
    </row>
    <row r="265" spans="4:6">
      <c r="D265" s="14">
        <f>4.35*8</f>
        <v>34.8</v>
      </c>
      <c r="E265" s="84">
        <f>D265/F265</f>
        <v>42.962962962963</v>
      </c>
      <c r="F265" s="15">
        <f>F264</f>
        <v>0.81</v>
      </c>
    </row>
    <row r="266" spans="4:6">
      <c r="D266" s="14"/>
      <c r="E266" s="84"/>
      <c r="F266" s="15"/>
    </row>
    <row r="267" spans="4:6">
      <c r="D267" s="14" t="s">
        <v>729</v>
      </c>
      <c r="E267" s="84">
        <f>D264*G264/F264</f>
        <v>8.2962962962963</v>
      </c>
      <c r="F267" s="15"/>
    </row>
    <row r="268" spans="4:6">
      <c r="D268" s="14" t="s">
        <v>686</v>
      </c>
      <c r="E268" s="84">
        <f>D265*G264/F264</f>
        <v>12.8888888888889</v>
      </c>
      <c r="F268" s="15"/>
    </row>
    <row r="269" ht="14.25" spans="4:6">
      <c r="D269" s="16" t="s">
        <v>689</v>
      </c>
      <c r="E269" s="20"/>
      <c r="F269" s="17"/>
    </row>
    <row r="270" ht="14.25"/>
    <row r="271" ht="14.25" spans="4:6">
      <c r="D271" s="12" t="s">
        <v>732</v>
      </c>
      <c r="E271" s="19"/>
      <c r="F271" s="13"/>
    </row>
    <row r="272" spans="4:6">
      <c r="D272" s="12" t="s">
        <v>524</v>
      </c>
      <c r="E272" s="19" t="s">
        <v>614</v>
      </c>
      <c r="F272" s="13" t="s">
        <v>731</v>
      </c>
    </row>
    <row r="273" spans="4:6">
      <c r="D273" s="14">
        <f>2.8*8</f>
        <v>22.4</v>
      </c>
      <c r="E273" s="84" t="e">
        <f>D273/F273</f>
        <v>#DIV/0!</v>
      </c>
      <c r="F273" s="15">
        <f>G273+H273</f>
        <v>0</v>
      </c>
    </row>
    <row r="274" spans="4:6">
      <c r="D274" s="14">
        <f>4.35*8</f>
        <v>34.8</v>
      </c>
      <c r="E274" s="84" t="e">
        <f>D274/F274</f>
        <v>#DIV/0!</v>
      </c>
      <c r="F274" s="15">
        <f>F273</f>
        <v>0</v>
      </c>
    </row>
    <row r="275" spans="4:6">
      <c r="D275" s="14"/>
      <c r="E275" s="84"/>
      <c r="F275" s="15"/>
    </row>
    <row r="276" spans="4:6">
      <c r="D276" s="14" t="s">
        <v>729</v>
      </c>
      <c r="E276" s="84" t="e">
        <f>D273*G273/F273</f>
        <v>#DIV/0!</v>
      </c>
      <c r="F276" s="15"/>
    </row>
    <row r="277" spans="4:6">
      <c r="D277" s="14" t="s">
        <v>686</v>
      </c>
      <c r="E277" s="84" t="e">
        <f>D274*G273/F273</f>
        <v>#DIV/0!</v>
      </c>
      <c r="F277" s="15"/>
    </row>
    <row r="278" ht="14.25" spans="4:6">
      <c r="D278" s="16" t="s">
        <v>689</v>
      </c>
      <c r="E278" s="20"/>
      <c r="F278" s="17"/>
    </row>
    <row r="279" ht="14.25"/>
    <row r="280" ht="14.25" spans="4:6">
      <c r="D280" s="12" t="s">
        <v>547</v>
      </c>
      <c r="E280" s="19"/>
      <c r="F280" s="13"/>
    </row>
    <row r="281" spans="4:6">
      <c r="D281" s="12" t="s">
        <v>524</v>
      </c>
      <c r="E281" s="19" t="s">
        <v>614</v>
      </c>
      <c r="F281" s="13" t="s">
        <v>731</v>
      </c>
    </row>
    <row r="282" spans="4:8">
      <c r="D282" s="14">
        <f>2.8*8</f>
        <v>22.4</v>
      </c>
      <c r="E282" s="84">
        <f>D282/F282</f>
        <v>4.02154398563734</v>
      </c>
      <c r="F282" s="15">
        <f>G282+H282</f>
        <v>5.57</v>
      </c>
      <c r="G282">
        <v>0.47</v>
      </c>
      <c r="H282">
        <v>5.1</v>
      </c>
    </row>
    <row r="283" spans="4:6">
      <c r="D283" s="14">
        <f>4.35*8</f>
        <v>34.8</v>
      </c>
      <c r="E283" s="84">
        <f>D283/F283</f>
        <v>6.24775583482944</v>
      </c>
      <c r="F283" s="15">
        <f>F282</f>
        <v>5.57</v>
      </c>
    </row>
    <row r="284" spans="4:6">
      <c r="D284" s="14"/>
      <c r="E284" s="84"/>
      <c r="F284" s="15"/>
    </row>
    <row r="285" spans="4:6">
      <c r="D285" s="97" t="s">
        <v>729</v>
      </c>
      <c r="E285" s="84">
        <f>D282*G282/F282</f>
        <v>1.89012567324955</v>
      </c>
      <c r="F285" s="15"/>
    </row>
    <row r="286" spans="4:6">
      <c r="D286" s="14" t="s">
        <v>729</v>
      </c>
      <c r="E286" s="84">
        <f>D283*G282/F282</f>
        <v>2.93644524236984</v>
      </c>
      <c r="F286" s="15"/>
    </row>
    <row r="287" ht="14.25" spans="4:6">
      <c r="D287" s="16" t="s">
        <v>689</v>
      </c>
      <c r="E287" s="20"/>
      <c r="F287" s="17"/>
    </row>
    <row r="298" spans="5:5">
      <c r="E298">
        <f>21-0.7</f>
        <v>20.3</v>
      </c>
    </row>
    <row r="299" spans="5:5">
      <c r="E299">
        <f>E298/4</f>
        <v>5.075</v>
      </c>
    </row>
    <row r="301" spans="5:8">
      <c r="E301" t="s">
        <v>733</v>
      </c>
      <c r="H301" t="s">
        <v>734</v>
      </c>
    </row>
    <row r="302" spans="7:10">
      <c r="G302" t="s">
        <v>735</v>
      </c>
      <c r="H302">
        <f>I302/J302*1000</f>
        <v>7.25</v>
      </c>
      <c r="I302">
        <v>29</v>
      </c>
      <c r="J302">
        <f>J303+K303</f>
        <v>4000</v>
      </c>
    </row>
    <row r="303" spans="5:11">
      <c r="E303">
        <f>20.2/2</f>
        <v>10.1</v>
      </c>
      <c r="F303" t="s">
        <v>736</v>
      </c>
      <c r="G303" t="s">
        <v>737</v>
      </c>
      <c r="H303">
        <f>I302*I303</f>
        <v>14.5</v>
      </c>
      <c r="I303">
        <f>J303/(J303+K303)</f>
        <v>0.5</v>
      </c>
      <c r="J303">
        <v>2000</v>
      </c>
      <c r="K303">
        <v>2000</v>
      </c>
    </row>
    <row r="327" spans="5:8">
      <c r="E327" t="s">
        <v>733</v>
      </c>
      <c r="H327" t="s">
        <v>734</v>
      </c>
    </row>
    <row r="328" spans="7:10">
      <c r="G328" t="s">
        <v>735</v>
      </c>
      <c r="H328">
        <f>I328/J328*1000</f>
        <v>6.83760683760684</v>
      </c>
      <c r="I328">
        <v>24</v>
      </c>
      <c r="J328">
        <f>J329+K329</f>
        <v>3510</v>
      </c>
    </row>
    <row r="329" spans="5:11">
      <c r="E329">
        <f>20.2/2</f>
        <v>10.1</v>
      </c>
      <c r="F329" t="s">
        <v>736</v>
      </c>
      <c r="G329" t="s">
        <v>737</v>
      </c>
      <c r="H329">
        <f>I328*I329</f>
        <v>3.48717948717948</v>
      </c>
      <c r="I329">
        <f>J329/(J329+K329)</f>
        <v>0.145299145299145</v>
      </c>
      <c r="J329">
        <v>510</v>
      </c>
      <c r="K329">
        <v>3000</v>
      </c>
    </row>
    <row r="330" spans="5:6">
      <c r="E330">
        <f>20.2*20.2/2000000</f>
        <v>0.00020402</v>
      </c>
      <c r="F330">
        <f>1/16</f>
        <v>0.0625</v>
      </c>
    </row>
    <row r="331" spans="8:9">
      <c r="H331" t="s">
        <v>736</v>
      </c>
      <c r="I331" t="s">
        <v>738</v>
      </c>
    </row>
    <row r="332" spans="7:10">
      <c r="G332" t="s">
        <v>553</v>
      </c>
      <c r="H332">
        <v>5.8</v>
      </c>
      <c r="I332">
        <v>20.2</v>
      </c>
      <c r="J332">
        <f>I332/2</f>
        <v>10.1</v>
      </c>
    </row>
    <row r="333" spans="7:10">
      <c r="G333" t="s">
        <v>739</v>
      </c>
      <c r="H333">
        <v>0.54</v>
      </c>
      <c r="I333">
        <v>25.4</v>
      </c>
      <c r="J333">
        <f>I333/2</f>
        <v>12.7</v>
      </c>
    </row>
    <row r="334" ht="19.5" spans="5:5">
      <c r="E334" s="98"/>
    </row>
    <row r="335" ht="19.5" spans="5:6">
      <c r="E335" s="98">
        <f>0.006/100*1000000</f>
        <v>60</v>
      </c>
      <c r="F335" t="s">
        <v>740</v>
      </c>
    </row>
    <row r="336" ht="19.5" spans="5:6">
      <c r="E336" s="98">
        <f>12.4/0.47</f>
        <v>26.3829787234043</v>
      </c>
      <c r="F336" t="s">
        <v>741</v>
      </c>
    </row>
    <row r="338" spans="5:6">
      <c r="E338">
        <f>0.028/0.01</f>
        <v>2.8</v>
      </c>
      <c r="F338" t="s">
        <v>742</v>
      </c>
    </row>
    <row r="398" spans="1:1">
      <c r="A398" s="99" t="s">
        <v>743</v>
      </c>
    </row>
  </sheetData>
  <mergeCells count="8">
    <mergeCell ref="D173:H173"/>
    <mergeCell ref="D186:H186"/>
    <mergeCell ref="C174:C178"/>
    <mergeCell ref="C180:C185"/>
    <mergeCell ref="Q87:Q88"/>
    <mergeCell ref="Q89:Q90"/>
    <mergeCell ref="Q94:Q97"/>
    <mergeCell ref="Q98:Q101"/>
  </mergeCells>
  <hyperlinks>
    <hyperlink ref="G5" r:id="rId4" display="A0"/>
    <hyperlink ref="C5" r:id="rId5" display="A0"/>
    <hyperlink ref="B5" r:id="rId6" display="R00"/>
    <hyperlink ref="F5" r:id="rId7" display="R00"/>
    <hyperlink ref="D5" r:id="rId7" display="R00"/>
    <hyperlink ref="E5" r:id="rId8" display="R00"/>
    <hyperlink ref="H5" r:id="rId9" display="A0"/>
    <hyperlink ref="I5" r:id="rId10" display="R00"/>
    <hyperlink ref="A66" r:id="rId11" display="分压后供电给单节保护IC的过压点分析: "/>
    <hyperlink ref="A93" r:id="rId11" display="用单节保护IC: CM1003-GAD"/>
    <hyperlink ref="J5" r:id="rId12" display="904290-5104mAh-电芯"/>
    <hyperlink ref="J2" r:id="rId13" display="https://www.codaca.com.cn/search.aspx?key=220M"/>
    <hyperlink ref="N5" r:id="rId14" display="元件规格书"/>
    <hyperlink ref="D2" r:id="rId15" location="2888687" display="BQ34Z100-R2: 电压校准问题及与G1版本对比区别 - 电源管理论坛 - 电源管理 - E2E™ 设计支持 (ti.com)"/>
    <hyperlink ref="D3" r:id="rId16" display="https://e2echina.ti.com/support/power-management/f/power-management-forum/787579/bq34z100-r2-g1/2888687#2888687" tooltip="https://e2echina.ti.com/support/power-management/f/power-management-forum/787579/bq34z100-r2-g1/2888687#2888687"/>
    <hyperlink ref="B2" location="Sony无人机!A220" display="60PCS试产问题点"/>
  </hyperlinks>
  <pageMargins left="0.75" right="0.75" top="1" bottom="1" header="0.5" footer="0.5"/>
  <pageSetup paperSize="9" orientation="portrait"/>
  <headerFooter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76"/>
  <sheetViews>
    <sheetView topLeftCell="A55" workbookViewId="0">
      <selection activeCell="E84" sqref="E84"/>
    </sheetView>
  </sheetViews>
  <sheetFormatPr defaultColWidth="9" defaultRowHeight="13.5"/>
  <cols>
    <col min="1" max="1" width="20.225" customWidth="1"/>
    <col min="2" max="2" width="15" customWidth="1"/>
    <col min="3" max="3" width="13.5" customWidth="1"/>
    <col min="4" max="4" width="12.625"/>
    <col min="5" max="5" width="20.775" customWidth="1"/>
    <col min="6" max="6" width="11.1083333333333" customWidth="1"/>
    <col min="7" max="7" width="15" customWidth="1"/>
    <col min="8" max="8" width="17.775" customWidth="1"/>
  </cols>
  <sheetData>
    <row r="1" spans="1:1">
      <c r="A1" t="s">
        <v>744</v>
      </c>
    </row>
    <row r="2" spans="5:5">
      <c r="E2" t="s">
        <v>745</v>
      </c>
    </row>
    <row r="3" spans="5:5">
      <c r="E3" t="s">
        <v>746</v>
      </c>
    </row>
    <row r="7" spans="6:9">
      <c r="F7">
        <f>3.235-2.8</f>
        <v>0.435</v>
      </c>
      <c r="I7">
        <f>3.3-I8</f>
        <v>2.5</v>
      </c>
    </row>
    <row r="8" spans="1:10">
      <c r="A8" t="s">
        <v>747</v>
      </c>
      <c r="B8">
        <f>0.26/100</f>
        <v>0.0026</v>
      </c>
      <c r="D8">
        <f>0.28/100</f>
        <v>0.0028</v>
      </c>
      <c r="F8">
        <f>F7/100</f>
        <v>0.00435</v>
      </c>
      <c r="I8">
        <f>100*J8</f>
        <v>0.8</v>
      </c>
      <c r="J8">
        <v>0.008</v>
      </c>
    </row>
    <row r="9" spans="2:4">
      <c r="B9">
        <f>0.33/100</f>
        <v>0.0033</v>
      </c>
      <c r="D9">
        <f>0.38/100</f>
        <v>0.0038</v>
      </c>
    </row>
    <row r="10" spans="2:4">
      <c r="B10">
        <f>B9+B8</f>
        <v>0.0059</v>
      </c>
      <c r="D10">
        <f>D9+D8</f>
        <v>0.0066</v>
      </c>
    </row>
    <row r="11" spans="1:14">
      <c r="A11" t="s">
        <v>701</v>
      </c>
      <c r="B11">
        <f>B10*1000</f>
        <v>5.9</v>
      </c>
      <c r="D11">
        <f>D10*1000</f>
        <v>6.6</v>
      </c>
      <c r="N11">
        <v>1.26</v>
      </c>
    </row>
    <row r="12" spans="2:14">
      <c r="B12" t="s">
        <v>748</v>
      </c>
      <c r="D12" t="s">
        <v>748</v>
      </c>
      <c r="N12">
        <f>N11/100</f>
        <v>0.0126</v>
      </c>
    </row>
    <row r="13" spans="2:4">
      <c r="B13">
        <f>0.1/100</f>
        <v>0.001</v>
      </c>
      <c r="D13">
        <f>0.1/100</f>
        <v>0.001</v>
      </c>
    </row>
    <row r="14" spans="9:9">
      <c r="I14">
        <f>24-6</f>
        <v>18</v>
      </c>
    </row>
    <row r="15" spans="8:9">
      <c r="H15">
        <f>H14/100</f>
        <v>0</v>
      </c>
      <c r="I15">
        <f>I14/100</f>
        <v>0.18</v>
      </c>
    </row>
    <row r="19" spans="1:6">
      <c r="A19" t="s">
        <v>749</v>
      </c>
      <c r="F19" t="s">
        <v>750</v>
      </c>
    </row>
    <row r="20" spans="1:8">
      <c r="A20" t="s">
        <v>751</v>
      </c>
      <c r="B20">
        <f>24-6</f>
        <v>18</v>
      </c>
      <c r="E20" t="s">
        <v>752</v>
      </c>
      <c r="F20" t="s">
        <v>753</v>
      </c>
      <c r="G20" t="s">
        <v>754</v>
      </c>
      <c r="H20" t="s">
        <v>755</v>
      </c>
    </row>
    <row r="21" spans="2:8">
      <c r="B21">
        <f>B20/100</f>
        <v>0.18</v>
      </c>
      <c r="C21" t="s">
        <v>756</v>
      </c>
      <c r="E21" t="s">
        <v>757</v>
      </c>
      <c r="F21">
        <v>3.46</v>
      </c>
      <c r="G21">
        <v>3.6</v>
      </c>
      <c r="H21">
        <f>0.65/100*1000</f>
        <v>6.5</v>
      </c>
    </row>
    <row r="22" spans="5:8">
      <c r="E22" t="s">
        <v>758</v>
      </c>
      <c r="F22">
        <v>3.66</v>
      </c>
      <c r="G22">
        <v>3.54</v>
      </c>
      <c r="H22">
        <f>1.24/100*1000</f>
        <v>12.4</v>
      </c>
    </row>
    <row r="23" spans="5:8">
      <c r="E23" t="s">
        <v>759</v>
      </c>
      <c r="F23">
        <v>3.68</v>
      </c>
      <c r="G23">
        <v>3.56</v>
      </c>
      <c r="H23">
        <f>1.99/100*1000</f>
        <v>19.9</v>
      </c>
    </row>
    <row r="24" spans="5:8">
      <c r="E24" t="s">
        <v>760</v>
      </c>
      <c r="F24">
        <v>3.66</v>
      </c>
      <c r="G24">
        <v>3.54</v>
      </c>
      <c r="H24">
        <f>2.675/100*1000</f>
        <v>26.75</v>
      </c>
    </row>
    <row r="25" spans="5:9">
      <c r="E25">
        <v>40</v>
      </c>
      <c r="H25">
        <f>I25/100*1000</f>
        <v>33.5</v>
      </c>
      <c r="I25">
        <v>3.35</v>
      </c>
    </row>
    <row r="26" spans="5:9">
      <c r="E26">
        <v>60</v>
      </c>
      <c r="F26">
        <v>3.5</v>
      </c>
      <c r="G26">
        <v>3.35</v>
      </c>
      <c r="H26">
        <f>I26/100*1000</f>
        <v>50</v>
      </c>
      <c r="I26">
        <v>5</v>
      </c>
    </row>
    <row r="27" spans="5:9">
      <c r="E27" t="s">
        <v>761</v>
      </c>
      <c r="F27">
        <v>3.4</v>
      </c>
      <c r="G27">
        <v>3.2</v>
      </c>
      <c r="H27">
        <f>I27/100*1000</f>
        <v>57.7</v>
      </c>
      <c r="I27">
        <v>5.77</v>
      </c>
    </row>
    <row r="28" spans="6:9">
      <c r="F28" t="s">
        <v>762</v>
      </c>
      <c r="I28" t="s">
        <v>763</v>
      </c>
    </row>
    <row r="29" customFormat="1" spans="5:6">
      <c r="E29">
        <f>0.737/100*1000</f>
        <v>7.37</v>
      </c>
      <c r="F29">
        <v>3.65</v>
      </c>
    </row>
    <row r="30" customFormat="1" spans="5:6">
      <c r="E30">
        <f>15-E29</f>
        <v>7.63</v>
      </c>
      <c r="F30">
        <v>3.65</v>
      </c>
    </row>
    <row r="31" customFormat="1" spans="5:6">
      <c r="E31">
        <f>24-E29</f>
        <v>16.63</v>
      </c>
      <c r="F31">
        <v>3.6</v>
      </c>
    </row>
    <row r="32" customFormat="1"/>
    <row r="33" spans="5:6">
      <c r="E33">
        <f>32-E29</f>
        <v>24.63</v>
      </c>
      <c r="F33">
        <v>3.54</v>
      </c>
    </row>
    <row r="34" spans="5:9">
      <c r="E34">
        <f>40-E29</f>
        <v>32.63</v>
      </c>
      <c r="F34">
        <v>3.42</v>
      </c>
      <c r="I34">
        <f>0.02*0.02*100</f>
        <v>0.04</v>
      </c>
    </row>
    <row r="35" spans="9:9">
      <c r="I35">
        <f>1/16</f>
        <v>0.0625</v>
      </c>
    </row>
    <row r="36" spans="9:9">
      <c r="I36">
        <f>I34/I35</f>
        <v>0.64</v>
      </c>
    </row>
    <row r="42" spans="1:6">
      <c r="A42" t="s">
        <v>764</v>
      </c>
      <c r="B42">
        <f>32-6</f>
        <v>26</v>
      </c>
      <c r="E42" t="s">
        <v>752</v>
      </c>
      <c r="F42" t="s">
        <v>762</v>
      </c>
    </row>
    <row r="43" spans="2:3">
      <c r="B43">
        <f>B42/700</f>
        <v>0.0371428571428571</v>
      </c>
      <c r="C43" t="s">
        <v>756</v>
      </c>
    </row>
    <row r="45" spans="2:10">
      <c r="B45">
        <f>3.4-A46</f>
        <v>2.6</v>
      </c>
      <c r="C45" t="s">
        <v>765</v>
      </c>
      <c r="E45" t="s">
        <v>766</v>
      </c>
      <c r="F45">
        <v>3.25</v>
      </c>
      <c r="I45">
        <f>0.02*0.02*10</f>
        <v>0.004</v>
      </c>
      <c r="J45" t="s">
        <v>767</v>
      </c>
    </row>
    <row r="46" spans="1:10">
      <c r="A46">
        <f>100*B46</f>
        <v>0.8</v>
      </c>
      <c r="B46">
        <f>C46/1000</f>
        <v>0.008</v>
      </c>
      <c r="C46">
        <v>8</v>
      </c>
      <c r="E46">
        <v>35</v>
      </c>
      <c r="F46">
        <v>3.2</v>
      </c>
      <c r="I46">
        <f>1/16</f>
        <v>0.0625</v>
      </c>
      <c r="J46" t="s">
        <v>768</v>
      </c>
    </row>
    <row r="47" spans="5:10">
      <c r="E47">
        <v>38</v>
      </c>
      <c r="F47">
        <v>2.8</v>
      </c>
      <c r="I47">
        <f>I45/I46</f>
        <v>0.064</v>
      </c>
      <c r="J47" t="s">
        <v>769</v>
      </c>
    </row>
    <row r="50" spans="3:3">
      <c r="C50">
        <f>0.3/100</f>
        <v>0.003</v>
      </c>
    </row>
    <row r="54" spans="1:5">
      <c r="A54" t="s">
        <v>749</v>
      </c>
      <c r="B54" t="s">
        <v>770</v>
      </c>
      <c r="C54" t="s">
        <v>771</v>
      </c>
      <c r="D54" t="s">
        <v>772</v>
      </c>
      <c r="E54" t="s">
        <v>525</v>
      </c>
    </row>
    <row r="55" spans="2:10">
      <c r="B55">
        <v>0.155</v>
      </c>
      <c r="C55">
        <f>B55/100</f>
        <v>0.00155</v>
      </c>
      <c r="D55">
        <f t="shared" ref="D55:D58" si="0">C55*1000</f>
        <v>1.55</v>
      </c>
      <c r="E55">
        <f t="shared" ref="E55:E58" si="1">C55*B55</f>
        <v>0.00024025</v>
      </c>
      <c r="F55" t="s">
        <v>773</v>
      </c>
      <c r="G55">
        <f>1/10</f>
        <v>0.1</v>
      </c>
      <c r="J55">
        <f>34*34</f>
        <v>1156</v>
      </c>
    </row>
    <row r="56" spans="2:10">
      <c r="B56">
        <v>0.345</v>
      </c>
      <c r="C56">
        <f>B56/47</f>
        <v>0.00734042553191489</v>
      </c>
      <c r="D56">
        <f t="shared" si="0"/>
        <v>7.34042553191489</v>
      </c>
      <c r="E56" s="5">
        <f t="shared" si="1"/>
        <v>0.00253244680851064</v>
      </c>
      <c r="G56">
        <f>G55/H56</f>
        <v>1562.5</v>
      </c>
      <c r="H56">
        <f>0.008*0.008</f>
        <v>6.4e-5</v>
      </c>
      <c r="J56">
        <f>J55/0.1</f>
        <v>11560</v>
      </c>
    </row>
    <row r="57" spans="2:8">
      <c r="B57">
        <v>0.07</v>
      </c>
      <c r="C57">
        <f>B57/10</f>
        <v>0.007</v>
      </c>
      <c r="D57">
        <f t="shared" si="0"/>
        <v>7</v>
      </c>
      <c r="E57">
        <f t="shared" si="1"/>
        <v>0.00049</v>
      </c>
      <c r="F57">
        <f>B57*B57/10</f>
        <v>0.00049</v>
      </c>
      <c r="H57">
        <f>C57*16.3</f>
        <v>0.1141</v>
      </c>
    </row>
    <row r="58" spans="2:6">
      <c r="B58">
        <v>1</v>
      </c>
      <c r="C58">
        <f>B58/100</f>
        <v>0.01</v>
      </c>
      <c r="D58">
        <f t="shared" si="0"/>
        <v>10</v>
      </c>
      <c r="E58">
        <f>C58*C58*1000</f>
        <v>0.1</v>
      </c>
      <c r="F58">
        <f>B58*B58/10</f>
        <v>0.1</v>
      </c>
    </row>
    <row r="60" spans="1:5">
      <c r="A60" t="s">
        <v>774</v>
      </c>
      <c r="B60">
        <v>16.5</v>
      </c>
      <c r="D60">
        <f>16.5*C55</f>
        <v>0.025575</v>
      </c>
      <c r="E60">
        <f>C55*B60</f>
        <v>0.025575</v>
      </c>
    </row>
    <row r="61" spans="2:5">
      <c r="B61">
        <v>16.5</v>
      </c>
      <c r="D61">
        <f>16.5*C56</f>
        <v>0.121117021276596</v>
      </c>
      <c r="E61">
        <f>C56*B61</f>
        <v>0.121117021276596</v>
      </c>
    </row>
    <row r="75" spans="4:4">
      <c r="D75" t="s">
        <v>775</v>
      </c>
    </row>
    <row r="76" spans="2:3">
      <c r="B76">
        <f>0.000006</f>
        <v>6e-6</v>
      </c>
      <c r="C76">
        <f>B76*1000</f>
        <v>0.006</v>
      </c>
    </row>
  </sheetData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B8"/>
  <sheetViews>
    <sheetView workbookViewId="0">
      <selection activeCell="H21" sqref="H21"/>
    </sheetView>
  </sheetViews>
  <sheetFormatPr defaultColWidth="9" defaultRowHeight="13.5" outlineLevelRow="7" outlineLevelCol="1"/>
  <cols>
    <col min="2" max="2" width="11.625" customWidth="1"/>
  </cols>
  <sheetData>
    <row r="2" spans="2:2">
      <c r="B2" s="3" t="s">
        <v>776</v>
      </c>
    </row>
    <row r="8" spans="2:2">
      <c r="B8" s="4" t="s">
        <v>777</v>
      </c>
    </row>
  </sheetData>
  <hyperlinks>
    <hyperlink ref="B2" r:id="rId1" display="I0708A增加二次过压"/>
    <hyperlink ref="B8" r:id="rId2" display="I0712A（ L81吸尘器）"/>
  </hyperlink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37"/>
  <sheetViews>
    <sheetView workbookViewId="0">
      <selection activeCell="I12" sqref="I12"/>
    </sheetView>
  </sheetViews>
  <sheetFormatPr defaultColWidth="9" defaultRowHeight="13.5"/>
  <cols>
    <col min="2" max="2" width="16"/>
  </cols>
  <sheetData>
    <row r="1" spans="1:1">
      <c r="A1" t="s">
        <v>778</v>
      </c>
    </row>
    <row r="3" spans="1:1">
      <c r="A3" t="s">
        <v>779</v>
      </c>
    </row>
    <row r="4" spans="1:1">
      <c r="A4" t="s">
        <v>780</v>
      </c>
    </row>
    <row r="5" spans="1:1">
      <c r="A5" t="s">
        <v>781</v>
      </c>
    </row>
    <row r="8" spans="1:41">
      <c r="A8" t="s">
        <v>782</v>
      </c>
      <c r="B8" t="s">
        <v>783</v>
      </c>
      <c r="C8" t="s">
        <v>784</v>
      </c>
      <c r="D8" t="s">
        <v>785</v>
      </c>
      <c r="E8" t="s">
        <v>786</v>
      </c>
      <c r="F8" t="s">
        <v>787</v>
      </c>
      <c r="H8" t="s">
        <v>788</v>
      </c>
      <c r="I8" t="s">
        <v>789</v>
      </c>
      <c r="J8" t="s">
        <v>790</v>
      </c>
      <c r="K8" t="s">
        <v>607</v>
      </c>
      <c r="L8" t="s">
        <v>791</v>
      </c>
      <c r="M8" t="s">
        <v>792</v>
      </c>
      <c r="N8" t="s">
        <v>793</v>
      </c>
      <c r="O8" t="s">
        <v>794</v>
      </c>
      <c r="P8" t="s">
        <v>795</v>
      </c>
      <c r="Q8" t="s">
        <v>796</v>
      </c>
      <c r="R8" t="s">
        <v>797</v>
      </c>
      <c r="S8" t="s">
        <v>798</v>
      </c>
      <c r="T8" t="s">
        <v>799</v>
      </c>
      <c r="U8" t="s">
        <v>800</v>
      </c>
      <c r="V8" t="s">
        <v>801</v>
      </c>
      <c r="W8" t="s">
        <v>802</v>
      </c>
      <c r="X8" t="s">
        <v>803</v>
      </c>
      <c r="Y8" t="s">
        <v>804</v>
      </c>
      <c r="Z8" t="s">
        <v>805</v>
      </c>
      <c r="AA8" t="s">
        <v>806</v>
      </c>
      <c r="AB8" t="s">
        <v>807</v>
      </c>
      <c r="AC8" t="s">
        <v>808</v>
      </c>
      <c r="AD8" t="s">
        <v>809</v>
      </c>
      <c r="AE8" t="s">
        <v>810</v>
      </c>
      <c r="AF8" t="s">
        <v>811</v>
      </c>
      <c r="AG8" t="s">
        <v>812</v>
      </c>
      <c r="AH8" t="s">
        <v>813</v>
      </c>
      <c r="AI8" t="s">
        <v>814</v>
      </c>
      <c r="AJ8" t="s">
        <v>815</v>
      </c>
      <c r="AK8" t="s">
        <v>816</v>
      </c>
      <c r="AL8" t="s">
        <v>817</v>
      </c>
      <c r="AM8" t="s">
        <v>818</v>
      </c>
      <c r="AN8" t="s">
        <v>819</v>
      </c>
      <c r="AO8" t="s">
        <v>820</v>
      </c>
    </row>
    <row r="9" spans="1:41">
      <c r="A9">
        <v>1</v>
      </c>
      <c r="B9" s="2">
        <v>45296.6077893519</v>
      </c>
      <c r="C9">
        <v>4.01</v>
      </c>
      <c r="D9" t="s">
        <v>821</v>
      </c>
      <c r="E9" t="s">
        <v>822</v>
      </c>
      <c r="F9">
        <v>99</v>
      </c>
      <c r="H9">
        <v>1</v>
      </c>
      <c r="I9">
        <v>4922</v>
      </c>
      <c r="J9">
        <v>5000</v>
      </c>
      <c r="K9">
        <v>34512</v>
      </c>
      <c r="L9">
        <v>0</v>
      </c>
      <c r="M9">
        <v>-20</v>
      </c>
      <c r="N9">
        <v>26.4</v>
      </c>
      <c r="O9">
        <v>14766</v>
      </c>
      <c r="P9">
        <v>65535</v>
      </c>
      <c r="Q9">
        <v>18634</v>
      </c>
      <c r="R9">
        <v>0</v>
      </c>
      <c r="S9">
        <v>26.9</v>
      </c>
      <c r="T9">
        <v>11</v>
      </c>
      <c r="U9">
        <v>100</v>
      </c>
      <c r="V9">
        <v>34800</v>
      </c>
      <c r="W9">
        <v>5000</v>
      </c>
      <c r="X9" t="s">
        <v>823</v>
      </c>
      <c r="Y9" t="s">
        <v>824</v>
      </c>
      <c r="Z9" t="s">
        <v>825</v>
      </c>
      <c r="AA9">
        <v>1</v>
      </c>
      <c r="AB9">
        <v>6</v>
      </c>
      <c r="AC9">
        <v>76</v>
      </c>
      <c r="AD9">
        <v>4</v>
      </c>
      <c r="AE9">
        <v>4919</v>
      </c>
      <c r="AF9">
        <v>5000</v>
      </c>
      <c r="AG9">
        <v>0</v>
      </c>
      <c r="AH9">
        <v>77</v>
      </c>
      <c r="AI9">
        <v>1</v>
      </c>
      <c r="AJ9">
        <v>87</v>
      </c>
      <c r="AK9">
        <v>1648</v>
      </c>
      <c r="AL9">
        <v>-442</v>
      </c>
      <c r="AM9">
        <v>8</v>
      </c>
      <c r="AN9">
        <v>907</v>
      </c>
      <c r="AO9" t="s">
        <v>826</v>
      </c>
    </row>
    <row r="10" spans="1:41">
      <c r="A10">
        <v>2</v>
      </c>
      <c r="B10" s="2">
        <v>45296.6078356481</v>
      </c>
      <c r="C10">
        <v>8.013</v>
      </c>
      <c r="D10" t="s">
        <v>821</v>
      </c>
      <c r="E10" t="s">
        <v>822</v>
      </c>
      <c r="F10">
        <v>99</v>
      </c>
      <c r="G10">
        <f>F9-F10</f>
        <v>0</v>
      </c>
      <c r="H10">
        <v>1</v>
      </c>
      <c r="I10">
        <v>4981</v>
      </c>
      <c r="J10">
        <v>5073</v>
      </c>
      <c r="K10">
        <v>33400</v>
      </c>
      <c r="L10">
        <v>-12489</v>
      </c>
      <c r="M10">
        <v>-3016</v>
      </c>
      <c r="N10">
        <v>26.4</v>
      </c>
      <c r="O10">
        <v>99</v>
      </c>
      <c r="P10">
        <v>65535</v>
      </c>
      <c r="Q10">
        <v>18792</v>
      </c>
      <c r="R10">
        <v>-32767</v>
      </c>
      <c r="S10">
        <v>26.9</v>
      </c>
      <c r="T10">
        <v>11</v>
      </c>
      <c r="U10">
        <v>100</v>
      </c>
      <c r="V10">
        <v>34800</v>
      </c>
      <c r="W10">
        <v>5000</v>
      </c>
      <c r="X10" t="s">
        <v>823</v>
      </c>
      <c r="Y10" t="s">
        <v>827</v>
      </c>
      <c r="Z10" t="s">
        <v>828</v>
      </c>
      <c r="AA10">
        <v>1</v>
      </c>
      <c r="AB10">
        <v>6</v>
      </c>
      <c r="AC10">
        <v>76</v>
      </c>
      <c r="AD10">
        <v>4</v>
      </c>
      <c r="AE10">
        <v>4981</v>
      </c>
      <c r="AF10">
        <v>5073</v>
      </c>
      <c r="AG10">
        <v>4</v>
      </c>
      <c r="AH10">
        <v>91</v>
      </c>
      <c r="AI10">
        <v>1</v>
      </c>
      <c r="AJ10">
        <v>87</v>
      </c>
      <c r="AK10">
        <v>1648</v>
      </c>
      <c r="AL10">
        <v>-428</v>
      </c>
      <c r="AM10">
        <v>8</v>
      </c>
      <c r="AN10">
        <v>909</v>
      </c>
      <c r="AO10" t="s">
        <v>826</v>
      </c>
    </row>
    <row r="11" spans="1:41">
      <c r="A11">
        <v>3</v>
      </c>
      <c r="B11" s="2">
        <v>45296.6078819444</v>
      </c>
      <c r="C11">
        <v>12.018</v>
      </c>
      <c r="D11" t="s">
        <v>821</v>
      </c>
      <c r="E11" t="s">
        <v>822</v>
      </c>
      <c r="F11">
        <v>98</v>
      </c>
      <c r="G11">
        <f t="shared" ref="G11:G42" si="0">F10-F11</f>
        <v>1</v>
      </c>
      <c r="H11">
        <v>1</v>
      </c>
      <c r="I11">
        <v>4968</v>
      </c>
      <c r="J11">
        <v>5073</v>
      </c>
      <c r="K11">
        <v>33272</v>
      </c>
      <c r="L11">
        <v>-12489</v>
      </c>
      <c r="M11">
        <v>-5293</v>
      </c>
      <c r="N11">
        <v>26.4</v>
      </c>
      <c r="O11">
        <v>56</v>
      </c>
      <c r="P11">
        <v>65535</v>
      </c>
      <c r="Q11">
        <v>18738</v>
      </c>
      <c r="R11">
        <v>-32767</v>
      </c>
      <c r="S11">
        <v>27</v>
      </c>
      <c r="T11">
        <v>11</v>
      </c>
      <c r="U11">
        <v>100</v>
      </c>
      <c r="V11">
        <v>34800</v>
      </c>
      <c r="W11">
        <v>5000</v>
      </c>
      <c r="X11" t="s">
        <v>823</v>
      </c>
      <c r="Y11" t="s">
        <v>829</v>
      </c>
      <c r="Z11" t="s">
        <v>828</v>
      </c>
      <c r="AA11">
        <v>1</v>
      </c>
      <c r="AB11">
        <v>6</v>
      </c>
      <c r="AC11">
        <v>76</v>
      </c>
      <c r="AD11">
        <v>4</v>
      </c>
      <c r="AE11">
        <v>4968</v>
      </c>
      <c r="AF11">
        <v>5073</v>
      </c>
      <c r="AG11">
        <v>8</v>
      </c>
      <c r="AH11">
        <v>105</v>
      </c>
      <c r="AI11">
        <v>1</v>
      </c>
      <c r="AJ11">
        <v>87</v>
      </c>
      <c r="AK11">
        <v>1648</v>
      </c>
      <c r="AL11">
        <v>-414</v>
      </c>
      <c r="AM11">
        <v>8</v>
      </c>
      <c r="AN11">
        <v>913</v>
      </c>
      <c r="AO11" t="s">
        <v>826</v>
      </c>
    </row>
    <row r="12" spans="1:41">
      <c r="A12">
        <v>4</v>
      </c>
      <c r="B12" s="2">
        <v>45296.6079282407</v>
      </c>
      <c r="C12">
        <v>16.033</v>
      </c>
      <c r="D12" t="s">
        <v>821</v>
      </c>
      <c r="E12" t="s">
        <v>822</v>
      </c>
      <c r="F12">
        <v>98</v>
      </c>
      <c r="G12">
        <f t="shared" si="0"/>
        <v>0</v>
      </c>
      <c r="H12">
        <v>1</v>
      </c>
      <c r="I12">
        <v>4954</v>
      </c>
      <c r="J12">
        <v>5073</v>
      </c>
      <c r="K12">
        <v>33176</v>
      </c>
      <c r="L12">
        <v>-12487</v>
      </c>
      <c r="M12">
        <v>-7022</v>
      </c>
      <c r="N12">
        <v>26.6</v>
      </c>
      <c r="O12">
        <v>42</v>
      </c>
      <c r="P12">
        <v>65535</v>
      </c>
      <c r="Q12">
        <v>18679</v>
      </c>
      <c r="R12">
        <v>-32767</v>
      </c>
      <c r="S12">
        <v>27</v>
      </c>
      <c r="T12">
        <v>11</v>
      </c>
      <c r="U12">
        <v>100</v>
      </c>
      <c r="V12">
        <v>34800</v>
      </c>
      <c r="W12">
        <v>5000</v>
      </c>
      <c r="X12" t="s">
        <v>823</v>
      </c>
      <c r="Y12" t="s">
        <v>829</v>
      </c>
      <c r="Z12" t="s">
        <v>828</v>
      </c>
      <c r="AA12">
        <v>1</v>
      </c>
      <c r="AB12">
        <v>6</v>
      </c>
      <c r="AC12">
        <v>76</v>
      </c>
      <c r="AD12">
        <v>4</v>
      </c>
      <c r="AE12">
        <v>4954</v>
      </c>
      <c r="AF12">
        <v>5073</v>
      </c>
      <c r="AG12">
        <v>12</v>
      </c>
      <c r="AH12">
        <v>119</v>
      </c>
      <c r="AI12">
        <v>1</v>
      </c>
      <c r="AJ12">
        <v>87</v>
      </c>
      <c r="AK12">
        <v>1648</v>
      </c>
      <c r="AL12">
        <v>-400</v>
      </c>
      <c r="AM12">
        <v>8</v>
      </c>
      <c r="AN12">
        <v>898</v>
      </c>
      <c r="AO12" t="s">
        <v>826</v>
      </c>
    </row>
    <row r="13" spans="1:41">
      <c r="A13">
        <v>5</v>
      </c>
      <c r="B13" s="2">
        <v>45296.607974537</v>
      </c>
      <c r="C13">
        <v>20.046</v>
      </c>
      <c r="D13" t="s">
        <v>821</v>
      </c>
      <c r="E13" t="s">
        <v>822</v>
      </c>
      <c r="F13">
        <v>98</v>
      </c>
      <c r="G13">
        <f t="shared" si="0"/>
        <v>0</v>
      </c>
      <c r="H13">
        <v>1</v>
      </c>
      <c r="I13">
        <v>4940</v>
      </c>
      <c r="J13">
        <v>5073</v>
      </c>
      <c r="K13">
        <v>33096</v>
      </c>
      <c r="L13">
        <v>-12489</v>
      </c>
      <c r="M13">
        <v>-8336</v>
      </c>
      <c r="N13">
        <v>26.7</v>
      </c>
      <c r="O13">
        <v>36</v>
      </c>
      <c r="P13">
        <v>65535</v>
      </c>
      <c r="Q13">
        <v>18621</v>
      </c>
      <c r="R13">
        <v>-32767</v>
      </c>
      <c r="S13">
        <v>27</v>
      </c>
      <c r="T13">
        <v>11</v>
      </c>
      <c r="U13">
        <v>100</v>
      </c>
      <c r="V13">
        <v>34800</v>
      </c>
      <c r="W13">
        <v>5000</v>
      </c>
      <c r="X13" t="s">
        <v>823</v>
      </c>
      <c r="Y13" t="s">
        <v>829</v>
      </c>
      <c r="Z13" t="s">
        <v>828</v>
      </c>
      <c r="AA13">
        <v>1</v>
      </c>
      <c r="AB13">
        <v>6</v>
      </c>
      <c r="AC13">
        <v>76</v>
      </c>
      <c r="AD13">
        <v>4</v>
      </c>
      <c r="AE13">
        <v>4940</v>
      </c>
      <c r="AF13">
        <v>5073</v>
      </c>
      <c r="AG13">
        <v>16</v>
      </c>
      <c r="AH13">
        <v>133</v>
      </c>
      <c r="AI13">
        <v>1</v>
      </c>
      <c r="AJ13">
        <v>87</v>
      </c>
      <c r="AK13">
        <v>1648</v>
      </c>
      <c r="AL13">
        <v>-386</v>
      </c>
      <c r="AM13">
        <v>8</v>
      </c>
      <c r="AN13">
        <v>907</v>
      </c>
      <c r="AO13" t="s">
        <v>826</v>
      </c>
    </row>
    <row r="14" spans="1:41">
      <c r="A14">
        <v>6</v>
      </c>
      <c r="B14" s="2">
        <v>45296.6080208333</v>
      </c>
      <c r="C14">
        <v>24.06</v>
      </c>
      <c r="D14" t="s">
        <v>821</v>
      </c>
      <c r="E14" t="s">
        <v>822</v>
      </c>
      <c r="F14">
        <v>98</v>
      </c>
      <c r="G14">
        <f t="shared" si="0"/>
        <v>0</v>
      </c>
      <c r="H14">
        <v>1</v>
      </c>
      <c r="I14">
        <v>4926</v>
      </c>
      <c r="J14">
        <v>5073</v>
      </c>
      <c r="K14">
        <v>33032</v>
      </c>
      <c r="L14">
        <v>-12489</v>
      </c>
      <c r="M14">
        <v>-9334</v>
      </c>
      <c r="N14">
        <v>26.9</v>
      </c>
      <c r="O14">
        <v>32</v>
      </c>
      <c r="P14">
        <v>65535</v>
      </c>
      <c r="Q14">
        <v>18564</v>
      </c>
      <c r="R14">
        <v>-32767</v>
      </c>
      <c r="S14">
        <v>27</v>
      </c>
      <c r="T14">
        <v>11</v>
      </c>
      <c r="U14">
        <v>100</v>
      </c>
      <c r="V14">
        <v>34800</v>
      </c>
      <c r="W14">
        <v>5000</v>
      </c>
      <c r="X14" t="s">
        <v>823</v>
      </c>
      <c r="Y14" t="s">
        <v>829</v>
      </c>
      <c r="Z14" t="s">
        <v>828</v>
      </c>
      <c r="AA14">
        <v>1</v>
      </c>
      <c r="AB14">
        <v>6</v>
      </c>
      <c r="AC14">
        <v>76</v>
      </c>
      <c r="AD14">
        <v>4</v>
      </c>
      <c r="AE14">
        <v>4926</v>
      </c>
      <c r="AF14">
        <v>5073</v>
      </c>
      <c r="AG14">
        <v>20</v>
      </c>
      <c r="AH14">
        <v>147</v>
      </c>
      <c r="AI14">
        <v>1</v>
      </c>
      <c r="AJ14">
        <v>87</v>
      </c>
      <c r="AK14">
        <v>1648</v>
      </c>
      <c r="AL14">
        <v>-372</v>
      </c>
      <c r="AM14">
        <v>8</v>
      </c>
      <c r="AN14">
        <v>907</v>
      </c>
      <c r="AO14" t="s">
        <v>826</v>
      </c>
    </row>
    <row r="15" spans="1:41">
      <c r="A15">
        <v>7</v>
      </c>
      <c r="B15" s="2">
        <v>45296.6080671296</v>
      </c>
      <c r="C15">
        <v>28.071</v>
      </c>
      <c r="D15" t="s">
        <v>821</v>
      </c>
      <c r="E15" t="s">
        <v>822</v>
      </c>
      <c r="F15">
        <v>97</v>
      </c>
      <c r="G15">
        <f t="shared" si="0"/>
        <v>1</v>
      </c>
      <c r="H15">
        <v>1</v>
      </c>
      <c r="I15">
        <v>4912</v>
      </c>
      <c r="J15">
        <v>5073</v>
      </c>
      <c r="K15">
        <v>32984</v>
      </c>
      <c r="L15">
        <v>-12489</v>
      </c>
      <c r="M15">
        <v>-10092</v>
      </c>
      <c r="N15">
        <v>27</v>
      </c>
      <c r="O15">
        <v>29</v>
      </c>
      <c r="P15">
        <v>65535</v>
      </c>
      <c r="Q15">
        <v>18506</v>
      </c>
      <c r="R15">
        <v>-32767</v>
      </c>
      <c r="S15">
        <v>27</v>
      </c>
      <c r="T15">
        <v>11</v>
      </c>
      <c r="U15">
        <v>100</v>
      </c>
      <c r="V15">
        <v>34800</v>
      </c>
      <c r="W15">
        <v>5000</v>
      </c>
      <c r="X15" t="s">
        <v>823</v>
      </c>
      <c r="Y15" t="s">
        <v>829</v>
      </c>
      <c r="Z15" t="s">
        <v>828</v>
      </c>
      <c r="AA15">
        <v>1</v>
      </c>
      <c r="AB15">
        <v>6</v>
      </c>
      <c r="AC15">
        <v>76</v>
      </c>
      <c r="AD15">
        <v>4</v>
      </c>
      <c r="AE15">
        <v>4912</v>
      </c>
      <c r="AF15">
        <v>5073</v>
      </c>
      <c r="AG15">
        <v>24</v>
      </c>
      <c r="AH15">
        <v>160</v>
      </c>
      <c r="AI15">
        <v>1</v>
      </c>
      <c r="AJ15">
        <v>87</v>
      </c>
      <c r="AK15">
        <v>1648</v>
      </c>
      <c r="AL15">
        <v>-359</v>
      </c>
      <c r="AM15">
        <v>8</v>
      </c>
      <c r="AN15">
        <v>912</v>
      </c>
      <c r="AO15" t="s">
        <v>826</v>
      </c>
    </row>
    <row r="16" spans="1:41">
      <c r="A16">
        <v>8</v>
      </c>
      <c r="B16" s="2">
        <v>45296.6081134259</v>
      </c>
      <c r="C16">
        <v>32.084</v>
      </c>
      <c r="D16" t="s">
        <v>821</v>
      </c>
      <c r="E16" t="s">
        <v>822</v>
      </c>
      <c r="F16">
        <v>97</v>
      </c>
      <c r="G16">
        <f t="shared" si="0"/>
        <v>0</v>
      </c>
      <c r="H16">
        <v>1</v>
      </c>
      <c r="I16">
        <v>4898</v>
      </c>
      <c r="J16">
        <v>5073</v>
      </c>
      <c r="K16">
        <v>32936</v>
      </c>
      <c r="L16">
        <v>-12489</v>
      </c>
      <c r="M16">
        <v>-10668</v>
      </c>
      <c r="N16">
        <v>27.2</v>
      </c>
      <c r="O16">
        <v>28</v>
      </c>
      <c r="P16">
        <v>65535</v>
      </c>
      <c r="Q16">
        <v>18448</v>
      </c>
      <c r="R16">
        <v>-32767</v>
      </c>
      <c r="S16">
        <v>27.1</v>
      </c>
      <c r="T16">
        <v>11</v>
      </c>
      <c r="U16">
        <v>100</v>
      </c>
      <c r="V16">
        <v>34800</v>
      </c>
      <c r="W16">
        <v>5000</v>
      </c>
      <c r="X16" t="s">
        <v>823</v>
      </c>
      <c r="Y16" t="s">
        <v>829</v>
      </c>
      <c r="Z16" t="s">
        <v>828</v>
      </c>
      <c r="AA16">
        <v>1</v>
      </c>
      <c r="AB16">
        <v>6</v>
      </c>
      <c r="AC16">
        <v>76</v>
      </c>
      <c r="AD16">
        <v>4</v>
      </c>
      <c r="AE16">
        <v>4898</v>
      </c>
      <c r="AF16">
        <v>5073</v>
      </c>
      <c r="AG16">
        <v>28</v>
      </c>
      <c r="AH16">
        <v>174</v>
      </c>
      <c r="AI16">
        <v>1</v>
      </c>
      <c r="AJ16">
        <v>87</v>
      </c>
      <c r="AK16">
        <v>1648</v>
      </c>
      <c r="AL16">
        <v>-345</v>
      </c>
      <c r="AM16">
        <v>8</v>
      </c>
      <c r="AN16">
        <v>910</v>
      </c>
      <c r="AO16" t="s">
        <v>826</v>
      </c>
    </row>
    <row r="17" spans="1:41">
      <c r="A17">
        <v>9</v>
      </c>
      <c r="B17" s="2">
        <v>45296.6081597222</v>
      </c>
      <c r="C17">
        <v>36.099</v>
      </c>
      <c r="D17" t="s">
        <v>821</v>
      </c>
      <c r="E17" t="s">
        <v>822</v>
      </c>
      <c r="F17">
        <v>97</v>
      </c>
      <c r="G17">
        <f t="shared" si="0"/>
        <v>0</v>
      </c>
      <c r="H17">
        <v>1</v>
      </c>
      <c r="I17">
        <v>4884</v>
      </c>
      <c r="J17">
        <v>5073</v>
      </c>
      <c r="K17">
        <v>32896</v>
      </c>
      <c r="L17">
        <v>-12490</v>
      </c>
      <c r="M17">
        <v>-11106</v>
      </c>
      <c r="N17">
        <v>27.4</v>
      </c>
      <c r="O17">
        <v>26</v>
      </c>
      <c r="P17">
        <v>65535</v>
      </c>
      <c r="Q17">
        <v>18391</v>
      </c>
      <c r="R17">
        <v>-32767</v>
      </c>
      <c r="S17">
        <v>27.1</v>
      </c>
      <c r="T17">
        <v>11</v>
      </c>
      <c r="U17">
        <v>100</v>
      </c>
      <c r="V17">
        <v>34800</v>
      </c>
      <c r="W17">
        <v>5000</v>
      </c>
      <c r="X17" t="s">
        <v>823</v>
      </c>
      <c r="Y17" t="s">
        <v>829</v>
      </c>
      <c r="Z17" t="s">
        <v>828</v>
      </c>
      <c r="AA17">
        <v>1</v>
      </c>
      <c r="AB17">
        <v>6</v>
      </c>
      <c r="AC17">
        <v>76</v>
      </c>
      <c r="AD17">
        <v>4</v>
      </c>
      <c r="AE17">
        <v>4881</v>
      </c>
      <c r="AF17">
        <v>5073</v>
      </c>
      <c r="AG17">
        <v>32</v>
      </c>
      <c r="AH17">
        <v>188</v>
      </c>
      <c r="AI17">
        <v>1</v>
      </c>
      <c r="AJ17">
        <v>87</v>
      </c>
      <c r="AK17">
        <v>1648</v>
      </c>
      <c r="AL17">
        <v>-331</v>
      </c>
      <c r="AM17">
        <v>8</v>
      </c>
      <c r="AN17">
        <v>911</v>
      </c>
      <c r="AO17" t="s">
        <v>826</v>
      </c>
    </row>
    <row r="18" spans="1:41">
      <c r="A18">
        <v>10</v>
      </c>
      <c r="B18" s="2">
        <v>45296.6082060185</v>
      </c>
      <c r="C18">
        <v>40.112</v>
      </c>
      <c r="D18" t="s">
        <v>821</v>
      </c>
      <c r="E18" t="s">
        <v>822</v>
      </c>
      <c r="F18">
        <v>96</v>
      </c>
      <c r="G18">
        <f t="shared" si="0"/>
        <v>1</v>
      </c>
      <c r="H18">
        <v>1</v>
      </c>
      <c r="I18">
        <v>4870</v>
      </c>
      <c r="J18">
        <v>5073</v>
      </c>
      <c r="K18">
        <v>32856</v>
      </c>
      <c r="L18">
        <v>-12490</v>
      </c>
      <c r="M18">
        <v>-11438</v>
      </c>
      <c r="N18">
        <v>27.5</v>
      </c>
      <c r="O18">
        <v>26</v>
      </c>
      <c r="P18">
        <v>65535</v>
      </c>
      <c r="Q18">
        <v>18333</v>
      </c>
      <c r="R18">
        <v>-32767</v>
      </c>
      <c r="S18">
        <v>27.2</v>
      </c>
      <c r="T18">
        <v>11</v>
      </c>
      <c r="U18">
        <v>100</v>
      </c>
      <c r="V18">
        <v>34800</v>
      </c>
      <c r="W18">
        <v>5000</v>
      </c>
      <c r="X18" t="s">
        <v>823</v>
      </c>
      <c r="Y18" t="s">
        <v>829</v>
      </c>
      <c r="Z18" t="s">
        <v>828</v>
      </c>
      <c r="AA18">
        <v>1</v>
      </c>
      <c r="AB18">
        <v>6</v>
      </c>
      <c r="AC18">
        <v>76</v>
      </c>
      <c r="AD18">
        <v>4</v>
      </c>
      <c r="AE18">
        <v>4870</v>
      </c>
      <c r="AF18">
        <v>5073</v>
      </c>
      <c r="AG18">
        <v>36</v>
      </c>
      <c r="AH18">
        <v>202</v>
      </c>
      <c r="AI18">
        <v>1</v>
      </c>
      <c r="AJ18">
        <v>87</v>
      </c>
      <c r="AK18">
        <v>1648</v>
      </c>
      <c r="AL18">
        <v>-317</v>
      </c>
      <c r="AM18">
        <v>8</v>
      </c>
      <c r="AN18">
        <v>901</v>
      </c>
      <c r="AO18" t="s">
        <v>826</v>
      </c>
    </row>
    <row r="19" spans="1:41">
      <c r="A19">
        <v>11</v>
      </c>
      <c r="B19" s="2">
        <v>45296.6082523148</v>
      </c>
      <c r="C19">
        <v>44.12</v>
      </c>
      <c r="D19" t="s">
        <v>821</v>
      </c>
      <c r="E19" t="s">
        <v>822</v>
      </c>
      <c r="F19">
        <v>96</v>
      </c>
      <c r="G19">
        <f t="shared" si="0"/>
        <v>0</v>
      </c>
      <c r="H19">
        <v>1</v>
      </c>
      <c r="I19">
        <v>4857</v>
      </c>
      <c r="J19">
        <v>5073</v>
      </c>
      <c r="K19">
        <v>32824</v>
      </c>
      <c r="L19">
        <v>-12489</v>
      </c>
      <c r="M19">
        <v>-11691</v>
      </c>
      <c r="N19">
        <v>27.7</v>
      </c>
      <c r="O19">
        <v>25</v>
      </c>
      <c r="P19">
        <v>65535</v>
      </c>
      <c r="Q19">
        <v>18280</v>
      </c>
      <c r="R19">
        <v>-32767</v>
      </c>
      <c r="S19">
        <v>27.2</v>
      </c>
      <c r="T19">
        <v>11</v>
      </c>
      <c r="U19">
        <v>100</v>
      </c>
      <c r="V19">
        <v>34800</v>
      </c>
      <c r="W19">
        <v>5000</v>
      </c>
      <c r="X19" t="s">
        <v>823</v>
      </c>
      <c r="Y19" t="s">
        <v>829</v>
      </c>
      <c r="Z19" t="s">
        <v>828</v>
      </c>
      <c r="AA19">
        <v>1</v>
      </c>
      <c r="AB19">
        <v>6</v>
      </c>
      <c r="AC19">
        <v>76</v>
      </c>
      <c r="AD19">
        <v>4</v>
      </c>
      <c r="AE19">
        <v>4857</v>
      </c>
      <c r="AF19">
        <v>5073</v>
      </c>
      <c r="AG19">
        <v>40</v>
      </c>
      <c r="AH19">
        <v>216</v>
      </c>
      <c r="AI19">
        <v>1</v>
      </c>
      <c r="AJ19">
        <v>87</v>
      </c>
      <c r="AK19">
        <v>1648</v>
      </c>
      <c r="AL19">
        <v>-303</v>
      </c>
      <c r="AM19">
        <v>8</v>
      </c>
      <c r="AN19">
        <v>912</v>
      </c>
      <c r="AO19" t="s">
        <v>826</v>
      </c>
    </row>
    <row r="20" spans="1:41">
      <c r="A20">
        <v>12</v>
      </c>
      <c r="B20" s="2">
        <v>45296.6083101852</v>
      </c>
      <c r="C20">
        <v>48.134</v>
      </c>
      <c r="D20" t="s">
        <v>821</v>
      </c>
      <c r="E20" t="s">
        <v>822</v>
      </c>
      <c r="F20">
        <v>96</v>
      </c>
      <c r="G20">
        <f t="shared" si="0"/>
        <v>0</v>
      </c>
      <c r="H20">
        <v>1</v>
      </c>
      <c r="I20">
        <v>4843</v>
      </c>
      <c r="J20">
        <v>5073</v>
      </c>
      <c r="K20">
        <v>32800</v>
      </c>
      <c r="L20">
        <v>-12490</v>
      </c>
      <c r="M20">
        <v>-11883</v>
      </c>
      <c r="N20">
        <v>27.8</v>
      </c>
      <c r="O20">
        <v>24</v>
      </c>
      <c r="P20">
        <v>65535</v>
      </c>
      <c r="Q20">
        <v>18222</v>
      </c>
      <c r="R20">
        <v>-32767</v>
      </c>
      <c r="S20">
        <v>27.3</v>
      </c>
      <c r="T20">
        <v>11</v>
      </c>
      <c r="U20">
        <v>100</v>
      </c>
      <c r="V20">
        <v>34800</v>
      </c>
      <c r="W20">
        <v>5000</v>
      </c>
      <c r="X20" t="s">
        <v>823</v>
      </c>
      <c r="Y20" t="s">
        <v>829</v>
      </c>
      <c r="Z20" t="s">
        <v>828</v>
      </c>
      <c r="AA20">
        <v>1</v>
      </c>
      <c r="AB20">
        <v>6</v>
      </c>
      <c r="AC20">
        <v>76</v>
      </c>
      <c r="AD20">
        <v>4</v>
      </c>
      <c r="AE20">
        <v>4843</v>
      </c>
      <c r="AF20">
        <v>5073</v>
      </c>
      <c r="AG20">
        <v>44</v>
      </c>
      <c r="AH20">
        <v>230</v>
      </c>
      <c r="AI20">
        <v>1</v>
      </c>
      <c r="AJ20">
        <v>87</v>
      </c>
      <c r="AK20">
        <v>1648</v>
      </c>
      <c r="AL20">
        <v>-289</v>
      </c>
      <c r="AM20">
        <v>8</v>
      </c>
      <c r="AN20">
        <v>913</v>
      </c>
      <c r="AO20" t="s">
        <v>826</v>
      </c>
    </row>
    <row r="21" spans="1:41">
      <c r="A21">
        <v>13</v>
      </c>
      <c r="B21" s="2">
        <v>45296.6083564815</v>
      </c>
      <c r="C21">
        <v>52.146</v>
      </c>
      <c r="D21" t="s">
        <v>821</v>
      </c>
      <c r="E21" t="s">
        <v>822</v>
      </c>
      <c r="F21">
        <v>96</v>
      </c>
      <c r="G21">
        <f t="shared" si="0"/>
        <v>0</v>
      </c>
      <c r="H21">
        <v>1</v>
      </c>
      <c r="I21">
        <v>4829</v>
      </c>
      <c r="J21">
        <v>5073</v>
      </c>
      <c r="K21">
        <v>32768</v>
      </c>
      <c r="L21">
        <v>-12490</v>
      </c>
      <c r="M21">
        <v>-12029</v>
      </c>
      <c r="N21">
        <v>28</v>
      </c>
      <c r="O21">
        <v>24</v>
      </c>
      <c r="P21">
        <v>65535</v>
      </c>
      <c r="Q21">
        <v>18165</v>
      </c>
      <c r="R21">
        <v>-32767</v>
      </c>
      <c r="S21">
        <v>27.3</v>
      </c>
      <c r="T21">
        <v>11</v>
      </c>
      <c r="U21">
        <v>100</v>
      </c>
      <c r="V21">
        <v>34800</v>
      </c>
      <c r="W21">
        <v>5000</v>
      </c>
      <c r="X21" t="s">
        <v>823</v>
      </c>
      <c r="Y21" t="s">
        <v>829</v>
      </c>
      <c r="Z21" t="s">
        <v>828</v>
      </c>
      <c r="AA21">
        <v>1</v>
      </c>
      <c r="AB21">
        <v>6</v>
      </c>
      <c r="AC21">
        <v>76</v>
      </c>
      <c r="AD21">
        <v>4</v>
      </c>
      <c r="AE21">
        <v>4829</v>
      </c>
      <c r="AF21">
        <v>5073</v>
      </c>
      <c r="AG21">
        <v>48</v>
      </c>
      <c r="AH21">
        <v>244</v>
      </c>
      <c r="AI21">
        <v>1</v>
      </c>
      <c r="AJ21">
        <v>87</v>
      </c>
      <c r="AK21">
        <v>1648</v>
      </c>
      <c r="AL21">
        <v>-275</v>
      </c>
      <c r="AM21">
        <v>8</v>
      </c>
      <c r="AN21">
        <v>901</v>
      </c>
      <c r="AO21" t="s">
        <v>826</v>
      </c>
    </row>
    <row r="22" spans="1:41">
      <c r="A22">
        <v>14</v>
      </c>
      <c r="B22" s="2">
        <v>45296.6084027778</v>
      </c>
      <c r="C22">
        <v>56.147</v>
      </c>
      <c r="D22" t="s">
        <v>821</v>
      </c>
      <c r="E22" t="s">
        <v>822</v>
      </c>
      <c r="F22">
        <v>95</v>
      </c>
      <c r="G22">
        <f t="shared" si="0"/>
        <v>1</v>
      </c>
      <c r="H22">
        <v>1</v>
      </c>
      <c r="I22">
        <v>4815</v>
      </c>
      <c r="J22">
        <v>5073</v>
      </c>
      <c r="K22">
        <v>32736</v>
      </c>
      <c r="L22">
        <v>-12490</v>
      </c>
      <c r="M22">
        <v>-12140</v>
      </c>
      <c r="N22">
        <v>28.1</v>
      </c>
      <c r="O22">
        <v>24</v>
      </c>
      <c r="P22">
        <v>65535</v>
      </c>
      <c r="Q22">
        <v>18108</v>
      </c>
      <c r="R22">
        <v>-32767</v>
      </c>
      <c r="S22">
        <v>27.4</v>
      </c>
      <c r="T22">
        <v>11</v>
      </c>
      <c r="U22">
        <v>100</v>
      </c>
      <c r="V22">
        <v>34800</v>
      </c>
      <c r="W22">
        <v>5000</v>
      </c>
      <c r="X22" t="s">
        <v>823</v>
      </c>
      <c r="Y22" t="s">
        <v>830</v>
      </c>
      <c r="Z22" t="s">
        <v>828</v>
      </c>
      <c r="AA22">
        <v>1</v>
      </c>
      <c r="AB22">
        <v>6</v>
      </c>
      <c r="AC22">
        <v>76</v>
      </c>
      <c r="AD22">
        <v>4</v>
      </c>
      <c r="AE22">
        <v>4815</v>
      </c>
      <c r="AF22">
        <v>5073</v>
      </c>
      <c r="AG22">
        <v>52</v>
      </c>
      <c r="AH22">
        <v>258</v>
      </c>
      <c r="AI22">
        <v>1</v>
      </c>
      <c r="AJ22">
        <v>87</v>
      </c>
      <c r="AK22">
        <v>1648</v>
      </c>
      <c r="AL22">
        <v>-261</v>
      </c>
      <c r="AM22">
        <v>8</v>
      </c>
      <c r="AN22">
        <v>913</v>
      </c>
      <c r="AO22" t="s">
        <v>826</v>
      </c>
    </row>
    <row r="23" spans="1:41">
      <c r="A23">
        <v>15</v>
      </c>
      <c r="B23" s="2">
        <v>45296.6084490741</v>
      </c>
      <c r="C23">
        <v>60.159</v>
      </c>
      <c r="D23" t="s">
        <v>821</v>
      </c>
      <c r="E23" t="s">
        <v>822</v>
      </c>
      <c r="F23">
        <v>95</v>
      </c>
      <c r="G23">
        <f t="shared" si="0"/>
        <v>0</v>
      </c>
      <c r="H23">
        <v>1</v>
      </c>
      <c r="I23">
        <v>4801</v>
      </c>
      <c r="J23">
        <v>5073</v>
      </c>
      <c r="K23">
        <v>32712</v>
      </c>
      <c r="L23">
        <v>-12490</v>
      </c>
      <c r="M23">
        <v>-12224</v>
      </c>
      <c r="N23">
        <v>28.3</v>
      </c>
      <c r="O23">
        <v>24</v>
      </c>
      <c r="P23">
        <v>65535</v>
      </c>
      <c r="Q23">
        <v>18050</v>
      </c>
      <c r="R23">
        <v>-32767</v>
      </c>
      <c r="S23">
        <v>27.5</v>
      </c>
      <c r="T23">
        <v>11</v>
      </c>
      <c r="U23">
        <v>100</v>
      </c>
      <c r="V23">
        <v>34800</v>
      </c>
      <c r="W23">
        <v>5000</v>
      </c>
      <c r="X23" t="s">
        <v>823</v>
      </c>
      <c r="Y23" t="s">
        <v>830</v>
      </c>
      <c r="Z23" t="s">
        <v>828</v>
      </c>
      <c r="AA23">
        <v>1</v>
      </c>
      <c r="AB23">
        <v>6</v>
      </c>
      <c r="AC23">
        <v>76</v>
      </c>
      <c r="AD23">
        <v>4</v>
      </c>
      <c r="AE23">
        <v>4801</v>
      </c>
      <c r="AF23">
        <v>5073</v>
      </c>
      <c r="AG23">
        <v>55</v>
      </c>
      <c r="AH23">
        <v>271</v>
      </c>
      <c r="AI23">
        <v>1</v>
      </c>
      <c r="AJ23">
        <v>87</v>
      </c>
      <c r="AK23">
        <v>1648</v>
      </c>
      <c r="AL23">
        <v>-248</v>
      </c>
      <c r="AM23">
        <v>8</v>
      </c>
      <c r="AN23">
        <v>905</v>
      </c>
      <c r="AO23" t="s">
        <v>826</v>
      </c>
    </row>
    <row r="24" spans="1:41">
      <c r="A24">
        <v>16</v>
      </c>
      <c r="B24" s="2">
        <v>45296.6084953704</v>
      </c>
      <c r="C24">
        <v>64.171</v>
      </c>
      <c r="D24" t="s">
        <v>821</v>
      </c>
      <c r="E24" t="s">
        <v>822</v>
      </c>
      <c r="F24">
        <v>95</v>
      </c>
      <c r="G24">
        <f t="shared" si="0"/>
        <v>0</v>
      </c>
      <c r="H24">
        <v>1</v>
      </c>
      <c r="I24">
        <v>4787</v>
      </c>
      <c r="J24">
        <v>5073</v>
      </c>
      <c r="K24">
        <v>32688</v>
      </c>
      <c r="L24">
        <v>-12489</v>
      </c>
      <c r="M24">
        <v>-12288</v>
      </c>
      <c r="N24">
        <v>28.4</v>
      </c>
      <c r="O24">
        <v>23</v>
      </c>
      <c r="P24">
        <v>65535</v>
      </c>
      <c r="Q24">
        <v>17993</v>
      </c>
      <c r="R24">
        <v>-32767</v>
      </c>
      <c r="S24">
        <v>27.6</v>
      </c>
      <c r="T24">
        <v>11</v>
      </c>
      <c r="U24">
        <v>100</v>
      </c>
      <c r="V24">
        <v>34800</v>
      </c>
      <c r="W24">
        <v>5000</v>
      </c>
      <c r="X24" t="s">
        <v>823</v>
      </c>
      <c r="Y24" t="s">
        <v>830</v>
      </c>
      <c r="Z24" t="s">
        <v>828</v>
      </c>
      <c r="AA24">
        <v>1</v>
      </c>
      <c r="AB24">
        <v>6</v>
      </c>
      <c r="AC24">
        <v>76</v>
      </c>
      <c r="AD24">
        <v>4</v>
      </c>
      <c r="AE24">
        <v>4787</v>
      </c>
      <c r="AF24">
        <v>5073</v>
      </c>
      <c r="AG24">
        <v>59</v>
      </c>
      <c r="AH24">
        <v>285</v>
      </c>
      <c r="AI24">
        <v>1</v>
      </c>
      <c r="AJ24">
        <v>87</v>
      </c>
      <c r="AK24">
        <v>1648</v>
      </c>
      <c r="AL24">
        <v>-234</v>
      </c>
      <c r="AM24">
        <v>8</v>
      </c>
      <c r="AN24">
        <v>902</v>
      </c>
      <c r="AO24" t="s">
        <v>826</v>
      </c>
    </row>
    <row r="25" spans="1:41">
      <c r="A25">
        <v>17</v>
      </c>
      <c r="B25" s="2">
        <v>45296.6085416667</v>
      </c>
      <c r="C25">
        <v>68.183</v>
      </c>
      <c r="D25" t="s">
        <v>821</v>
      </c>
      <c r="E25" t="s">
        <v>822</v>
      </c>
      <c r="F25">
        <v>95</v>
      </c>
      <c r="G25">
        <f t="shared" si="0"/>
        <v>0</v>
      </c>
      <c r="H25">
        <v>1</v>
      </c>
      <c r="I25">
        <v>4773</v>
      </c>
      <c r="J25">
        <v>5073</v>
      </c>
      <c r="K25">
        <v>32664</v>
      </c>
      <c r="L25">
        <v>-12489</v>
      </c>
      <c r="M25">
        <v>-12336</v>
      </c>
      <c r="N25">
        <v>28.5</v>
      </c>
      <c r="O25">
        <v>23</v>
      </c>
      <c r="P25">
        <v>65535</v>
      </c>
      <c r="Q25">
        <v>17936</v>
      </c>
      <c r="R25">
        <v>-32767</v>
      </c>
      <c r="S25">
        <v>27.6</v>
      </c>
      <c r="T25">
        <v>11</v>
      </c>
      <c r="U25">
        <v>100</v>
      </c>
      <c r="V25">
        <v>34800</v>
      </c>
      <c r="W25">
        <v>5000</v>
      </c>
      <c r="X25" t="s">
        <v>823</v>
      </c>
      <c r="Y25" t="s">
        <v>830</v>
      </c>
      <c r="Z25" t="s">
        <v>828</v>
      </c>
      <c r="AA25">
        <v>1</v>
      </c>
      <c r="AB25">
        <v>6</v>
      </c>
      <c r="AC25">
        <v>76</v>
      </c>
      <c r="AD25">
        <v>4</v>
      </c>
      <c r="AE25">
        <v>4773</v>
      </c>
      <c r="AF25">
        <v>5073</v>
      </c>
      <c r="AG25">
        <v>63</v>
      </c>
      <c r="AH25">
        <v>299</v>
      </c>
      <c r="AI25">
        <v>1</v>
      </c>
      <c r="AJ25">
        <v>87</v>
      </c>
      <c r="AK25">
        <v>1648</v>
      </c>
      <c r="AL25">
        <v>-220</v>
      </c>
      <c r="AM25">
        <v>8</v>
      </c>
      <c r="AN25">
        <v>913</v>
      </c>
      <c r="AO25" t="s">
        <v>826</v>
      </c>
    </row>
    <row r="26" spans="1:41">
      <c r="A26">
        <v>18</v>
      </c>
      <c r="B26" s="2">
        <v>45296.608587963</v>
      </c>
      <c r="C26">
        <v>72.194</v>
      </c>
      <c r="D26" t="s">
        <v>821</v>
      </c>
      <c r="E26" t="s">
        <v>822</v>
      </c>
      <c r="F26">
        <v>94</v>
      </c>
      <c r="G26">
        <f t="shared" si="0"/>
        <v>1</v>
      </c>
      <c r="H26">
        <v>1</v>
      </c>
      <c r="I26">
        <v>4759</v>
      </c>
      <c r="J26">
        <v>5073</v>
      </c>
      <c r="K26">
        <v>32640</v>
      </c>
      <c r="L26">
        <v>-12490</v>
      </c>
      <c r="M26">
        <v>-12373</v>
      </c>
      <c r="N26">
        <v>28.7</v>
      </c>
      <c r="O26">
        <v>23</v>
      </c>
      <c r="P26">
        <v>65535</v>
      </c>
      <c r="Q26">
        <v>17879</v>
      </c>
      <c r="R26">
        <v>-32767</v>
      </c>
      <c r="S26">
        <v>27.7</v>
      </c>
      <c r="T26">
        <v>11</v>
      </c>
      <c r="U26">
        <v>100</v>
      </c>
      <c r="V26">
        <v>34800</v>
      </c>
      <c r="W26">
        <v>5000</v>
      </c>
      <c r="X26" t="s">
        <v>823</v>
      </c>
      <c r="Y26" t="s">
        <v>830</v>
      </c>
      <c r="Z26" t="s">
        <v>828</v>
      </c>
      <c r="AA26">
        <v>1</v>
      </c>
      <c r="AB26">
        <v>6</v>
      </c>
      <c r="AC26">
        <v>76</v>
      </c>
      <c r="AD26">
        <v>4</v>
      </c>
      <c r="AE26">
        <v>4759</v>
      </c>
      <c r="AF26">
        <v>5073</v>
      </c>
      <c r="AG26">
        <v>67</v>
      </c>
      <c r="AH26">
        <v>313</v>
      </c>
      <c r="AI26">
        <v>1</v>
      </c>
      <c r="AJ26">
        <v>87</v>
      </c>
      <c r="AK26">
        <v>1648</v>
      </c>
      <c r="AL26">
        <v>-206</v>
      </c>
      <c r="AM26">
        <v>8</v>
      </c>
      <c r="AN26">
        <v>911</v>
      </c>
      <c r="AO26" t="s">
        <v>826</v>
      </c>
    </row>
    <row r="27" spans="1:41">
      <c r="A27">
        <v>19</v>
      </c>
      <c r="B27" s="2">
        <v>45296.6086342593</v>
      </c>
      <c r="C27">
        <v>76.206</v>
      </c>
      <c r="D27" t="s">
        <v>821</v>
      </c>
      <c r="E27" t="s">
        <v>822</v>
      </c>
      <c r="F27">
        <v>94</v>
      </c>
      <c r="G27">
        <f t="shared" si="0"/>
        <v>0</v>
      </c>
      <c r="H27">
        <v>1</v>
      </c>
      <c r="I27">
        <v>4746</v>
      </c>
      <c r="J27">
        <v>5073</v>
      </c>
      <c r="K27">
        <v>32616</v>
      </c>
      <c r="L27">
        <v>-12490</v>
      </c>
      <c r="M27">
        <v>-12401</v>
      </c>
      <c r="N27">
        <v>28.8</v>
      </c>
      <c r="O27">
        <v>23</v>
      </c>
      <c r="P27">
        <v>65535</v>
      </c>
      <c r="Q27">
        <v>17826</v>
      </c>
      <c r="R27">
        <v>-32767</v>
      </c>
      <c r="S27">
        <v>27.8</v>
      </c>
      <c r="T27">
        <v>11</v>
      </c>
      <c r="U27">
        <v>100</v>
      </c>
      <c r="V27">
        <v>34800</v>
      </c>
      <c r="W27">
        <v>5000</v>
      </c>
      <c r="X27" t="s">
        <v>823</v>
      </c>
      <c r="Y27" t="s">
        <v>830</v>
      </c>
      <c r="Z27" t="s">
        <v>828</v>
      </c>
      <c r="AA27">
        <v>1</v>
      </c>
      <c r="AB27">
        <v>6</v>
      </c>
      <c r="AC27">
        <v>76</v>
      </c>
      <c r="AD27">
        <v>4</v>
      </c>
      <c r="AE27">
        <v>4746</v>
      </c>
      <c r="AF27">
        <v>5073</v>
      </c>
      <c r="AG27">
        <v>71</v>
      </c>
      <c r="AH27">
        <v>327</v>
      </c>
      <c r="AI27">
        <v>1</v>
      </c>
      <c r="AJ27">
        <v>87</v>
      </c>
      <c r="AK27">
        <v>1648</v>
      </c>
      <c r="AL27">
        <v>-192</v>
      </c>
      <c r="AM27">
        <v>8</v>
      </c>
      <c r="AN27">
        <v>913</v>
      </c>
      <c r="AO27" t="s">
        <v>826</v>
      </c>
    </row>
    <row r="28" spans="1:41">
      <c r="A28">
        <v>20</v>
      </c>
      <c r="B28" s="2">
        <v>45296.6086805556</v>
      </c>
      <c r="C28">
        <v>80.219</v>
      </c>
      <c r="D28" t="s">
        <v>821</v>
      </c>
      <c r="E28" t="s">
        <v>822</v>
      </c>
      <c r="F28">
        <v>94</v>
      </c>
      <c r="G28">
        <f t="shared" si="0"/>
        <v>0</v>
      </c>
      <c r="H28">
        <v>1</v>
      </c>
      <c r="I28">
        <v>4732</v>
      </c>
      <c r="J28">
        <v>5073</v>
      </c>
      <c r="K28">
        <v>32600</v>
      </c>
      <c r="L28">
        <v>-12490</v>
      </c>
      <c r="M28">
        <v>-12423</v>
      </c>
      <c r="N28">
        <v>28.9</v>
      </c>
      <c r="O28">
        <v>23</v>
      </c>
      <c r="P28">
        <v>65535</v>
      </c>
      <c r="Q28">
        <v>17769</v>
      </c>
      <c r="R28">
        <v>-32767</v>
      </c>
      <c r="S28">
        <v>27.9</v>
      </c>
      <c r="T28">
        <v>11</v>
      </c>
      <c r="U28">
        <v>100</v>
      </c>
      <c r="V28">
        <v>34800</v>
      </c>
      <c r="W28">
        <v>5000</v>
      </c>
      <c r="X28" t="s">
        <v>823</v>
      </c>
      <c r="Y28" t="s">
        <v>830</v>
      </c>
      <c r="Z28" t="s">
        <v>828</v>
      </c>
      <c r="AA28">
        <v>1</v>
      </c>
      <c r="AB28">
        <v>6</v>
      </c>
      <c r="AC28">
        <v>76</v>
      </c>
      <c r="AD28">
        <v>4</v>
      </c>
      <c r="AE28">
        <v>4732</v>
      </c>
      <c r="AF28">
        <v>5073</v>
      </c>
      <c r="AG28">
        <v>75</v>
      </c>
      <c r="AH28">
        <v>337</v>
      </c>
      <c r="AI28">
        <v>1</v>
      </c>
      <c r="AJ28">
        <v>87</v>
      </c>
      <c r="AK28">
        <v>1648</v>
      </c>
      <c r="AL28">
        <v>-178</v>
      </c>
      <c r="AM28">
        <v>8</v>
      </c>
      <c r="AN28">
        <v>901</v>
      </c>
      <c r="AO28" t="s">
        <v>826</v>
      </c>
    </row>
    <row r="29" spans="1:41">
      <c r="A29">
        <v>21</v>
      </c>
      <c r="B29" s="2">
        <v>45296.6087268519</v>
      </c>
      <c r="C29">
        <v>84.233</v>
      </c>
      <c r="D29" t="s">
        <v>821</v>
      </c>
      <c r="E29" t="s">
        <v>822</v>
      </c>
      <c r="F29">
        <v>94</v>
      </c>
      <c r="G29">
        <f t="shared" si="0"/>
        <v>0</v>
      </c>
      <c r="H29">
        <v>1</v>
      </c>
      <c r="I29">
        <v>4718</v>
      </c>
      <c r="J29">
        <v>5073</v>
      </c>
      <c r="K29">
        <v>32576</v>
      </c>
      <c r="L29">
        <v>-12490</v>
      </c>
      <c r="M29">
        <v>-12439</v>
      </c>
      <c r="N29">
        <v>29</v>
      </c>
      <c r="O29">
        <v>23</v>
      </c>
      <c r="P29">
        <v>65535</v>
      </c>
      <c r="Q29">
        <v>17712</v>
      </c>
      <c r="R29">
        <v>-32767</v>
      </c>
      <c r="S29">
        <v>28</v>
      </c>
      <c r="T29">
        <v>11</v>
      </c>
      <c r="U29">
        <v>100</v>
      </c>
      <c r="V29">
        <v>34800</v>
      </c>
      <c r="W29">
        <v>5000</v>
      </c>
      <c r="X29" t="s">
        <v>823</v>
      </c>
      <c r="Y29" t="s">
        <v>830</v>
      </c>
      <c r="Z29" t="s">
        <v>828</v>
      </c>
      <c r="AA29">
        <v>1</v>
      </c>
      <c r="AB29">
        <v>6</v>
      </c>
      <c r="AC29">
        <v>76</v>
      </c>
      <c r="AD29">
        <v>4</v>
      </c>
      <c r="AE29">
        <v>4718</v>
      </c>
      <c r="AF29">
        <v>5073</v>
      </c>
      <c r="AG29">
        <v>79</v>
      </c>
      <c r="AH29">
        <v>351</v>
      </c>
      <c r="AI29">
        <v>1</v>
      </c>
      <c r="AJ29">
        <v>87</v>
      </c>
      <c r="AK29">
        <v>1648</v>
      </c>
      <c r="AL29">
        <v>-164</v>
      </c>
      <c r="AM29">
        <v>8</v>
      </c>
      <c r="AN29">
        <v>907</v>
      </c>
      <c r="AO29" t="s">
        <v>826</v>
      </c>
    </row>
    <row r="30" spans="1:41">
      <c r="A30">
        <v>22</v>
      </c>
      <c r="B30" s="2">
        <v>45296.6087731481</v>
      </c>
      <c r="C30">
        <v>88.244</v>
      </c>
      <c r="D30" t="s">
        <v>821</v>
      </c>
      <c r="E30" t="s">
        <v>822</v>
      </c>
      <c r="F30">
        <v>93</v>
      </c>
      <c r="G30">
        <f t="shared" si="0"/>
        <v>1</v>
      </c>
      <c r="H30">
        <v>1</v>
      </c>
      <c r="I30">
        <v>4704</v>
      </c>
      <c r="J30">
        <v>5073</v>
      </c>
      <c r="K30">
        <v>32552</v>
      </c>
      <c r="L30">
        <v>-12490</v>
      </c>
      <c r="M30">
        <v>-12451</v>
      </c>
      <c r="N30">
        <v>29.1</v>
      </c>
      <c r="O30">
        <v>23</v>
      </c>
      <c r="P30">
        <v>65535</v>
      </c>
      <c r="Q30">
        <v>17655</v>
      </c>
      <c r="R30">
        <v>-32767</v>
      </c>
      <c r="S30">
        <v>28.1</v>
      </c>
      <c r="T30">
        <v>11</v>
      </c>
      <c r="U30">
        <v>100</v>
      </c>
      <c r="V30">
        <v>34800</v>
      </c>
      <c r="W30">
        <v>5000</v>
      </c>
      <c r="X30" t="s">
        <v>823</v>
      </c>
      <c r="Y30" t="s">
        <v>830</v>
      </c>
      <c r="Z30" t="s">
        <v>828</v>
      </c>
      <c r="AA30">
        <v>1</v>
      </c>
      <c r="AB30">
        <v>6</v>
      </c>
      <c r="AC30">
        <v>76</v>
      </c>
      <c r="AD30">
        <v>4</v>
      </c>
      <c r="AE30">
        <v>4704</v>
      </c>
      <c r="AF30">
        <v>5073</v>
      </c>
      <c r="AG30">
        <v>83</v>
      </c>
      <c r="AH30">
        <v>365</v>
      </c>
      <c r="AI30">
        <v>1</v>
      </c>
      <c r="AJ30">
        <v>87</v>
      </c>
      <c r="AK30">
        <v>1648</v>
      </c>
      <c r="AL30">
        <v>-150</v>
      </c>
      <c r="AM30">
        <v>8</v>
      </c>
      <c r="AN30">
        <v>913</v>
      </c>
      <c r="AO30" t="s">
        <v>826</v>
      </c>
    </row>
    <row r="31" spans="1:41">
      <c r="A31">
        <v>23</v>
      </c>
      <c r="B31" s="2">
        <v>45296.6088194444</v>
      </c>
      <c r="C31">
        <v>92.256</v>
      </c>
      <c r="D31" t="s">
        <v>821</v>
      </c>
      <c r="E31" t="s">
        <v>822</v>
      </c>
      <c r="F31">
        <v>93</v>
      </c>
      <c r="G31">
        <f t="shared" si="0"/>
        <v>0</v>
      </c>
      <c r="H31">
        <v>1</v>
      </c>
      <c r="I31">
        <v>4690</v>
      </c>
      <c r="J31">
        <v>5073</v>
      </c>
      <c r="K31">
        <v>32536</v>
      </c>
      <c r="L31">
        <v>-12490</v>
      </c>
      <c r="M31">
        <v>-12461</v>
      </c>
      <c r="N31">
        <v>29.3</v>
      </c>
      <c r="O31">
        <v>23</v>
      </c>
      <c r="P31">
        <v>65535</v>
      </c>
      <c r="Q31">
        <v>17598</v>
      </c>
      <c r="R31">
        <v>-32767</v>
      </c>
      <c r="S31">
        <v>28.2</v>
      </c>
      <c r="T31">
        <v>11</v>
      </c>
      <c r="U31">
        <v>100</v>
      </c>
      <c r="V31">
        <v>34800</v>
      </c>
      <c r="W31">
        <v>5000</v>
      </c>
      <c r="X31" t="s">
        <v>823</v>
      </c>
      <c r="Y31" t="s">
        <v>830</v>
      </c>
      <c r="Z31" t="s">
        <v>828</v>
      </c>
      <c r="AA31">
        <v>1</v>
      </c>
      <c r="AB31">
        <v>6</v>
      </c>
      <c r="AC31">
        <v>76</v>
      </c>
      <c r="AD31">
        <v>4</v>
      </c>
      <c r="AE31">
        <v>4690</v>
      </c>
      <c r="AF31">
        <v>5073</v>
      </c>
      <c r="AG31">
        <v>87</v>
      </c>
      <c r="AH31">
        <v>379</v>
      </c>
      <c r="AI31">
        <v>1</v>
      </c>
      <c r="AJ31">
        <v>87</v>
      </c>
      <c r="AK31">
        <v>1648</v>
      </c>
      <c r="AL31">
        <v>-137</v>
      </c>
      <c r="AM31">
        <v>8</v>
      </c>
      <c r="AN31">
        <v>912</v>
      </c>
      <c r="AO31" t="s">
        <v>826</v>
      </c>
    </row>
    <row r="32" spans="1:41">
      <c r="A32">
        <v>24</v>
      </c>
      <c r="B32" s="2">
        <v>45296.6088657407</v>
      </c>
      <c r="C32">
        <v>96.268</v>
      </c>
      <c r="D32" t="s">
        <v>821</v>
      </c>
      <c r="E32" t="s">
        <v>822</v>
      </c>
      <c r="F32">
        <v>93</v>
      </c>
      <c r="G32">
        <f t="shared" si="0"/>
        <v>0</v>
      </c>
      <c r="H32">
        <v>1</v>
      </c>
      <c r="I32">
        <v>4676</v>
      </c>
      <c r="J32">
        <v>5073</v>
      </c>
      <c r="K32">
        <v>32520</v>
      </c>
      <c r="L32">
        <v>-12490</v>
      </c>
      <c r="M32">
        <v>-12468</v>
      </c>
      <c r="N32">
        <v>29.4</v>
      </c>
      <c r="O32">
        <v>23</v>
      </c>
      <c r="P32">
        <v>65535</v>
      </c>
      <c r="Q32">
        <v>17541</v>
      </c>
      <c r="R32">
        <v>-32767</v>
      </c>
      <c r="S32">
        <v>28.3</v>
      </c>
      <c r="T32">
        <v>11</v>
      </c>
      <c r="U32">
        <v>100</v>
      </c>
      <c r="V32">
        <v>34800</v>
      </c>
      <c r="W32">
        <v>5000</v>
      </c>
      <c r="X32" t="s">
        <v>823</v>
      </c>
      <c r="Y32" t="s">
        <v>830</v>
      </c>
      <c r="Z32" t="s">
        <v>828</v>
      </c>
      <c r="AA32">
        <v>1</v>
      </c>
      <c r="AB32">
        <v>6</v>
      </c>
      <c r="AC32">
        <v>76</v>
      </c>
      <c r="AD32">
        <v>4</v>
      </c>
      <c r="AE32">
        <v>4676</v>
      </c>
      <c r="AF32">
        <v>5073</v>
      </c>
      <c r="AG32">
        <v>91</v>
      </c>
      <c r="AH32">
        <v>393</v>
      </c>
      <c r="AI32">
        <v>1</v>
      </c>
      <c r="AJ32">
        <v>87</v>
      </c>
      <c r="AK32">
        <v>1648</v>
      </c>
      <c r="AL32">
        <v>-123</v>
      </c>
      <c r="AM32">
        <v>8</v>
      </c>
      <c r="AN32">
        <v>915</v>
      </c>
      <c r="AO32" t="s">
        <v>826</v>
      </c>
    </row>
    <row r="33" spans="1:41">
      <c r="A33">
        <v>25</v>
      </c>
      <c r="B33" s="2">
        <v>45296.608912037</v>
      </c>
      <c r="C33">
        <v>100.28</v>
      </c>
      <c r="D33" t="s">
        <v>821</v>
      </c>
      <c r="E33" t="s">
        <v>822</v>
      </c>
      <c r="F33">
        <v>92</v>
      </c>
      <c r="G33">
        <f t="shared" si="0"/>
        <v>1</v>
      </c>
      <c r="H33">
        <v>1</v>
      </c>
      <c r="I33">
        <v>4662</v>
      </c>
      <c r="J33">
        <v>5073</v>
      </c>
      <c r="K33">
        <v>32496</v>
      </c>
      <c r="L33">
        <v>-12492</v>
      </c>
      <c r="M33">
        <v>-12474</v>
      </c>
      <c r="N33">
        <v>29.5</v>
      </c>
      <c r="O33">
        <v>22</v>
      </c>
      <c r="P33">
        <v>65535</v>
      </c>
      <c r="Q33">
        <v>17484</v>
      </c>
      <c r="R33">
        <v>-32767</v>
      </c>
      <c r="S33">
        <v>28.4</v>
      </c>
      <c r="T33">
        <v>11</v>
      </c>
      <c r="U33">
        <v>100</v>
      </c>
      <c r="V33">
        <v>34800</v>
      </c>
      <c r="W33">
        <v>5000</v>
      </c>
      <c r="X33" t="s">
        <v>823</v>
      </c>
      <c r="Y33" t="s">
        <v>830</v>
      </c>
      <c r="Z33" t="s">
        <v>828</v>
      </c>
      <c r="AA33">
        <v>1</v>
      </c>
      <c r="AB33">
        <v>6</v>
      </c>
      <c r="AC33">
        <v>76</v>
      </c>
      <c r="AD33">
        <v>4</v>
      </c>
      <c r="AE33">
        <v>4662</v>
      </c>
      <c r="AF33">
        <v>5073</v>
      </c>
      <c r="AG33">
        <v>95</v>
      </c>
      <c r="AH33">
        <v>410</v>
      </c>
      <c r="AI33">
        <v>1</v>
      </c>
      <c r="AJ33">
        <v>87</v>
      </c>
      <c r="AK33">
        <v>1648</v>
      </c>
      <c r="AL33">
        <v>-109</v>
      </c>
      <c r="AM33">
        <v>8</v>
      </c>
      <c r="AN33">
        <v>918</v>
      </c>
      <c r="AO33" t="s">
        <v>826</v>
      </c>
    </row>
    <row r="34" spans="1:41">
      <c r="A34">
        <v>26</v>
      </c>
      <c r="B34" s="2">
        <v>45296.6089583333</v>
      </c>
      <c r="C34">
        <v>104.289</v>
      </c>
      <c r="D34" t="s">
        <v>821</v>
      </c>
      <c r="E34" t="s">
        <v>822</v>
      </c>
      <c r="F34">
        <v>92</v>
      </c>
      <c r="G34">
        <f t="shared" si="0"/>
        <v>0</v>
      </c>
      <c r="H34">
        <v>1</v>
      </c>
      <c r="I34">
        <v>4648</v>
      </c>
      <c r="J34">
        <v>5073</v>
      </c>
      <c r="K34">
        <v>32472</v>
      </c>
      <c r="L34">
        <v>-12492</v>
      </c>
      <c r="M34">
        <v>-12478</v>
      </c>
      <c r="N34">
        <v>29.6</v>
      </c>
      <c r="O34">
        <v>22</v>
      </c>
      <c r="P34">
        <v>65535</v>
      </c>
      <c r="Q34">
        <v>17427</v>
      </c>
      <c r="R34">
        <v>-32767</v>
      </c>
      <c r="S34">
        <v>28.5</v>
      </c>
      <c r="T34">
        <v>11</v>
      </c>
      <c r="U34">
        <v>100</v>
      </c>
      <c r="V34">
        <v>34800</v>
      </c>
      <c r="W34">
        <v>5000</v>
      </c>
      <c r="X34" t="s">
        <v>823</v>
      </c>
      <c r="Y34" t="s">
        <v>830</v>
      </c>
      <c r="Z34" t="s">
        <v>828</v>
      </c>
      <c r="AA34">
        <v>1</v>
      </c>
      <c r="AB34">
        <v>6</v>
      </c>
      <c r="AC34">
        <v>76</v>
      </c>
      <c r="AD34">
        <v>4</v>
      </c>
      <c r="AE34">
        <v>4648</v>
      </c>
      <c r="AF34">
        <v>5073</v>
      </c>
      <c r="AG34">
        <v>99</v>
      </c>
      <c r="AH34">
        <v>421</v>
      </c>
      <c r="AI34">
        <v>1</v>
      </c>
      <c r="AJ34">
        <v>87</v>
      </c>
      <c r="AK34">
        <v>1648</v>
      </c>
      <c r="AL34">
        <v>-95</v>
      </c>
      <c r="AM34">
        <v>8</v>
      </c>
      <c r="AN34">
        <v>913</v>
      </c>
      <c r="AO34" t="s">
        <v>826</v>
      </c>
    </row>
    <row r="35" spans="1:41">
      <c r="A35">
        <v>27</v>
      </c>
      <c r="B35" s="2">
        <v>45296.6090046296</v>
      </c>
      <c r="C35">
        <v>108.302</v>
      </c>
      <c r="D35" t="s">
        <v>821</v>
      </c>
      <c r="E35" t="s">
        <v>822</v>
      </c>
      <c r="F35">
        <v>92</v>
      </c>
      <c r="G35">
        <f t="shared" si="0"/>
        <v>0</v>
      </c>
      <c r="H35">
        <v>1</v>
      </c>
      <c r="I35">
        <v>4635</v>
      </c>
      <c r="J35">
        <v>5073</v>
      </c>
      <c r="K35">
        <v>32456</v>
      </c>
      <c r="L35">
        <v>-12492</v>
      </c>
      <c r="M35">
        <v>-12481</v>
      </c>
      <c r="N35">
        <v>29.7</v>
      </c>
      <c r="O35">
        <v>22</v>
      </c>
      <c r="P35">
        <v>65535</v>
      </c>
      <c r="Q35">
        <v>17374</v>
      </c>
      <c r="R35">
        <v>-32767</v>
      </c>
      <c r="S35">
        <v>28.6</v>
      </c>
      <c r="T35">
        <v>11</v>
      </c>
      <c r="U35">
        <v>100</v>
      </c>
      <c r="V35">
        <v>34800</v>
      </c>
      <c r="W35">
        <v>5000</v>
      </c>
      <c r="X35" t="s">
        <v>823</v>
      </c>
      <c r="Y35" t="s">
        <v>830</v>
      </c>
      <c r="Z35" t="s">
        <v>828</v>
      </c>
      <c r="AA35">
        <v>1</v>
      </c>
      <c r="AB35">
        <v>6</v>
      </c>
      <c r="AC35">
        <v>76</v>
      </c>
      <c r="AD35">
        <v>4</v>
      </c>
      <c r="AE35">
        <v>4635</v>
      </c>
      <c r="AF35">
        <v>5073</v>
      </c>
      <c r="AG35">
        <v>103</v>
      </c>
      <c r="AH35">
        <v>434</v>
      </c>
      <c r="AI35">
        <v>1</v>
      </c>
      <c r="AJ35">
        <v>87</v>
      </c>
      <c r="AK35">
        <v>1648</v>
      </c>
      <c r="AL35">
        <v>-81</v>
      </c>
      <c r="AM35">
        <v>8</v>
      </c>
      <c r="AN35">
        <v>914</v>
      </c>
      <c r="AO35" t="s">
        <v>826</v>
      </c>
    </row>
    <row r="36" spans="1:41">
      <c r="A36">
        <v>28</v>
      </c>
      <c r="B36" s="2">
        <v>45296.6090509259</v>
      </c>
      <c r="C36">
        <v>112.312</v>
      </c>
      <c r="D36" t="s">
        <v>821</v>
      </c>
      <c r="E36" t="s">
        <v>822</v>
      </c>
      <c r="F36">
        <v>92</v>
      </c>
      <c r="G36">
        <f t="shared" si="0"/>
        <v>0</v>
      </c>
      <c r="H36">
        <v>1</v>
      </c>
      <c r="I36">
        <v>4621</v>
      </c>
      <c r="J36">
        <v>5073</v>
      </c>
      <c r="K36">
        <v>32440</v>
      </c>
      <c r="L36">
        <v>-12492</v>
      </c>
      <c r="M36">
        <v>-12484</v>
      </c>
      <c r="N36">
        <v>29.8</v>
      </c>
      <c r="O36">
        <v>22</v>
      </c>
      <c r="P36">
        <v>65535</v>
      </c>
      <c r="Q36">
        <v>17318</v>
      </c>
      <c r="R36">
        <v>-32767</v>
      </c>
      <c r="S36">
        <v>28.7</v>
      </c>
      <c r="T36">
        <v>11</v>
      </c>
      <c r="U36">
        <v>100</v>
      </c>
      <c r="V36">
        <v>34800</v>
      </c>
      <c r="W36">
        <v>5000</v>
      </c>
      <c r="X36" t="s">
        <v>823</v>
      </c>
      <c r="Y36" t="s">
        <v>830</v>
      </c>
      <c r="Z36" t="s">
        <v>828</v>
      </c>
      <c r="AA36">
        <v>1</v>
      </c>
      <c r="AB36">
        <v>6</v>
      </c>
      <c r="AC36">
        <v>76</v>
      </c>
      <c r="AD36">
        <v>4</v>
      </c>
      <c r="AE36">
        <v>4621</v>
      </c>
      <c r="AF36">
        <v>5073</v>
      </c>
      <c r="AG36">
        <v>107</v>
      </c>
      <c r="AH36">
        <v>448</v>
      </c>
      <c r="AI36">
        <v>1</v>
      </c>
      <c r="AJ36">
        <v>87</v>
      </c>
      <c r="AK36">
        <v>1648</v>
      </c>
      <c r="AL36">
        <v>-67</v>
      </c>
      <c r="AM36">
        <v>8</v>
      </c>
      <c r="AN36">
        <v>899</v>
      </c>
      <c r="AO36" t="s">
        <v>826</v>
      </c>
    </row>
    <row r="37" spans="1:41">
      <c r="A37">
        <v>29</v>
      </c>
      <c r="B37" s="2">
        <v>45296.6090972222</v>
      </c>
      <c r="C37">
        <v>116.322</v>
      </c>
      <c r="D37" t="s">
        <v>821</v>
      </c>
      <c r="E37" t="s">
        <v>822</v>
      </c>
      <c r="F37">
        <v>91</v>
      </c>
      <c r="G37">
        <f t="shared" si="0"/>
        <v>1</v>
      </c>
      <c r="H37">
        <v>1</v>
      </c>
      <c r="I37">
        <v>4607</v>
      </c>
      <c r="J37">
        <v>5073</v>
      </c>
      <c r="K37">
        <v>32424</v>
      </c>
      <c r="L37">
        <v>-12492</v>
      </c>
      <c r="M37">
        <v>-12486</v>
      </c>
      <c r="N37">
        <v>29.9</v>
      </c>
      <c r="O37">
        <v>22</v>
      </c>
      <c r="P37">
        <v>65535</v>
      </c>
      <c r="Q37">
        <v>17261</v>
      </c>
      <c r="R37">
        <v>-32767</v>
      </c>
      <c r="S37">
        <v>28.8</v>
      </c>
      <c r="T37">
        <v>11</v>
      </c>
      <c r="U37">
        <v>100</v>
      </c>
      <c r="V37">
        <v>34800</v>
      </c>
      <c r="W37">
        <v>5000</v>
      </c>
      <c r="X37" t="s">
        <v>823</v>
      </c>
      <c r="Y37" t="s">
        <v>830</v>
      </c>
      <c r="Z37" t="s">
        <v>828</v>
      </c>
      <c r="AA37">
        <v>1</v>
      </c>
      <c r="AB37">
        <v>6</v>
      </c>
      <c r="AC37">
        <v>76</v>
      </c>
      <c r="AD37">
        <v>4</v>
      </c>
      <c r="AE37">
        <v>4607</v>
      </c>
      <c r="AF37">
        <v>5073</v>
      </c>
      <c r="AG37">
        <v>111</v>
      </c>
      <c r="AH37">
        <v>462</v>
      </c>
      <c r="AI37">
        <v>1</v>
      </c>
      <c r="AJ37">
        <v>87</v>
      </c>
      <c r="AK37">
        <v>1648</v>
      </c>
      <c r="AL37">
        <v>-53</v>
      </c>
      <c r="AM37">
        <v>8</v>
      </c>
      <c r="AN37">
        <v>909</v>
      </c>
      <c r="AO37" t="s">
        <v>826</v>
      </c>
    </row>
    <row r="38" spans="1:41">
      <c r="A38">
        <v>30</v>
      </c>
      <c r="B38" s="2">
        <v>45296.6091435185</v>
      </c>
      <c r="C38">
        <v>120.334</v>
      </c>
      <c r="D38" t="s">
        <v>821</v>
      </c>
      <c r="E38" t="s">
        <v>822</v>
      </c>
      <c r="F38">
        <v>91</v>
      </c>
      <c r="G38">
        <f t="shared" si="0"/>
        <v>0</v>
      </c>
      <c r="H38">
        <v>1</v>
      </c>
      <c r="I38">
        <v>4593</v>
      </c>
      <c r="J38">
        <v>5073</v>
      </c>
      <c r="K38">
        <v>32408</v>
      </c>
      <c r="L38">
        <v>-12492</v>
      </c>
      <c r="M38">
        <v>-12487</v>
      </c>
      <c r="N38">
        <v>30</v>
      </c>
      <c r="O38">
        <v>22</v>
      </c>
      <c r="P38">
        <v>65535</v>
      </c>
      <c r="Q38">
        <v>17204</v>
      </c>
      <c r="R38">
        <v>-32767</v>
      </c>
      <c r="S38">
        <v>28.9</v>
      </c>
      <c r="T38">
        <v>11</v>
      </c>
      <c r="U38">
        <v>100</v>
      </c>
      <c r="V38">
        <v>34800</v>
      </c>
      <c r="W38">
        <v>5000</v>
      </c>
      <c r="X38" t="s">
        <v>823</v>
      </c>
      <c r="Y38" t="s">
        <v>830</v>
      </c>
      <c r="Z38" t="s">
        <v>828</v>
      </c>
      <c r="AA38">
        <v>1</v>
      </c>
      <c r="AB38">
        <v>6</v>
      </c>
      <c r="AC38">
        <v>76</v>
      </c>
      <c r="AD38">
        <v>4</v>
      </c>
      <c r="AE38">
        <v>4593</v>
      </c>
      <c r="AF38">
        <v>5073</v>
      </c>
      <c r="AG38">
        <v>115</v>
      </c>
      <c r="AH38">
        <v>476</v>
      </c>
      <c r="AI38">
        <v>1</v>
      </c>
      <c r="AJ38">
        <v>87</v>
      </c>
      <c r="AK38">
        <v>1648</v>
      </c>
      <c r="AL38">
        <v>-39</v>
      </c>
      <c r="AM38">
        <v>8</v>
      </c>
      <c r="AN38">
        <v>915</v>
      </c>
      <c r="AO38" t="s">
        <v>826</v>
      </c>
    </row>
    <row r="39" spans="1:41">
      <c r="A39">
        <v>31</v>
      </c>
      <c r="B39" s="2">
        <v>45296.6091898148</v>
      </c>
      <c r="C39">
        <v>124.345</v>
      </c>
      <c r="D39" t="s">
        <v>821</v>
      </c>
      <c r="E39" t="s">
        <v>822</v>
      </c>
      <c r="F39">
        <v>91</v>
      </c>
      <c r="G39">
        <f t="shared" si="0"/>
        <v>0</v>
      </c>
      <c r="H39">
        <v>1</v>
      </c>
      <c r="I39">
        <v>4579</v>
      </c>
      <c r="J39">
        <v>5073</v>
      </c>
      <c r="K39">
        <v>32384</v>
      </c>
      <c r="L39">
        <v>-12492</v>
      </c>
      <c r="M39">
        <v>-12488</v>
      </c>
      <c r="N39">
        <v>30.1</v>
      </c>
      <c r="O39">
        <v>22</v>
      </c>
      <c r="P39">
        <v>65535</v>
      </c>
      <c r="Q39">
        <v>17147</v>
      </c>
      <c r="R39">
        <v>-32767</v>
      </c>
      <c r="S39">
        <v>29</v>
      </c>
      <c r="T39">
        <v>11</v>
      </c>
      <c r="U39">
        <v>100</v>
      </c>
      <c r="V39">
        <v>34800</v>
      </c>
      <c r="W39">
        <v>5000</v>
      </c>
      <c r="X39" t="s">
        <v>823</v>
      </c>
      <c r="Y39" t="s">
        <v>830</v>
      </c>
      <c r="Z39" t="s">
        <v>828</v>
      </c>
      <c r="AA39">
        <v>1</v>
      </c>
      <c r="AB39">
        <v>6</v>
      </c>
      <c r="AC39">
        <v>76</v>
      </c>
      <c r="AD39">
        <v>4</v>
      </c>
      <c r="AE39">
        <v>4579</v>
      </c>
      <c r="AF39">
        <v>5073</v>
      </c>
      <c r="AG39">
        <v>119</v>
      </c>
      <c r="AH39">
        <v>490</v>
      </c>
      <c r="AI39">
        <v>1</v>
      </c>
      <c r="AJ39">
        <v>87</v>
      </c>
      <c r="AK39">
        <v>1648</v>
      </c>
      <c r="AL39">
        <v>-26</v>
      </c>
      <c r="AM39">
        <v>8</v>
      </c>
      <c r="AN39">
        <v>905</v>
      </c>
      <c r="AO39" t="s">
        <v>826</v>
      </c>
    </row>
    <row r="40" spans="1:41">
      <c r="A40">
        <v>32</v>
      </c>
      <c r="B40" s="2">
        <v>45296.6092361111</v>
      </c>
      <c r="C40">
        <v>128.358</v>
      </c>
      <c r="D40" t="s">
        <v>821</v>
      </c>
      <c r="E40" t="s">
        <v>822</v>
      </c>
      <c r="F40">
        <v>90</v>
      </c>
      <c r="G40">
        <f t="shared" si="0"/>
        <v>1</v>
      </c>
      <c r="H40">
        <v>1</v>
      </c>
      <c r="I40">
        <v>4565</v>
      </c>
      <c r="J40">
        <v>5073</v>
      </c>
      <c r="K40">
        <v>32360</v>
      </c>
      <c r="L40">
        <v>-12492</v>
      </c>
      <c r="M40">
        <v>-12489</v>
      </c>
      <c r="N40">
        <v>30.2</v>
      </c>
      <c r="O40">
        <v>22</v>
      </c>
      <c r="P40">
        <v>65535</v>
      </c>
      <c r="Q40">
        <v>17091</v>
      </c>
      <c r="R40">
        <v>-32767</v>
      </c>
      <c r="S40">
        <v>29.1</v>
      </c>
      <c r="T40">
        <v>11</v>
      </c>
      <c r="U40">
        <v>100</v>
      </c>
      <c r="V40">
        <v>34800</v>
      </c>
      <c r="W40">
        <v>5000</v>
      </c>
      <c r="X40" t="s">
        <v>823</v>
      </c>
      <c r="Y40" t="s">
        <v>830</v>
      </c>
      <c r="Z40" t="s">
        <v>828</v>
      </c>
      <c r="AA40">
        <v>1</v>
      </c>
      <c r="AB40">
        <v>6</v>
      </c>
      <c r="AC40">
        <v>76</v>
      </c>
      <c r="AD40">
        <v>4</v>
      </c>
      <c r="AE40">
        <v>4565</v>
      </c>
      <c r="AF40">
        <v>5073</v>
      </c>
      <c r="AG40">
        <v>123</v>
      </c>
      <c r="AH40">
        <v>504</v>
      </c>
      <c r="AI40">
        <v>1</v>
      </c>
      <c r="AJ40">
        <v>87</v>
      </c>
      <c r="AK40">
        <v>1648</v>
      </c>
      <c r="AL40">
        <v>-12</v>
      </c>
      <c r="AM40">
        <v>8</v>
      </c>
      <c r="AN40">
        <v>903</v>
      </c>
      <c r="AO40" t="s">
        <v>826</v>
      </c>
    </row>
    <row r="41" spans="1:41">
      <c r="A41">
        <v>33</v>
      </c>
      <c r="B41" s="2">
        <v>45296.6092824074</v>
      </c>
      <c r="C41">
        <v>132.371</v>
      </c>
      <c r="D41" t="s">
        <v>821</v>
      </c>
      <c r="E41" t="s">
        <v>822</v>
      </c>
      <c r="F41">
        <v>90</v>
      </c>
      <c r="G41">
        <f t="shared" si="0"/>
        <v>0</v>
      </c>
      <c r="H41">
        <v>1</v>
      </c>
      <c r="I41">
        <v>4551</v>
      </c>
      <c r="J41">
        <v>5073</v>
      </c>
      <c r="K41">
        <v>32344</v>
      </c>
      <c r="L41">
        <v>-12492</v>
      </c>
      <c r="M41">
        <v>-12490</v>
      </c>
      <c r="N41">
        <v>30.3</v>
      </c>
      <c r="O41">
        <v>22</v>
      </c>
      <c r="P41">
        <v>65535</v>
      </c>
      <c r="Q41">
        <v>17034</v>
      </c>
      <c r="R41">
        <v>-32767</v>
      </c>
      <c r="S41">
        <v>29.2</v>
      </c>
      <c r="T41">
        <v>11</v>
      </c>
      <c r="U41">
        <v>100</v>
      </c>
      <c r="V41">
        <v>34800</v>
      </c>
      <c r="W41">
        <v>5000</v>
      </c>
      <c r="X41" t="s">
        <v>823</v>
      </c>
      <c r="Y41" t="s">
        <v>830</v>
      </c>
      <c r="Z41" t="s">
        <v>828</v>
      </c>
      <c r="AA41">
        <v>1</v>
      </c>
      <c r="AB41">
        <v>6</v>
      </c>
      <c r="AC41">
        <v>76</v>
      </c>
      <c r="AD41">
        <v>4</v>
      </c>
      <c r="AE41">
        <v>4551</v>
      </c>
      <c r="AF41">
        <v>5073</v>
      </c>
      <c r="AG41">
        <v>127</v>
      </c>
      <c r="AH41">
        <v>518</v>
      </c>
      <c r="AI41">
        <v>1</v>
      </c>
      <c r="AJ41">
        <v>87</v>
      </c>
      <c r="AK41">
        <v>1648</v>
      </c>
      <c r="AL41">
        <v>2</v>
      </c>
      <c r="AM41">
        <v>8</v>
      </c>
      <c r="AN41">
        <v>919</v>
      </c>
      <c r="AO41" t="s">
        <v>826</v>
      </c>
    </row>
    <row r="42" spans="1:41">
      <c r="A42">
        <v>34</v>
      </c>
      <c r="B42" s="2">
        <v>45296.6093287037</v>
      </c>
      <c r="C42">
        <v>136.382</v>
      </c>
      <c r="D42" t="s">
        <v>821</v>
      </c>
      <c r="E42" t="s">
        <v>822</v>
      </c>
      <c r="F42">
        <v>90</v>
      </c>
      <c r="G42">
        <f t="shared" si="0"/>
        <v>0</v>
      </c>
      <c r="H42">
        <v>1</v>
      </c>
      <c r="I42">
        <v>4537</v>
      </c>
      <c r="J42">
        <v>5073</v>
      </c>
      <c r="K42">
        <v>32328</v>
      </c>
      <c r="L42">
        <v>-12492</v>
      </c>
      <c r="M42">
        <v>-12491</v>
      </c>
      <c r="N42">
        <v>30.4</v>
      </c>
      <c r="O42">
        <v>22</v>
      </c>
      <c r="P42">
        <v>65535</v>
      </c>
      <c r="Q42">
        <v>16978</v>
      </c>
      <c r="R42">
        <v>-32767</v>
      </c>
      <c r="S42">
        <v>29.3</v>
      </c>
      <c r="T42">
        <v>11</v>
      </c>
      <c r="U42">
        <v>100</v>
      </c>
      <c r="V42">
        <v>34800</v>
      </c>
      <c r="W42">
        <v>5000</v>
      </c>
      <c r="X42" t="s">
        <v>823</v>
      </c>
      <c r="Y42" t="s">
        <v>830</v>
      </c>
      <c r="Z42" t="s">
        <v>828</v>
      </c>
      <c r="AA42">
        <v>1</v>
      </c>
      <c r="AB42">
        <v>6</v>
      </c>
      <c r="AC42">
        <v>76</v>
      </c>
      <c r="AD42">
        <v>4</v>
      </c>
      <c r="AE42">
        <v>4537</v>
      </c>
      <c r="AF42">
        <v>5073</v>
      </c>
      <c r="AG42">
        <v>131</v>
      </c>
      <c r="AH42">
        <v>532</v>
      </c>
      <c r="AI42">
        <v>1</v>
      </c>
      <c r="AJ42">
        <v>87</v>
      </c>
      <c r="AK42">
        <v>1648</v>
      </c>
      <c r="AL42">
        <v>16</v>
      </c>
      <c r="AM42">
        <v>8</v>
      </c>
      <c r="AN42">
        <v>914</v>
      </c>
      <c r="AO42" t="s">
        <v>826</v>
      </c>
    </row>
    <row r="43" spans="1:41">
      <c r="A43">
        <v>35</v>
      </c>
      <c r="B43" s="2">
        <v>45296.609375</v>
      </c>
      <c r="C43">
        <v>140.393</v>
      </c>
      <c r="D43" t="s">
        <v>821</v>
      </c>
      <c r="E43" t="s">
        <v>822</v>
      </c>
      <c r="F43">
        <v>90</v>
      </c>
      <c r="G43">
        <f t="shared" ref="G43:G74" si="1">F42-F43</f>
        <v>0</v>
      </c>
      <c r="H43">
        <v>1</v>
      </c>
      <c r="I43">
        <v>4523</v>
      </c>
      <c r="J43">
        <v>5073</v>
      </c>
      <c r="K43">
        <v>32304</v>
      </c>
      <c r="L43">
        <v>-12492</v>
      </c>
      <c r="M43">
        <v>-12491</v>
      </c>
      <c r="N43">
        <v>30.5</v>
      </c>
      <c r="O43">
        <v>22</v>
      </c>
      <c r="P43">
        <v>65535</v>
      </c>
      <c r="Q43">
        <v>16921</v>
      </c>
      <c r="R43">
        <v>-32767</v>
      </c>
      <c r="S43">
        <v>29.4</v>
      </c>
      <c r="T43">
        <v>11</v>
      </c>
      <c r="U43">
        <v>100</v>
      </c>
      <c r="V43">
        <v>34800</v>
      </c>
      <c r="W43">
        <v>5000</v>
      </c>
      <c r="X43" t="s">
        <v>823</v>
      </c>
      <c r="Y43" t="s">
        <v>830</v>
      </c>
      <c r="Z43" t="s">
        <v>828</v>
      </c>
      <c r="AA43">
        <v>1</v>
      </c>
      <c r="AB43">
        <v>6</v>
      </c>
      <c r="AC43">
        <v>76</v>
      </c>
      <c r="AD43">
        <v>4</v>
      </c>
      <c r="AE43">
        <v>4523</v>
      </c>
      <c r="AF43">
        <v>5073</v>
      </c>
      <c r="AG43">
        <v>135</v>
      </c>
      <c r="AH43">
        <v>546</v>
      </c>
      <c r="AI43">
        <v>1</v>
      </c>
      <c r="AJ43">
        <v>87</v>
      </c>
      <c r="AK43">
        <v>1648</v>
      </c>
      <c r="AL43">
        <v>30</v>
      </c>
      <c r="AM43">
        <v>8</v>
      </c>
      <c r="AN43">
        <v>915</v>
      </c>
      <c r="AO43" t="s">
        <v>826</v>
      </c>
    </row>
    <row r="44" spans="1:41">
      <c r="A44">
        <v>36</v>
      </c>
      <c r="B44" s="2">
        <v>45296.6094212963</v>
      </c>
      <c r="C44">
        <v>144.405</v>
      </c>
      <c r="D44" t="s">
        <v>821</v>
      </c>
      <c r="E44" t="s">
        <v>822</v>
      </c>
      <c r="F44">
        <v>89</v>
      </c>
      <c r="G44">
        <f t="shared" si="1"/>
        <v>1</v>
      </c>
      <c r="H44">
        <v>1</v>
      </c>
      <c r="I44">
        <v>4510</v>
      </c>
      <c r="J44">
        <v>5073</v>
      </c>
      <c r="K44">
        <v>32288</v>
      </c>
      <c r="L44">
        <v>-12492</v>
      </c>
      <c r="M44">
        <v>-12492</v>
      </c>
      <c r="N44">
        <v>30.7</v>
      </c>
      <c r="O44">
        <v>22</v>
      </c>
      <c r="P44">
        <v>65535</v>
      </c>
      <c r="Q44">
        <v>16869</v>
      </c>
      <c r="R44">
        <v>-32767</v>
      </c>
      <c r="S44">
        <v>29.5</v>
      </c>
      <c r="T44">
        <v>11</v>
      </c>
      <c r="U44">
        <v>100</v>
      </c>
      <c r="V44">
        <v>34800</v>
      </c>
      <c r="W44">
        <v>5000</v>
      </c>
      <c r="X44" t="s">
        <v>823</v>
      </c>
      <c r="Y44" t="s">
        <v>830</v>
      </c>
      <c r="Z44" t="s">
        <v>828</v>
      </c>
      <c r="AA44">
        <v>1</v>
      </c>
      <c r="AB44">
        <v>6</v>
      </c>
      <c r="AC44">
        <v>76</v>
      </c>
      <c r="AD44">
        <v>4</v>
      </c>
      <c r="AE44">
        <v>4510</v>
      </c>
      <c r="AF44">
        <v>5073</v>
      </c>
      <c r="AG44">
        <v>139</v>
      </c>
      <c r="AH44">
        <v>559</v>
      </c>
      <c r="AI44">
        <v>1</v>
      </c>
      <c r="AJ44">
        <v>87</v>
      </c>
      <c r="AK44">
        <v>1648</v>
      </c>
      <c r="AL44">
        <v>44</v>
      </c>
      <c r="AM44">
        <v>8</v>
      </c>
      <c r="AN44">
        <v>904</v>
      </c>
      <c r="AO44" t="s">
        <v>826</v>
      </c>
    </row>
    <row r="45" spans="1:41">
      <c r="A45">
        <v>37</v>
      </c>
      <c r="B45" s="2">
        <v>45296.6094675926</v>
      </c>
      <c r="C45">
        <v>148.416</v>
      </c>
      <c r="D45" t="s">
        <v>821</v>
      </c>
      <c r="E45" t="s">
        <v>822</v>
      </c>
      <c r="F45">
        <v>89</v>
      </c>
      <c r="G45">
        <f t="shared" si="1"/>
        <v>0</v>
      </c>
      <c r="H45">
        <v>1</v>
      </c>
      <c r="I45">
        <v>4496</v>
      </c>
      <c r="J45">
        <v>5073</v>
      </c>
      <c r="K45">
        <v>32264</v>
      </c>
      <c r="L45">
        <v>-12492</v>
      </c>
      <c r="M45">
        <v>-12492</v>
      </c>
      <c r="N45">
        <v>30.7</v>
      </c>
      <c r="O45">
        <v>22</v>
      </c>
      <c r="P45">
        <v>65535</v>
      </c>
      <c r="Q45">
        <v>16812</v>
      </c>
      <c r="R45">
        <v>-32767</v>
      </c>
      <c r="S45">
        <v>29.6</v>
      </c>
      <c r="T45">
        <v>11</v>
      </c>
      <c r="U45">
        <v>100</v>
      </c>
      <c r="V45">
        <v>34800</v>
      </c>
      <c r="W45">
        <v>5000</v>
      </c>
      <c r="X45" t="s">
        <v>823</v>
      </c>
      <c r="Y45" t="s">
        <v>830</v>
      </c>
      <c r="Z45" t="s">
        <v>828</v>
      </c>
      <c r="AA45">
        <v>1</v>
      </c>
      <c r="AB45">
        <v>6</v>
      </c>
      <c r="AC45">
        <v>76</v>
      </c>
      <c r="AD45">
        <v>4</v>
      </c>
      <c r="AE45">
        <v>4496</v>
      </c>
      <c r="AF45">
        <v>5073</v>
      </c>
      <c r="AG45">
        <v>143</v>
      </c>
      <c r="AH45">
        <v>573</v>
      </c>
      <c r="AI45">
        <v>1</v>
      </c>
      <c r="AJ45">
        <v>87</v>
      </c>
      <c r="AK45">
        <v>1648</v>
      </c>
      <c r="AL45">
        <v>58</v>
      </c>
      <c r="AM45">
        <v>8</v>
      </c>
      <c r="AN45">
        <v>910</v>
      </c>
      <c r="AO45" t="s">
        <v>826</v>
      </c>
    </row>
    <row r="46" spans="1:41">
      <c r="A46">
        <v>38</v>
      </c>
      <c r="B46" s="2">
        <v>45296.6095138889</v>
      </c>
      <c r="C46">
        <v>152.429</v>
      </c>
      <c r="D46" t="s">
        <v>821</v>
      </c>
      <c r="E46" t="s">
        <v>822</v>
      </c>
      <c r="F46">
        <v>89</v>
      </c>
      <c r="G46">
        <f t="shared" si="1"/>
        <v>0</v>
      </c>
      <c r="H46">
        <v>1</v>
      </c>
      <c r="I46">
        <v>4482</v>
      </c>
      <c r="J46">
        <v>5073</v>
      </c>
      <c r="K46">
        <v>32248</v>
      </c>
      <c r="L46">
        <v>-12492</v>
      </c>
      <c r="M46">
        <v>-12492</v>
      </c>
      <c r="N46">
        <v>30.8</v>
      </c>
      <c r="O46">
        <v>22</v>
      </c>
      <c r="P46">
        <v>65535</v>
      </c>
      <c r="Q46">
        <v>16756</v>
      </c>
      <c r="R46">
        <v>-32767</v>
      </c>
      <c r="S46">
        <v>29.7</v>
      </c>
      <c r="T46">
        <v>11</v>
      </c>
      <c r="U46">
        <v>100</v>
      </c>
      <c r="V46">
        <v>34800</v>
      </c>
      <c r="W46">
        <v>5000</v>
      </c>
      <c r="X46" t="s">
        <v>823</v>
      </c>
      <c r="Y46" t="s">
        <v>830</v>
      </c>
      <c r="Z46" t="s">
        <v>828</v>
      </c>
      <c r="AA46">
        <v>2</v>
      </c>
      <c r="AB46">
        <v>6</v>
      </c>
      <c r="AC46">
        <v>76</v>
      </c>
      <c r="AD46">
        <v>4</v>
      </c>
      <c r="AE46">
        <v>4482</v>
      </c>
      <c r="AF46">
        <v>5073</v>
      </c>
      <c r="AG46">
        <v>147</v>
      </c>
      <c r="AH46">
        <v>591</v>
      </c>
      <c r="AI46">
        <v>1</v>
      </c>
      <c r="AJ46">
        <v>87</v>
      </c>
      <c r="AK46">
        <v>1648</v>
      </c>
      <c r="AL46">
        <v>72</v>
      </c>
      <c r="AM46">
        <v>8</v>
      </c>
      <c r="AN46">
        <v>911</v>
      </c>
      <c r="AO46" t="s">
        <v>826</v>
      </c>
    </row>
    <row r="47" spans="1:41">
      <c r="A47">
        <v>39</v>
      </c>
      <c r="B47" s="2">
        <v>45296.6095601852</v>
      </c>
      <c r="C47">
        <v>156.44</v>
      </c>
      <c r="D47" t="s">
        <v>821</v>
      </c>
      <c r="E47" t="s">
        <v>822</v>
      </c>
      <c r="F47">
        <v>89</v>
      </c>
      <c r="G47">
        <f t="shared" si="1"/>
        <v>0</v>
      </c>
      <c r="H47">
        <v>1</v>
      </c>
      <c r="I47">
        <v>4468</v>
      </c>
      <c r="J47">
        <v>5073</v>
      </c>
      <c r="K47">
        <v>32224</v>
      </c>
      <c r="L47">
        <v>-12492</v>
      </c>
      <c r="M47">
        <v>-12492</v>
      </c>
      <c r="N47">
        <v>30.9</v>
      </c>
      <c r="O47">
        <v>21</v>
      </c>
      <c r="P47">
        <v>65535</v>
      </c>
      <c r="Q47">
        <v>16699</v>
      </c>
      <c r="R47">
        <v>-32767</v>
      </c>
      <c r="S47">
        <v>29.9</v>
      </c>
      <c r="T47">
        <v>11</v>
      </c>
      <c r="U47">
        <v>100</v>
      </c>
      <c r="V47">
        <v>34800</v>
      </c>
      <c r="W47">
        <v>5000</v>
      </c>
      <c r="X47" t="s">
        <v>823</v>
      </c>
      <c r="Y47" t="s">
        <v>830</v>
      </c>
      <c r="Z47" t="s">
        <v>828</v>
      </c>
      <c r="AA47">
        <v>2</v>
      </c>
      <c r="AB47">
        <v>6</v>
      </c>
      <c r="AC47">
        <v>76</v>
      </c>
      <c r="AD47">
        <v>4</v>
      </c>
      <c r="AE47">
        <v>4468</v>
      </c>
      <c r="AF47">
        <v>5073</v>
      </c>
      <c r="AG47">
        <v>151</v>
      </c>
      <c r="AH47">
        <v>601</v>
      </c>
      <c r="AI47">
        <v>1</v>
      </c>
      <c r="AJ47">
        <v>87</v>
      </c>
      <c r="AK47">
        <v>1648</v>
      </c>
      <c r="AL47">
        <v>86</v>
      </c>
      <c r="AM47">
        <v>8</v>
      </c>
      <c r="AN47">
        <v>902</v>
      </c>
      <c r="AO47" t="s">
        <v>826</v>
      </c>
    </row>
    <row r="48" spans="1:41">
      <c r="A48">
        <v>40</v>
      </c>
      <c r="B48" s="2">
        <v>45296.6096064815</v>
      </c>
      <c r="C48">
        <v>160.452</v>
      </c>
      <c r="D48" t="s">
        <v>821</v>
      </c>
      <c r="E48" t="s">
        <v>822</v>
      </c>
      <c r="F48">
        <v>88</v>
      </c>
      <c r="G48">
        <f t="shared" si="1"/>
        <v>1</v>
      </c>
      <c r="H48">
        <v>1</v>
      </c>
      <c r="I48">
        <v>4454</v>
      </c>
      <c r="J48">
        <v>5073</v>
      </c>
      <c r="K48">
        <v>32208</v>
      </c>
      <c r="L48">
        <v>-12492</v>
      </c>
      <c r="M48">
        <v>-12493</v>
      </c>
      <c r="N48">
        <v>31</v>
      </c>
      <c r="O48">
        <v>21</v>
      </c>
      <c r="P48">
        <v>65535</v>
      </c>
      <c r="Q48">
        <v>16643</v>
      </c>
      <c r="R48">
        <v>-32767</v>
      </c>
      <c r="S48">
        <v>30</v>
      </c>
      <c r="T48">
        <v>11</v>
      </c>
      <c r="U48">
        <v>100</v>
      </c>
      <c r="V48">
        <v>34800</v>
      </c>
      <c r="W48">
        <v>5000</v>
      </c>
      <c r="X48" t="s">
        <v>823</v>
      </c>
      <c r="Y48" t="s">
        <v>830</v>
      </c>
      <c r="Z48" t="s">
        <v>828</v>
      </c>
      <c r="AA48">
        <v>2</v>
      </c>
      <c r="AB48">
        <v>6</v>
      </c>
      <c r="AC48">
        <v>76</v>
      </c>
      <c r="AD48">
        <v>4</v>
      </c>
      <c r="AE48">
        <v>4454</v>
      </c>
      <c r="AF48">
        <v>5073</v>
      </c>
      <c r="AG48">
        <v>155</v>
      </c>
      <c r="AH48">
        <v>618</v>
      </c>
      <c r="AI48">
        <v>1</v>
      </c>
      <c r="AJ48">
        <v>87</v>
      </c>
      <c r="AK48">
        <v>1648</v>
      </c>
      <c r="AL48">
        <v>99</v>
      </c>
      <c r="AM48">
        <v>8</v>
      </c>
      <c r="AN48">
        <v>901</v>
      </c>
      <c r="AO48" t="s">
        <v>826</v>
      </c>
    </row>
    <row r="49" spans="1:41">
      <c r="A49">
        <v>41</v>
      </c>
      <c r="B49" s="2">
        <v>45296.6096527778</v>
      </c>
      <c r="C49">
        <v>164.463</v>
      </c>
      <c r="D49" t="s">
        <v>821</v>
      </c>
      <c r="E49" t="s">
        <v>822</v>
      </c>
      <c r="F49">
        <v>88</v>
      </c>
      <c r="G49">
        <f t="shared" si="1"/>
        <v>0</v>
      </c>
      <c r="H49">
        <v>1</v>
      </c>
      <c r="I49">
        <v>4440</v>
      </c>
      <c r="J49">
        <v>5073</v>
      </c>
      <c r="K49">
        <v>32184</v>
      </c>
      <c r="L49">
        <v>-12494</v>
      </c>
      <c r="M49">
        <v>-12493</v>
      </c>
      <c r="N49">
        <v>31.1</v>
      </c>
      <c r="O49">
        <v>21</v>
      </c>
      <c r="P49">
        <v>65535</v>
      </c>
      <c r="Q49">
        <v>16587</v>
      </c>
      <c r="R49">
        <v>-32767</v>
      </c>
      <c r="S49">
        <v>30</v>
      </c>
      <c r="T49">
        <v>11</v>
      </c>
      <c r="U49">
        <v>100</v>
      </c>
      <c r="V49">
        <v>34800</v>
      </c>
      <c r="W49">
        <v>5000</v>
      </c>
      <c r="X49" t="s">
        <v>823</v>
      </c>
      <c r="Y49" t="s">
        <v>830</v>
      </c>
      <c r="Z49" t="s">
        <v>828</v>
      </c>
      <c r="AA49">
        <v>2</v>
      </c>
      <c r="AB49">
        <v>6</v>
      </c>
      <c r="AC49">
        <v>76</v>
      </c>
      <c r="AD49">
        <v>4</v>
      </c>
      <c r="AE49">
        <v>4440</v>
      </c>
      <c r="AF49">
        <v>5073</v>
      </c>
      <c r="AG49">
        <v>159</v>
      </c>
      <c r="AH49">
        <v>632</v>
      </c>
      <c r="AI49">
        <v>1</v>
      </c>
      <c r="AJ49">
        <v>87</v>
      </c>
      <c r="AK49">
        <v>1648</v>
      </c>
      <c r="AL49">
        <v>113</v>
      </c>
      <c r="AM49">
        <v>8</v>
      </c>
      <c r="AN49">
        <v>904</v>
      </c>
      <c r="AO49" t="s">
        <v>826</v>
      </c>
    </row>
    <row r="50" spans="1:41">
      <c r="A50">
        <v>42</v>
      </c>
      <c r="B50" s="2">
        <v>45296.6096990741</v>
      </c>
      <c r="C50">
        <v>168.476</v>
      </c>
      <c r="D50" t="s">
        <v>821</v>
      </c>
      <c r="E50" t="s">
        <v>822</v>
      </c>
      <c r="F50">
        <v>88</v>
      </c>
      <c r="G50">
        <f t="shared" si="1"/>
        <v>0</v>
      </c>
      <c r="H50">
        <v>1</v>
      </c>
      <c r="I50">
        <v>4426</v>
      </c>
      <c r="J50">
        <v>5073</v>
      </c>
      <c r="K50">
        <v>32168</v>
      </c>
      <c r="L50">
        <v>-12492</v>
      </c>
      <c r="M50">
        <v>-12493</v>
      </c>
      <c r="N50">
        <v>31.2</v>
      </c>
      <c r="O50">
        <v>21</v>
      </c>
      <c r="P50">
        <v>65535</v>
      </c>
      <c r="Q50">
        <v>16530</v>
      </c>
      <c r="R50">
        <v>-32767</v>
      </c>
      <c r="S50">
        <v>30.2</v>
      </c>
      <c r="T50">
        <v>11</v>
      </c>
      <c r="U50">
        <v>100</v>
      </c>
      <c r="V50">
        <v>34800</v>
      </c>
      <c r="W50">
        <v>5000</v>
      </c>
      <c r="X50" t="s">
        <v>823</v>
      </c>
      <c r="Y50" t="s">
        <v>830</v>
      </c>
      <c r="Z50" t="s">
        <v>828</v>
      </c>
      <c r="AA50">
        <v>2</v>
      </c>
      <c r="AB50">
        <v>6</v>
      </c>
      <c r="AC50">
        <v>76</v>
      </c>
      <c r="AD50">
        <v>4</v>
      </c>
      <c r="AE50">
        <v>4426</v>
      </c>
      <c r="AF50">
        <v>5073</v>
      </c>
      <c r="AG50">
        <v>164</v>
      </c>
      <c r="AH50">
        <v>646</v>
      </c>
      <c r="AI50">
        <v>1</v>
      </c>
      <c r="AJ50">
        <v>87</v>
      </c>
      <c r="AK50">
        <v>1648</v>
      </c>
      <c r="AL50">
        <v>127</v>
      </c>
      <c r="AM50">
        <v>8</v>
      </c>
      <c r="AN50">
        <v>912</v>
      </c>
      <c r="AO50" t="s">
        <v>826</v>
      </c>
    </row>
    <row r="51" spans="1:41">
      <c r="A51">
        <v>43</v>
      </c>
      <c r="B51" s="2">
        <v>45296.6097453704</v>
      </c>
      <c r="C51">
        <v>172.497</v>
      </c>
      <c r="D51" t="s">
        <v>821</v>
      </c>
      <c r="E51" t="s">
        <v>822</v>
      </c>
      <c r="F51">
        <v>87</v>
      </c>
      <c r="G51">
        <f t="shared" si="1"/>
        <v>1</v>
      </c>
      <c r="H51">
        <v>1</v>
      </c>
      <c r="I51">
        <v>4412</v>
      </c>
      <c r="J51">
        <v>5073</v>
      </c>
      <c r="K51">
        <v>32144</v>
      </c>
      <c r="L51">
        <v>-12492</v>
      </c>
      <c r="M51">
        <v>-12493</v>
      </c>
      <c r="N51">
        <v>31.3</v>
      </c>
      <c r="O51">
        <v>21</v>
      </c>
      <c r="P51">
        <v>65535</v>
      </c>
      <c r="Q51">
        <v>16474</v>
      </c>
      <c r="R51">
        <v>-32767</v>
      </c>
      <c r="S51">
        <v>30.3</v>
      </c>
      <c r="T51">
        <v>11</v>
      </c>
      <c r="U51">
        <v>100</v>
      </c>
      <c r="V51">
        <v>34800</v>
      </c>
      <c r="W51">
        <v>5000</v>
      </c>
      <c r="X51" t="s">
        <v>823</v>
      </c>
      <c r="Y51" t="s">
        <v>830</v>
      </c>
      <c r="Z51" t="s">
        <v>828</v>
      </c>
      <c r="AA51">
        <v>2</v>
      </c>
      <c r="AB51">
        <v>6</v>
      </c>
      <c r="AC51">
        <v>76</v>
      </c>
      <c r="AD51">
        <v>4</v>
      </c>
      <c r="AE51">
        <v>4412</v>
      </c>
      <c r="AF51">
        <v>5073</v>
      </c>
      <c r="AG51">
        <v>168</v>
      </c>
      <c r="AH51">
        <v>660</v>
      </c>
      <c r="AI51">
        <v>1</v>
      </c>
      <c r="AJ51">
        <v>87</v>
      </c>
      <c r="AK51">
        <v>1648</v>
      </c>
      <c r="AL51">
        <v>141</v>
      </c>
      <c r="AM51">
        <v>8</v>
      </c>
      <c r="AN51">
        <v>911</v>
      </c>
      <c r="AO51" t="s">
        <v>826</v>
      </c>
    </row>
    <row r="52" spans="1:41">
      <c r="A52">
        <v>44</v>
      </c>
      <c r="B52" s="2">
        <v>45296.6097916667</v>
      </c>
      <c r="C52">
        <v>176.491</v>
      </c>
      <c r="D52" t="s">
        <v>821</v>
      </c>
      <c r="E52" t="s">
        <v>822</v>
      </c>
      <c r="F52">
        <v>87</v>
      </c>
      <c r="G52">
        <f t="shared" si="1"/>
        <v>0</v>
      </c>
      <c r="H52">
        <v>1</v>
      </c>
      <c r="I52">
        <v>4399</v>
      </c>
      <c r="J52">
        <v>5073</v>
      </c>
      <c r="K52">
        <v>32120</v>
      </c>
      <c r="L52">
        <v>-12492</v>
      </c>
      <c r="M52">
        <v>-12493</v>
      </c>
      <c r="N52">
        <v>31.4</v>
      </c>
      <c r="O52">
        <v>21</v>
      </c>
      <c r="P52">
        <v>65535</v>
      </c>
      <c r="Q52">
        <v>16422</v>
      </c>
      <c r="R52">
        <v>-32767</v>
      </c>
      <c r="S52">
        <v>30.4</v>
      </c>
      <c r="T52">
        <v>11</v>
      </c>
      <c r="U52">
        <v>100</v>
      </c>
      <c r="V52">
        <v>34800</v>
      </c>
      <c r="W52">
        <v>5000</v>
      </c>
      <c r="X52" t="s">
        <v>823</v>
      </c>
      <c r="Y52" t="s">
        <v>830</v>
      </c>
      <c r="Z52" t="s">
        <v>828</v>
      </c>
      <c r="AA52">
        <v>2</v>
      </c>
      <c r="AB52">
        <v>6</v>
      </c>
      <c r="AC52">
        <v>76</v>
      </c>
      <c r="AD52">
        <v>4</v>
      </c>
      <c r="AE52">
        <v>4399</v>
      </c>
      <c r="AF52">
        <v>5073</v>
      </c>
      <c r="AG52">
        <v>171</v>
      </c>
      <c r="AH52">
        <v>674</v>
      </c>
      <c r="AI52">
        <v>1</v>
      </c>
      <c r="AJ52">
        <v>87</v>
      </c>
      <c r="AK52">
        <v>1648</v>
      </c>
      <c r="AL52">
        <v>155</v>
      </c>
      <c r="AM52">
        <v>8</v>
      </c>
      <c r="AN52">
        <v>900</v>
      </c>
      <c r="AO52" t="s">
        <v>826</v>
      </c>
    </row>
    <row r="53" spans="1:41">
      <c r="A53">
        <v>45</v>
      </c>
      <c r="B53" s="2">
        <v>45296.609837963</v>
      </c>
      <c r="C53">
        <v>180.505</v>
      </c>
      <c r="D53" t="s">
        <v>821</v>
      </c>
      <c r="E53" t="s">
        <v>822</v>
      </c>
      <c r="F53">
        <v>87</v>
      </c>
      <c r="G53">
        <f t="shared" si="1"/>
        <v>0</v>
      </c>
      <c r="H53">
        <v>1</v>
      </c>
      <c r="I53">
        <v>4385</v>
      </c>
      <c r="J53">
        <v>5073</v>
      </c>
      <c r="K53">
        <v>32104</v>
      </c>
      <c r="L53">
        <v>-12494</v>
      </c>
      <c r="M53">
        <v>-12493</v>
      </c>
      <c r="N53">
        <v>31.5</v>
      </c>
      <c r="O53">
        <v>21</v>
      </c>
      <c r="P53">
        <v>65535</v>
      </c>
      <c r="Q53">
        <v>16366</v>
      </c>
      <c r="R53">
        <v>-32767</v>
      </c>
      <c r="S53">
        <v>30.5</v>
      </c>
      <c r="T53">
        <v>11</v>
      </c>
      <c r="U53">
        <v>100</v>
      </c>
      <c r="V53">
        <v>34800</v>
      </c>
      <c r="W53">
        <v>5000</v>
      </c>
      <c r="X53" t="s">
        <v>823</v>
      </c>
      <c r="Y53" t="s">
        <v>830</v>
      </c>
      <c r="Z53" t="s">
        <v>828</v>
      </c>
      <c r="AA53">
        <v>2</v>
      </c>
      <c r="AB53">
        <v>6</v>
      </c>
      <c r="AC53">
        <v>76</v>
      </c>
      <c r="AD53">
        <v>4</v>
      </c>
      <c r="AE53">
        <v>4385</v>
      </c>
      <c r="AF53">
        <v>5073</v>
      </c>
      <c r="AG53">
        <v>176</v>
      </c>
      <c r="AH53">
        <v>688</v>
      </c>
      <c r="AI53">
        <v>1</v>
      </c>
      <c r="AJ53">
        <v>87</v>
      </c>
      <c r="AK53">
        <v>1648</v>
      </c>
      <c r="AL53">
        <v>169</v>
      </c>
      <c r="AM53">
        <v>8</v>
      </c>
      <c r="AN53">
        <v>912</v>
      </c>
      <c r="AO53" t="s">
        <v>826</v>
      </c>
    </row>
    <row r="54" spans="1:41">
      <c r="A54">
        <v>46</v>
      </c>
      <c r="B54" s="2">
        <v>45296.6098842593</v>
      </c>
      <c r="C54">
        <v>184.518</v>
      </c>
      <c r="D54" t="s">
        <v>821</v>
      </c>
      <c r="E54" t="s">
        <v>822</v>
      </c>
      <c r="F54">
        <v>87</v>
      </c>
      <c r="G54">
        <f t="shared" si="1"/>
        <v>0</v>
      </c>
      <c r="H54">
        <v>1</v>
      </c>
      <c r="I54">
        <v>4371</v>
      </c>
      <c r="J54">
        <v>5073</v>
      </c>
      <c r="K54">
        <v>32080</v>
      </c>
      <c r="L54">
        <v>-12492</v>
      </c>
      <c r="M54">
        <v>-12493</v>
      </c>
      <c r="N54">
        <v>31.6</v>
      </c>
      <c r="O54">
        <v>21</v>
      </c>
      <c r="P54">
        <v>65535</v>
      </c>
      <c r="Q54">
        <v>16309</v>
      </c>
      <c r="R54">
        <v>-32767</v>
      </c>
      <c r="S54">
        <v>30.6</v>
      </c>
      <c r="T54">
        <v>11</v>
      </c>
      <c r="U54">
        <v>100</v>
      </c>
      <c r="V54">
        <v>34800</v>
      </c>
      <c r="W54">
        <v>5000</v>
      </c>
      <c r="X54" t="s">
        <v>823</v>
      </c>
      <c r="Y54" t="s">
        <v>830</v>
      </c>
      <c r="Z54" t="s">
        <v>828</v>
      </c>
      <c r="AA54">
        <v>2</v>
      </c>
      <c r="AB54">
        <v>6</v>
      </c>
      <c r="AC54">
        <v>76</v>
      </c>
      <c r="AD54">
        <v>4</v>
      </c>
      <c r="AE54">
        <v>4371</v>
      </c>
      <c r="AF54">
        <v>5073</v>
      </c>
      <c r="AG54">
        <v>180</v>
      </c>
      <c r="AH54">
        <v>702</v>
      </c>
      <c r="AI54">
        <v>1</v>
      </c>
      <c r="AJ54">
        <v>87</v>
      </c>
      <c r="AK54">
        <v>1648</v>
      </c>
      <c r="AL54">
        <v>183</v>
      </c>
      <c r="AM54">
        <v>8</v>
      </c>
      <c r="AN54">
        <v>899</v>
      </c>
      <c r="AO54" t="s">
        <v>826</v>
      </c>
    </row>
    <row r="55" spans="1:41">
      <c r="A55">
        <v>47</v>
      </c>
      <c r="B55" s="2">
        <v>45296.6099305556</v>
      </c>
      <c r="C55">
        <v>188.533</v>
      </c>
      <c r="D55" t="s">
        <v>821</v>
      </c>
      <c r="E55" t="s">
        <v>822</v>
      </c>
      <c r="F55">
        <v>86</v>
      </c>
      <c r="G55">
        <f t="shared" si="1"/>
        <v>1</v>
      </c>
      <c r="H55">
        <v>1</v>
      </c>
      <c r="I55">
        <v>4357</v>
      </c>
      <c r="J55">
        <v>5073</v>
      </c>
      <c r="K55">
        <v>32056</v>
      </c>
      <c r="L55">
        <v>-12492</v>
      </c>
      <c r="M55">
        <v>-12493</v>
      </c>
      <c r="N55">
        <v>31.7</v>
      </c>
      <c r="O55">
        <v>21</v>
      </c>
      <c r="P55">
        <v>65535</v>
      </c>
      <c r="Q55">
        <v>16253</v>
      </c>
      <c r="R55">
        <v>-32767</v>
      </c>
      <c r="S55">
        <v>30.7</v>
      </c>
      <c r="T55">
        <v>11</v>
      </c>
      <c r="U55">
        <v>100</v>
      </c>
      <c r="V55">
        <v>34800</v>
      </c>
      <c r="W55">
        <v>5000</v>
      </c>
      <c r="X55" t="s">
        <v>823</v>
      </c>
      <c r="Y55" t="s">
        <v>830</v>
      </c>
      <c r="Z55" t="s">
        <v>828</v>
      </c>
      <c r="AA55">
        <v>2</v>
      </c>
      <c r="AB55">
        <v>6</v>
      </c>
      <c r="AC55">
        <v>76</v>
      </c>
      <c r="AD55">
        <v>4</v>
      </c>
      <c r="AE55">
        <v>4353</v>
      </c>
      <c r="AF55">
        <v>5073</v>
      </c>
      <c r="AG55">
        <v>184</v>
      </c>
      <c r="AH55">
        <v>716</v>
      </c>
      <c r="AI55">
        <v>1</v>
      </c>
      <c r="AJ55">
        <v>87</v>
      </c>
      <c r="AK55">
        <v>1648</v>
      </c>
      <c r="AL55">
        <v>197</v>
      </c>
      <c r="AM55">
        <v>8</v>
      </c>
      <c r="AN55">
        <v>904</v>
      </c>
      <c r="AO55" t="s">
        <v>826</v>
      </c>
    </row>
    <row r="56" spans="1:41">
      <c r="A56">
        <v>48</v>
      </c>
      <c r="B56" s="2">
        <v>45296.6099768519</v>
      </c>
      <c r="C56">
        <v>192.544</v>
      </c>
      <c r="D56" t="s">
        <v>821</v>
      </c>
      <c r="E56" t="s">
        <v>822</v>
      </c>
      <c r="F56">
        <v>86</v>
      </c>
      <c r="G56">
        <f t="shared" si="1"/>
        <v>0</v>
      </c>
      <c r="H56">
        <v>1</v>
      </c>
      <c r="I56">
        <v>4343</v>
      </c>
      <c r="J56">
        <v>5073</v>
      </c>
      <c r="K56">
        <v>32040</v>
      </c>
      <c r="L56">
        <v>-12494</v>
      </c>
      <c r="M56">
        <v>-12493</v>
      </c>
      <c r="N56">
        <v>31.8</v>
      </c>
      <c r="O56">
        <v>21</v>
      </c>
      <c r="P56">
        <v>65535</v>
      </c>
      <c r="Q56">
        <v>16197</v>
      </c>
      <c r="R56">
        <v>-32767</v>
      </c>
      <c r="S56">
        <v>30.8</v>
      </c>
      <c r="T56">
        <v>11</v>
      </c>
      <c r="U56">
        <v>100</v>
      </c>
      <c r="V56">
        <v>34800</v>
      </c>
      <c r="W56">
        <v>5000</v>
      </c>
      <c r="X56" t="s">
        <v>823</v>
      </c>
      <c r="Y56" t="s">
        <v>830</v>
      </c>
      <c r="Z56" t="s">
        <v>828</v>
      </c>
      <c r="AA56">
        <v>2</v>
      </c>
      <c r="AB56">
        <v>6</v>
      </c>
      <c r="AC56">
        <v>76</v>
      </c>
      <c r="AD56">
        <v>4</v>
      </c>
      <c r="AE56">
        <v>4340</v>
      </c>
      <c r="AF56">
        <v>5073</v>
      </c>
      <c r="AG56">
        <v>188</v>
      </c>
      <c r="AH56">
        <v>729</v>
      </c>
      <c r="AI56">
        <v>1</v>
      </c>
      <c r="AJ56">
        <v>87</v>
      </c>
      <c r="AK56">
        <v>1648</v>
      </c>
      <c r="AL56">
        <v>210</v>
      </c>
      <c r="AM56">
        <v>8</v>
      </c>
      <c r="AN56">
        <v>903</v>
      </c>
      <c r="AO56" t="s">
        <v>826</v>
      </c>
    </row>
    <row r="57" spans="1:41">
      <c r="A57">
        <v>49</v>
      </c>
      <c r="B57" s="2">
        <v>45296.6100231481</v>
      </c>
      <c r="C57">
        <v>196.554</v>
      </c>
      <c r="D57" t="s">
        <v>821</v>
      </c>
      <c r="E57" t="s">
        <v>822</v>
      </c>
      <c r="F57">
        <v>86</v>
      </c>
      <c r="G57">
        <f t="shared" si="1"/>
        <v>0</v>
      </c>
      <c r="H57">
        <v>1</v>
      </c>
      <c r="I57">
        <v>4329</v>
      </c>
      <c r="J57">
        <v>5073</v>
      </c>
      <c r="K57">
        <v>32016</v>
      </c>
      <c r="L57">
        <v>-12492</v>
      </c>
      <c r="M57">
        <v>-12493</v>
      </c>
      <c r="N57">
        <v>31.9</v>
      </c>
      <c r="O57">
        <v>21</v>
      </c>
      <c r="P57">
        <v>65535</v>
      </c>
      <c r="Q57">
        <v>16141</v>
      </c>
      <c r="R57">
        <v>-32767</v>
      </c>
      <c r="S57">
        <v>30.8</v>
      </c>
      <c r="T57">
        <v>11</v>
      </c>
      <c r="U57">
        <v>100</v>
      </c>
      <c r="V57">
        <v>34800</v>
      </c>
      <c r="W57">
        <v>5000</v>
      </c>
      <c r="X57" t="s">
        <v>823</v>
      </c>
      <c r="Y57" t="s">
        <v>830</v>
      </c>
      <c r="Z57" t="s">
        <v>828</v>
      </c>
      <c r="AA57">
        <v>2</v>
      </c>
      <c r="AB57">
        <v>6</v>
      </c>
      <c r="AC57">
        <v>76</v>
      </c>
      <c r="AD57">
        <v>4</v>
      </c>
      <c r="AE57">
        <v>4326</v>
      </c>
      <c r="AF57">
        <v>5073</v>
      </c>
      <c r="AG57">
        <v>192</v>
      </c>
      <c r="AH57">
        <v>743</v>
      </c>
      <c r="AI57">
        <v>1</v>
      </c>
      <c r="AJ57">
        <v>87</v>
      </c>
      <c r="AK57">
        <v>1648</v>
      </c>
      <c r="AL57">
        <v>224</v>
      </c>
      <c r="AM57">
        <v>8</v>
      </c>
      <c r="AN57">
        <v>900</v>
      </c>
      <c r="AO57" t="s">
        <v>826</v>
      </c>
    </row>
    <row r="58" spans="1:41">
      <c r="A58">
        <v>50</v>
      </c>
      <c r="B58" s="2">
        <v>45296.6100694444</v>
      </c>
      <c r="C58">
        <v>200.569</v>
      </c>
      <c r="D58" t="s">
        <v>821</v>
      </c>
      <c r="E58" t="s">
        <v>822</v>
      </c>
      <c r="F58">
        <v>86</v>
      </c>
      <c r="G58">
        <f t="shared" si="1"/>
        <v>0</v>
      </c>
      <c r="H58">
        <v>1</v>
      </c>
      <c r="I58">
        <v>4315</v>
      </c>
      <c r="J58">
        <v>5073</v>
      </c>
      <c r="K58">
        <v>31992</v>
      </c>
      <c r="L58">
        <v>-12494</v>
      </c>
      <c r="M58">
        <v>-12494</v>
      </c>
      <c r="N58">
        <v>31.9</v>
      </c>
      <c r="O58">
        <v>21</v>
      </c>
      <c r="P58">
        <v>65535</v>
      </c>
      <c r="Q58">
        <v>16085</v>
      </c>
      <c r="R58">
        <v>-32767</v>
      </c>
      <c r="S58">
        <v>30.9</v>
      </c>
      <c r="T58">
        <v>11</v>
      </c>
      <c r="U58">
        <v>100</v>
      </c>
      <c r="V58">
        <v>34800</v>
      </c>
      <c r="W58">
        <v>5000</v>
      </c>
      <c r="X58" t="s">
        <v>823</v>
      </c>
      <c r="Y58" t="s">
        <v>830</v>
      </c>
      <c r="Z58" t="s">
        <v>828</v>
      </c>
      <c r="AA58">
        <v>2</v>
      </c>
      <c r="AB58">
        <v>6</v>
      </c>
      <c r="AC58">
        <v>76</v>
      </c>
      <c r="AD58">
        <v>4</v>
      </c>
      <c r="AE58">
        <v>4312</v>
      </c>
      <c r="AF58">
        <v>5073</v>
      </c>
      <c r="AG58">
        <v>196</v>
      </c>
      <c r="AH58">
        <v>757</v>
      </c>
      <c r="AI58">
        <v>1</v>
      </c>
      <c r="AJ58">
        <v>87</v>
      </c>
      <c r="AK58">
        <v>1648</v>
      </c>
      <c r="AL58">
        <v>238</v>
      </c>
      <c r="AM58">
        <v>8</v>
      </c>
      <c r="AN58">
        <v>911</v>
      </c>
      <c r="AO58" t="s">
        <v>826</v>
      </c>
    </row>
    <row r="59" spans="1:41">
      <c r="A59">
        <v>51</v>
      </c>
      <c r="B59" s="2">
        <v>45296.6101157407</v>
      </c>
      <c r="C59">
        <v>204.583</v>
      </c>
      <c r="D59" t="s">
        <v>821</v>
      </c>
      <c r="E59" t="s">
        <v>822</v>
      </c>
      <c r="F59">
        <v>85</v>
      </c>
      <c r="G59">
        <f t="shared" si="1"/>
        <v>1</v>
      </c>
      <c r="H59">
        <v>1</v>
      </c>
      <c r="I59">
        <v>4301</v>
      </c>
      <c r="J59">
        <v>5073</v>
      </c>
      <c r="K59">
        <v>31968</v>
      </c>
      <c r="L59">
        <v>-12494</v>
      </c>
      <c r="M59">
        <v>-12494</v>
      </c>
      <c r="N59">
        <v>32</v>
      </c>
      <c r="O59">
        <v>21</v>
      </c>
      <c r="P59">
        <v>65535</v>
      </c>
      <c r="Q59">
        <v>16029</v>
      </c>
      <c r="R59">
        <v>-32767</v>
      </c>
      <c r="S59">
        <v>31</v>
      </c>
      <c r="T59">
        <v>11</v>
      </c>
      <c r="U59">
        <v>100</v>
      </c>
      <c r="V59">
        <v>34800</v>
      </c>
      <c r="W59">
        <v>5000</v>
      </c>
      <c r="X59" t="s">
        <v>823</v>
      </c>
      <c r="Y59" t="s">
        <v>830</v>
      </c>
      <c r="Z59" t="s">
        <v>828</v>
      </c>
      <c r="AA59">
        <v>2</v>
      </c>
      <c r="AB59">
        <v>6</v>
      </c>
      <c r="AC59">
        <v>76</v>
      </c>
      <c r="AD59">
        <v>4</v>
      </c>
      <c r="AE59">
        <v>4298</v>
      </c>
      <c r="AF59">
        <v>5073</v>
      </c>
      <c r="AG59">
        <v>200</v>
      </c>
      <c r="AH59">
        <v>771</v>
      </c>
      <c r="AI59">
        <v>1</v>
      </c>
      <c r="AJ59">
        <v>87</v>
      </c>
      <c r="AK59">
        <v>1648</v>
      </c>
      <c r="AL59">
        <v>252</v>
      </c>
      <c r="AM59">
        <v>8</v>
      </c>
      <c r="AN59">
        <v>912</v>
      </c>
      <c r="AO59" t="s">
        <v>826</v>
      </c>
    </row>
    <row r="60" spans="1:41">
      <c r="A60">
        <v>52</v>
      </c>
      <c r="B60" s="2">
        <v>45296.610162037</v>
      </c>
      <c r="C60">
        <v>208.595</v>
      </c>
      <c r="D60" t="s">
        <v>821</v>
      </c>
      <c r="E60" t="s">
        <v>822</v>
      </c>
      <c r="F60">
        <v>85</v>
      </c>
      <c r="G60">
        <f t="shared" si="1"/>
        <v>0</v>
      </c>
      <c r="H60">
        <v>1</v>
      </c>
      <c r="I60">
        <v>4287</v>
      </c>
      <c r="J60">
        <v>5073</v>
      </c>
      <c r="K60">
        <v>31952</v>
      </c>
      <c r="L60">
        <v>-12494</v>
      </c>
      <c r="M60">
        <v>-12494</v>
      </c>
      <c r="N60">
        <v>32.1</v>
      </c>
      <c r="O60">
        <v>21</v>
      </c>
      <c r="P60">
        <v>65535</v>
      </c>
      <c r="Q60">
        <v>15973</v>
      </c>
      <c r="R60">
        <v>-32767</v>
      </c>
      <c r="S60">
        <v>31.1</v>
      </c>
      <c r="T60">
        <v>11</v>
      </c>
      <c r="U60">
        <v>100</v>
      </c>
      <c r="V60">
        <v>34800</v>
      </c>
      <c r="W60">
        <v>5000</v>
      </c>
      <c r="X60" t="s">
        <v>823</v>
      </c>
      <c r="Y60" t="s">
        <v>830</v>
      </c>
      <c r="Z60" t="s">
        <v>828</v>
      </c>
      <c r="AA60">
        <v>2</v>
      </c>
      <c r="AB60">
        <v>6</v>
      </c>
      <c r="AC60">
        <v>76</v>
      </c>
      <c r="AD60">
        <v>4</v>
      </c>
      <c r="AE60">
        <v>4284</v>
      </c>
      <c r="AF60">
        <v>5073</v>
      </c>
      <c r="AG60">
        <v>204</v>
      </c>
      <c r="AH60">
        <v>785</v>
      </c>
      <c r="AI60">
        <v>1</v>
      </c>
      <c r="AJ60">
        <v>87</v>
      </c>
      <c r="AK60">
        <v>1648</v>
      </c>
      <c r="AL60">
        <v>266</v>
      </c>
      <c r="AM60">
        <v>8</v>
      </c>
      <c r="AN60">
        <v>884</v>
      </c>
      <c r="AO60" t="s">
        <v>826</v>
      </c>
    </row>
    <row r="61" spans="1:41">
      <c r="A61">
        <v>53</v>
      </c>
      <c r="B61" s="2">
        <v>45296.6102083333</v>
      </c>
      <c r="C61">
        <v>212.61</v>
      </c>
      <c r="D61" t="s">
        <v>821</v>
      </c>
      <c r="E61" t="s">
        <v>822</v>
      </c>
      <c r="F61">
        <v>85</v>
      </c>
      <c r="G61">
        <f t="shared" si="1"/>
        <v>0</v>
      </c>
      <c r="H61">
        <v>1</v>
      </c>
      <c r="I61">
        <v>4274</v>
      </c>
      <c r="J61">
        <v>5073</v>
      </c>
      <c r="K61">
        <v>31928</v>
      </c>
      <c r="L61">
        <v>-12494</v>
      </c>
      <c r="M61">
        <v>-12494</v>
      </c>
      <c r="N61">
        <v>32.2</v>
      </c>
      <c r="O61">
        <v>21</v>
      </c>
      <c r="P61">
        <v>65535</v>
      </c>
      <c r="Q61">
        <v>15921</v>
      </c>
      <c r="R61">
        <v>-32767</v>
      </c>
      <c r="S61">
        <v>31.2</v>
      </c>
      <c r="T61">
        <v>11</v>
      </c>
      <c r="U61">
        <v>100</v>
      </c>
      <c r="V61">
        <v>34800</v>
      </c>
      <c r="W61">
        <v>5000</v>
      </c>
      <c r="X61" t="s">
        <v>823</v>
      </c>
      <c r="Y61" t="s">
        <v>830</v>
      </c>
      <c r="Z61" t="s">
        <v>828</v>
      </c>
      <c r="AA61">
        <v>2</v>
      </c>
      <c r="AB61">
        <v>6</v>
      </c>
      <c r="AC61">
        <v>76</v>
      </c>
      <c r="AD61">
        <v>4</v>
      </c>
      <c r="AE61">
        <v>4270</v>
      </c>
      <c r="AF61">
        <v>5073</v>
      </c>
      <c r="AG61">
        <v>208</v>
      </c>
      <c r="AH61">
        <v>799</v>
      </c>
      <c r="AI61">
        <v>2</v>
      </c>
      <c r="AJ61">
        <v>87</v>
      </c>
      <c r="AK61">
        <v>1648</v>
      </c>
      <c r="AL61">
        <v>280</v>
      </c>
      <c r="AM61">
        <v>9</v>
      </c>
      <c r="AN61">
        <v>901</v>
      </c>
      <c r="AO61" t="s">
        <v>826</v>
      </c>
    </row>
    <row r="62" spans="1:41">
      <c r="A62">
        <v>54</v>
      </c>
      <c r="B62" s="2">
        <v>45296.6102546296</v>
      </c>
      <c r="C62">
        <v>216.621</v>
      </c>
      <c r="D62" t="s">
        <v>821</v>
      </c>
      <c r="E62" t="s">
        <v>822</v>
      </c>
      <c r="F62">
        <v>84</v>
      </c>
      <c r="G62">
        <f t="shared" si="1"/>
        <v>1</v>
      </c>
      <c r="H62">
        <v>1</v>
      </c>
      <c r="I62">
        <v>4260</v>
      </c>
      <c r="J62">
        <v>5073</v>
      </c>
      <c r="K62">
        <v>31904</v>
      </c>
      <c r="L62">
        <v>-12494</v>
      </c>
      <c r="M62">
        <v>-12494</v>
      </c>
      <c r="N62">
        <v>32.3</v>
      </c>
      <c r="O62">
        <v>20</v>
      </c>
      <c r="P62">
        <v>65535</v>
      </c>
      <c r="Q62">
        <v>15866</v>
      </c>
      <c r="R62">
        <v>-32767</v>
      </c>
      <c r="S62">
        <v>31.3</v>
      </c>
      <c r="T62">
        <v>11</v>
      </c>
      <c r="U62">
        <v>100</v>
      </c>
      <c r="V62">
        <v>34800</v>
      </c>
      <c r="W62">
        <v>5000</v>
      </c>
      <c r="X62" t="s">
        <v>823</v>
      </c>
      <c r="Y62" t="s">
        <v>830</v>
      </c>
      <c r="Z62" t="s">
        <v>828</v>
      </c>
      <c r="AA62">
        <v>2</v>
      </c>
      <c r="AB62">
        <v>6</v>
      </c>
      <c r="AC62">
        <v>76</v>
      </c>
      <c r="AD62">
        <v>4</v>
      </c>
      <c r="AE62">
        <v>4256</v>
      </c>
      <c r="AF62">
        <v>5073</v>
      </c>
      <c r="AG62">
        <v>212</v>
      </c>
      <c r="AH62">
        <v>813</v>
      </c>
      <c r="AI62">
        <v>2</v>
      </c>
      <c r="AJ62">
        <v>87</v>
      </c>
      <c r="AK62">
        <v>1648</v>
      </c>
      <c r="AL62">
        <v>294</v>
      </c>
      <c r="AM62">
        <v>9</v>
      </c>
      <c r="AN62">
        <v>924</v>
      </c>
      <c r="AO62" t="s">
        <v>826</v>
      </c>
    </row>
    <row r="63" spans="1:41">
      <c r="A63">
        <v>55</v>
      </c>
      <c r="B63" s="2">
        <v>45296.6103009259</v>
      </c>
      <c r="C63">
        <v>220.632</v>
      </c>
      <c r="D63" t="s">
        <v>821</v>
      </c>
      <c r="E63" t="s">
        <v>822</v>
      </c>
      <c r="F63">
        <v>84</v>
      </c>
      <c r="G63">
        <f t="shared" si="1"/>
        <v>0</v>
      </c>
      <c r="H63">
        <v>1</v>
      </c>
      <c r="I63">
        <v>4246</v>
      </c>
      <c r="J63">
        <v>5073</v>
      </c>
      <c r="K63">
        <v>31880</v>
      </c>
      <c r="L63">
        <v>-12494</v>
      </c>
      <c r="M63">
        <v>-12494</v>
      </c>
      <c r="N63">
        <v>32.4</v>
      </c>
      <c r="O63">
        <v>20</v>
      </c>
      <c r="P63">
        <v>65535</v>
      </c>
      <c r="Q63">
        <v>15810</v>
      </c>
      <c r="R63">
        <v>-32767</v>
      </c>
      <c r="S63">
        <v>31.4</v>
      </c>
      <c r="T63">
        <v>11</v>
      </c>
      <c r="U63">
        <v>100</v>
      </c>
      <c r="V63">
        <v>34800</v>
      </c>
      <c r="W63">
        <v>5000</v>
      </c>
      <c r="X63" t="s">
        <v>823</v>
      </c>
      <c r="Y63" t="s">
        <v>830</v>
      </c>
      <c r="Z63" t="s">
        <v>828</v>
      </c>
      <c r="AA63">
        <v>2</v>
      </c>
      <c r="AB63">
        <v>6</v>
      </c>
      <c r="AC63">
        <v>76</v>
      </c>
      <c r="AD63">
        <v>4</v>
      </c>
      <c r="AE63">
        <v>4242</v>
      </c>
      <c r="AF63">
        <v>5073</v>
      </c>
      <c r="AG63">
        <v>216</v>
      </c>
      <c r="AH63">
        <v>827</v>
      </c>
      <c r="AI63">
        <v>2</v>
      </c>
      <c r="AJ63">
        <v>87</v>
      </c>
      <c r="AK63">
        <v>1648</v>
      </c>
      <c r="AL63">
        <v>308</v>
      </c>
      <c r="AM63">
        <v>9</v>
      </c>
      <c r="AN63">
        <v>900</v>
      </c>
      <c r="AO63" t="s">
        <v>826</v>
      </c>
    </row>
    <row r="64" spans="1:41">
      <c r="A64">
        <v>56</v>
      </c>
      <c r="B64" s="2">
        <v>45296.6103472222</v>
      </c>
      <c r="C64">
        <v>224.645</v>
      </c>
      <c r="D64" t="s">
        <v>821</v>
      </c>
      <c r="E64" t="s">
        <v>822</v>
      </c>
      <c r="F64">
        <v>84</v>
      </c>
      <c r="G64">
        <f t="shared" si="1"/>
        <v>0</v>
      </c>
      <c r="H64">
        <v>1</v>
      </c>
      <c r="I64">
        <v>4232</v>
      </c>
      <c r="J64">
        <v>5073</v>
      </c>
      <c r="K64">
        <v>31864</v>
      </c>
      <c r="L64">
        <v>-12494</v>
      </c>
      <c r="M64">
        <v>-12494</v>
      </c>
      <c r="N64">
        <v>32.5</v>
      </c>
      <c r="O64">
        <v>20</v>
      </c>
      <c r="P64">
        <v>65535</v>
      </c>
      <c r="Q64">
        <v>15754</v>
      </c>
      <c r="R64">
        <v>-32767</v>
      </c>
      <c r="S64">
        <v>31.5</v>
      </c>
      <c r="T64">
        <v>11</v>
      </c>
      <c r="U64">
        <v>100</v>
      </c>
      <c r="V64">
        <v>34800</v>
      </c>
      <c r="W64">
        <v>5000</v>
      </c>
      <c r="X64" t="s">
        <v>823</v>
      </c>
      <c r="Y64" t="s">
        <v>830</v>
      </c>
      <c r="Z64" t="s">
        <v>828</v>
      </c>
      <c r="AA64">
        <v>2</v>
      </c>
      <c r="AB64">
        <v>6</v>
      </c>
      <c r="AC64">
        <v>76</v>
      </c>
      <c r="AD64">
        <v>4</v>
      </c>
      <c r="AE64">
        <v>4228</v>
      </c>
      <c r="AF64">
        <v>5073</v>
      </c>
      <c r="AG64">
        <v>220</v>
      </c>
      <c r="AH64">
        <v>841</v>
      </c>
      <c r="AI64">
        <v>2</v>
      </c>
      <c r="AJ64">
        <v>87</v>
      </c>
      <c r="AK64">
        <v>1648</v>
      </c>
      <c r="AL64">
        <v>322</v>
      </c>
      <c r="AM64">
        <v>9</v>
      </c>
      <c r="AN64">
        <v>901</v>
      </c>
      <c r="AO64" t="s">
        <v>826</v>
      </c>
    </row>
    <row r="65" spans="1:41">
      <c r="A65">
        <v>57</v>
      </c>
      <c r="B65" s="2">
        <v>45296.6103935185</v>
      </c>
      <c r="C65">
        <v>228.661</v>
      </c>
      <c r="D65" t="s">
        <v>821</v>
      </c>
      <c r="E65" t="s">
        <v>822</v>
      </c>
      <c r="F65">
        <v>84</v>
      </c>
      <c r="G65">
        <f t="shared" si="1"/>
        <v>0</v>
      </c>
      <c r="H65">
        <v>1</v>
      </c>
      <c r="I65">
        <v>4218</v>
      </c>
      <c r="J65">
        <v>5073</v>
      </c>
      <c r="K65">
        <v>31840</v>
      </c>
      <c r="L65">
        <v>-12494</v>
      </c>
      <c r="M65">
        <v>-12494</v>
      </c>
      <c r="N65">
        <v>32.5</v>
      </c>
      <c r="O65">
        <v>20</v>
      </c>
      <c r="P65">
        <v>65535</v>
      </c>
      <c r="Q65">
        <v>15698</v>
      </c>
      <c r="R65">
        <v>-32767</v>
      </c>
      <c r="S65">
        <v>31.6</v>
      </c>
      <c r="T65">
        <v>11</v>
      </c>
      <c r="U65">
        <v>100</v>
      </c>
      <c r="V65">
        <v>34800</v>
      </c>
      <c r="W65">
        <v>5000</v>
      </c>
      <c r="X65" t="s">
        <v>823</v>
      </c>
      <c r="Y65" t="s">
        <v>830</v>
      </c>
      <c r="Z65" t="s">
        <v>828</v>
      </c>
      <c r="AA65">
        <v>2</v>
      </c>
      <c r="AB65">
        <v>6</v>
      </c>
      <c r="AC65">
        <v>76</v>
      </c>
      <c r="AD65">
        <v>4</v>
      </c>
      <c r="AE65">
        <v>4215</v>
      </c>
      <c r="AF65">
        <v>5073</v>
      </c>
      <c r="AG65">
        <v>224</v>
      </c>
      <c r="AH65">
        <v>854</v>
      </c>
      <c r="AI65">
        <v>2</v>
      </c>
      <c r="AJ65">
        <v>87</v>
      </c>
      <c r="AK65">
        <v>1648</v>
      </c>
      <c r="AL65">
        <v>335</v>
      </c>
      <c r="AM65">
        <v>9</v>
      </c>
      <c r="AN65">
        <v>912</v>
      </c>
      <c r="AO65" t="s">
        <v>826</v>
      </c>
    </row>
    <row r="66" spans="1:41">
      <c r="A66">
        <v>58</v>
      </c>
      <c r="B66" s="2">
        <v>45296.6104398148</v>
      </c>
      <c r="C66">
        <v>232.674</v>
      </c>
      <c r="D66" t="s">
        <v>821</v>
      </c>
      <c r="E66" t="s">
        <v>822</v>
      </c>
      <c r="F66">
        <v>83</v>
      </c>
      <c r="G66">
        <f t="shared" si="1"/>
        <v>1</v>
      </c>
      <c r="H66">
        <v>1</v>
      </c>
      <c r="I66">
        <v>4204</v>
      </c>
      <c r="J66">
        <v>5073</v>
      </c>
      <c r="K66">
        <v>31816</v>
      </c>
      <c r="L66">
        <v>-12494</v>
      </c>
      <c r="M66">
        <v>-12494</v>
      </c>
      <c r="N66">
        <v>32.6</v>
      </c>
      <c r="O66">
        <v>20</v>
      </c>
      <c r="P66">
        <v>65535</v>
      </c>
      <c r="Q66">
        <v>15643</v>
      </c>
      <c r="R66">
        <v>-32767</v>
      </c>
      <c r="S66">
        <v>31.7</v>
      </c>
      <c r="T66">
        <v>11</v>
      </c>
      <c r="U66">
        <v>100</v>
      </c>
      <c r="V66">
        <v>34800</v>
      </c>
      <c r="W66">
        <v>5000</v>
      </c>
      <c r="X66" t="s">
        <v>823</v>
      </c>
      <c r="Y66" t="s">
        <v>830</v>
      </c>
      <c r="Z66" t="s">
        <v>828</v>
      </c>
      <c r="AA66">
        <v>2</v>
      </c>
      <c r="AB66">
        <v>6</v>
      </c>
      <c r="AC66">
        <v>76</v>
      </c>
      <c r="AD66">
        <v>4</v>
      </c>
      <c r="AE66">
        <v>4201</v>
      </c>
      <c r="AF66">
        <v>5073</v>
      </c>
      <c r="AG66">
        <v>228</v>
      </c>
      <c r="AH66">
        <v>868</v>
      </c>
      <c r="AI66">
        <v>2</v>
      </c>
      <c r="AJ66">
        <v>87</v>
      </c>
      <c r="AK66">
        <v>1648</v>
      </c>
      <c r="AL66">
        <v>349</v>
      </c>
      <c r="AM66">
        <v>9</v>
      </c>
      <c r="AN66">
        <v>917</v>
      </c>
      <c r="AO66" t="s">
        <v>826</v>
      </c>
    </row>
    <row r="67" spans="1:41">
      <c r="A67">
        <v>59</v>
      </c>
      <c r="B67" s="2">
        <v>45296.6104861111</v>
      </c>
      <c r="C67">
        <v>236.675</v>
      </c>
      <c r="D67" t="s">
        <v>821</v>
      </c>
      <c r="E67" t="s">
        <v>822</v>
      </c>
      <c r="F67">
        <v>83</v>
      </c>
      <c r="G67">
        <f t="shared" si="1"/>
        <v>0</v>
      </c>
      <c r="H67">
        <v>1</v>
      </c>
      <c r="I67">
        <v>4190</v>
      </c>
      <c r="J67">
        <v>5073</v>
      </c>
      <c r="K67">
        <v>31792</v>
      </c>
      <c r="L67">
        <v>-12494</v>
      </c>
      <c r="M67">
        <v>-12494</v>
      </c>
      <c r="N67">
        <v>32.7</v>
      </c>
      <c r="O67">
        <v>20</v>
      </c>
      <c r="P67">
        <v>65535</v>
      </c>
      <c r="Q67">
        <v>15587</v>
      </c>
      <c r="R67">
        <v>-32767</v>
      </c>
      <c r="S67">
        <v>31.8</v>
      </c>
      <c r="T67">
        <v>11</v>
      </c>
      <c r="U67">
        <v>100</v>
      </c>
      <c r="V67">
        <v>34800</v>
      </c>
      <c r="W67">
        <v>5000</v>
      </c>
      <c r="X67" t="s">
        <v>823</v>
      </c>
      <c r="Y67" t="s">
        <v>830</v>
      </c>
      <c r="Z67" t="s">
        <v>828</v>
      </c>
      <c r="AA67">
        <v>2</v>
      </c>
      <c r="AB67">
        <v>6</v>
      </c>
      <c r="AC67">
        <v>76</v>
      </c>
      <c r="AD67">
        <v>4</v>
      </c>
      <c r="AE67">
        <v>4187</v>
      </c>
      <c r="AF67">
        <v>5073</v>
      </c>
      <c r="AG67">
        <v>232</v>
      </c>
      <c r="AH67">
        <v>882</v>
      </c>
      <c r="AI67">
        <v>2</v>
      </c>
      <c r="AJ67">
        <v>87</v>
      </c>
      <c r="AK67">
        <v>1648</v>
      </c>
      <c r="AL67">
        <v>363</v>
      </c>
      <c r="AM67">
        <v>9</v>
      </c>
      <c r="AN67">
        <v>909</v>
      </c>
      <c r="AO67" t="s">
        <v>826</v>
      </c>
    </row>
    <row r="68" spans="1:41">
      <c r="A68">
        <v>60</v>
      </c>
      <c r="B68" s="2">
        <v>45296.6105324074</v>
      </c>
      <c r="C68">
        <v>240.687</v>
      </c>
      <c r="D68" t="s">
        <v>821</v>
      </c>
      <c r="E68" t="s">
        <v>822</v>
      </c>
      <c r="F68">
        <v>83</v>
      </c>
      <c r="G68">
        <f t="shared" si="1"/>
        <v>0</v>
      </c>
      <c r="H68">
        <v>1</v>
      </c>
      <c r="I68">
        <v>4176</v>
      </c>
      <c r="J68">
        <v>5073</v>
      </c>
      <c r="K68">
        <v>31768</v>
      </c>
      <c r="L68">
        <v>-12494</v>
      </c>
      <c r="M68">
        <v>-12494</v>
      </c>
      <c r="N68">
        <v>32.8</v>
      </c>
      <c r="O68">
        <v>20</v>
      </c>
      <c r="P68">
        <v>65535</v>
      </c>
      <c r="Q68">
        <v>15531</v>
      </c>
      <c r="R68">
        <v>-32767</v>
      </c>
      <c r="S68">
        <v>31.8</v>
      </c>
      <c r="T68">
        <v>11</v>
      </c>
      <c r="U68">
        <v>100</v>
      </c>
      <c r="V68">
        <v>34800</v>
      </c>
      <c r="W68">
        <v>5000</v>
      </c>
      <c r="X68" t="s">
        <v>823</v>
      </c>
      <c r="Y68" t="s">
        <v>830</v>
      </c>
      <c r="Z68" t="s">
        <v>828</v>
      </c>
      <c r="AA68">
        <v>2</v>
      </c>
      <c r="AB68">
        <v>6</v>
      </c>
      <c r="AC68">
        <v>76</v>
      </c>
      <c r="AD68">
        <v>4</v>
      </c>
      <c r="AE68">
        <v>4173</v>
      </c>
      <c r="AF68">
        <v>5073</v>
      </c>
      <c r="AG68">
        <v>236</v>
      </c>
      <c r="AH68">
        <v>896</v>
      </c>
      <c r="AI68">
        <v>2</v>
      </c>
      <c r="AJ68">
        <v>87</v>
      </c>
      <c r="AK68">
        <v>1648</v>
      </c>
      <c r="AL68">
        <v>377</v>
      </c>
      <c r="AM68">
        <v>9</v>
      </c>
      <c r="AN68">
        <v>953</v>
      </c>
      <c r="AO68" t="s">
        <v>826</v>
      </c>
    </row>
    <row r="69" spans="1:41">
      <c r="A69">
        <v>61</v>
      </c>
      <c r="B69" s="2">
        <v>45296.6105787037</v>
      </c>
      <c r="C69">
        <v>244.7</v>
      </c>
      <c r="D69" t="s">
        <v>821</v>
      </c>
      <c r="E69" t="s">
        <v>822</v>
      </c>
      <c r="F69">
        <v>83</v>
      </c>
      <c r="G69">
        <f t="shared" si="1"/>
        <v>0</v>
      </c>
      <c r="H69">
        <v>1</v>
      </c>
      <c r="I69">
        <v>4163</v>
      </c>
      <c r="J69">
        <v>5073</v>
      </c>
      <c r="K69">
        <v>31744</v>
      </c>
      <c r="L69">
        <v>-12494</v>
      </c>
      <c r="M69">
        <v>-12494</v>
      </c>
      <c r="N69">
        <v>32.9</v>
      </c>
      <c r="O69">
        <v>20</v>
      </c>
      <c r="P69">
        <v>65535</v>
      </c>
      <c r="Q69">
        <v>15480</v>
      </c>
      <c r="R69">
        <v>-32767</v>
      </c>
      <c r="S69">
        <v>31.9</v>
      </c>
      <c r="T69">
        <v>12</v>
      </c>
      <c r="U69">
        <v>100</v>
      </c>
      <c r="V69">
        <v>34800</v>
      </c>
      <c r="W69">
        <v>5000</v>
      </c>
      <c r="X69" t="s">
        <v>823</v>
      </c>
      <c r="Y69" t="s">
        <v>830</v>
      </c>
      <c r="Z69" t="s">
        <v>828</v>
      </c>
      <c r="AA69">
        <v>2</v>
      </c>
      <c r="AB69">
        <v>6</v>
      </c>
      <c r="AC69">
        <v>76</v>
      </c>
      <c r="AD69">
        <v>4</v>
      </c>
      <c r="AE69">
        <v>4159</v>
      </c>
      <c r="AF69">
        <v>5073</v>
      </c>
      <c r="AG69">
        <v>240</v>
      </c>
      <c r="AH69">
        <v>910</v>
      </c>
      <c r="AI69">
        <v>2</v>
      </c>
      <c r="AJ69">
        <v>87</v>
      </c>
      <c r="AK69">
        <v>1648</v>
      </c>
      <c r="AL69">
        <v>391</v>
      </c>
      <c r="AM69">
        <v>9</v>
      </c>
      <c r="AN69">
        <v>927</v>
      </c>
      <c r="AO69" t="s">
        <v>826</v>
      </c>
    </row>
    <row r="70" spans="1:41">
      <c r="A70">
        <v>62</v>
      </c>
      <c r="B70" s="2">
        <v>45296.610625</v>
      </c>
      <c r="C70">
        <v>248.712</v>
      </c>
      <c r="D70" t="s">
        <v>821</v>
      </c>
      <c r="E70" t="s">
        <v>822</v>
      </c>
      <c r="F70">
        <v>82</v>
      </c>
      <c r="G70">
        <f t="shared" si="1"/>
        <v>1</v>
      </c>
      <c r="H70">
        <v>1</v>
      </c>
      <c r="I70">
        <v>4149</v>
      </c>
      <c r="J70">
        <v>5073</v>
      </c>
      <c r="K70">
        <v>31720</v>
      </c>
      <c r="L70">
        <v>-12495</v>
      </c>
      <c r="M70">
        <v>-12494</v>
      </c>
      <c r="N70">
        <v>33</v>
      </c>
      <c r="O70">
        <v>20</v>
      </c>
      <c r="P70">
        <v>65535</v>
      </c>
      <c r="Q70">
        <v>15424</v>
      </c>
      <c r="R70">
        <v>-32767</v>
      </c>
      <c r="S70">
        <v>32</v>
      </c>
      <c r="T70">
        <v>12</v>
      </c>
      <c r="U70">
        <v>100</v>
      </c>
      <c r="V70">
        <v>34800</v>
      </c>
      <c r="W70">
        <v>5000</v>
      </c>
      <c r="X70" t="s">
        <v>823</v>
      </c>
      <c r="Y70" t="s">
        <v>830</v>
      </c>
      <c r="Z70" t="s">
        <v>828</v>
      </c>
      <c r="AA70">
        <v>2</v>
      </c>
      <c r="AB70">
        <v>6</v>
      </c>
      <c r="AC70">
        <v>76</v>
      </c>
      <c r="AD70">
        <v>4</v>
      </c>
      <c r="AE70">
        <v>4145</v>
      </c>
      <c r="AF70">
        <v>5073</v>
      </c>
      <c r="AG70">
        <v>244</v>
      </c>
      <c r="AH70">
        <v>924</v>
      </c>
      <c r="AI70">
        <v>2</v>
      </c>
      <c r="AJ70">
        <v>87</v>
      </c>
      <c r="AK70">
        <v>1648</v>
      </c>
      <c r="AL70">
        <v>405</v>
      </c>
      <c r="AM70">
        <v>9</v>
      </c>
      <c r="AN70">
        <v>909</v>
      </c>
      <c r="AO70" t="s">
        <v>826</v>
      </c>
    </row>
    <row r="71" spans="1:41">
      <c r="A71">
        <v>63</v>
      </c>
      <c r="B71" s="2">
        <v>45296.6106712963</v>
      </c>
      <c r="C71">
        <v>252.723</v>
      </c>
      <c r="D71" t="s">
        <v>821</v>
      </c>
      <c r="E71" t="s">
        <v>822</v>
      </c>
      <c r="F71">
        <v>82</v>
      </c>
      <c r="G71">
        <f t="shared" si="1"/>
        <v>0</v>
      </c>
      <c r="H71">
        <v>1</v>
      </c>
      <c r="I71">
        <v>4135</v>
      </c>
      <c r="J71">
        <v>5073</v>
      </c>
      <c r="K71">
        <v>31696</v>
      </c>
      <c r="L71">
        <v>-12494</v>
      </c>
      <c r="M71">
        <v>-12494</v>
      </c>
      <c r="N71">
        <v>33.1</v>
      </c>
      <c r="O71">
        <v>20</v>
      </c>
      <c r="P71">
        <v>65535</v>
      </c>
      <c r="Q71">
        <v>15369</v>
      </c>
      <c r="R71">
        <v>-32767</v>
      </c>
      <c r="S71">
        <v>32.1</v>
      </c>
      <c r="T71">
        <v>12</v>
      </c>
      <c r="U71">
        <v>100</v>
      </c>
      <c r="V71">
        <v>34800</v>
      </c>
      <c r="W71">
        <v>5000</v>
      </c>
      <c r="X71" t="s">
        <v>823</v>
      </c>
      <c r="Y71" t="s">
        <v>830</v>
      </c>
      <c r="Z71" t="s">
        <v>828</v>
      </c>
      <c r="AA71">
        <v>2</v>
      </c>
      <c r="AB71">
        <v>6</v>
      </c>
      <c r="AC71">
        <v>76</v>
      </c>
      <c r="AD71">
        <v>4</v>
      </c>
      <c r="AE71">
        <v>4131</v>
      </c>
      <c r="AF71">
        <v>5073</v>
      </c>
      <c r="AG71">
        <v>248</v>
      </c>
      <c r="AH71">
        <v>938</v>
      </c>
      <c r="AI71">
        <v>2</v>
      </c>
      <c r="AJ71">
        <v>87</v>
      </c>
      <c r="AK71">
        <v>1648</v>
      </c>
      <c r="AL71">
        <v>419</v>
      </c>
      <c r="AM71">
        <v>9</v>
      </c>
      <c r="AN71">
        <v>904</v>
      </c>
      <c r="AO71" t="s">
        <v>826</v>
      </c>
    </row>
    <row r="72" spans="1:41">
      <c r="A72">
        <v>64</v>
      </c>
      <c r="B72" s="2">
        <v>45296.6107175926</v>
      </c>
      <c r="C72">
        <v>256.737</v>
      </c>
      <c r="D72" t="s">
        <v>821</v>
      </c>
      <c r="E72" t="s">
        <v>822</v>
      </c>
      <c r="F72">
        <v>82</v>
      </c>
      <c r="G72">
        <f t="shared" si="1"/>
        <v>0</v>
      </c>
      <c r="H72">
        <v>1</v>
      </c>
      <c r="I72">
        <v>4121</v>
      </c>
      <c r="J72">
        <v>5073</v>
      </c>
      <c r="K72">
        <v>31672</v>
      </c>
      <c r="L72">
        <v>-12494</v>
      </c>
      <c r="M72">
        <v>-12494</v>
      </c>
      <c r="N72">
        <v>33.2</v>
      </c>
      <c r="O72">
        <v>20</v>
      </c>
      <c r="P72">
        <v>65535</v>
      </c>
      <c r="Q72">
        <v>15313</v>
      </c>
      <c r="R72">
        <v>-32767</v>
      </c>
      <c r="S72">
        <v>32.2</v>
      </c>
      <c r="T72">
        <v>12</v>
      </c>
      <c r="U72">
        <v>100</v>
      </c>
      <c r="V72">
        <v>34800</v>
      </c>
      <c r="W72">
        <v>5000</v>
      </c>
      <c r="X72" t="s">
        <v>823</v>
      </c>
      <c r="Y72" t="s">
        <v>830</v>
      </c>
      <c r="Z72" t="s">
        <v>828</v>
      </c>
      <c r="AA72">
        <v>2</v>
      </c>
      <c r="AB72">
        <v>6</v>
      </c>
      <c r="AC72">
        <v>76</v>
      </c>
      <c r="AD72">
        <v>4</v>
      </c>
      <c r="AE72">
        <v>4117</v>
      </c>
      <c r="AF72">
        <v>5073</v>
      </c>
      <c r="AG72">
        <v>252</v>
      </c>
      <c r="AH72">
        <v>952</v>
      </c>
      <c r="AI72">
        <v>2</v>
      </c>
      <c r="AJ72">
        <v>87</v>
      </c>
      <c r="AK72">
        <v>1648</v>
      </c>
      <c r="AL72">
        <v>433</v>
      </c>
      <c r="AM72">
        <v>9</v>
      </c>
      <c r="AN72">
        <v>915</v>
      </c>
      <c r="AO72" t="s">
        <v>826</v>
      </c>
    </row>
    <row r="73" spans="1:41">
      <c r="A73">
        <v>65</v>
      </c>
      <c r="B73" s="2">
        <v>45296.6107638889</v>
      </c>
      <c r="C73">
        <v>260.749</v>
      </c>
      <c r="D73" t="s">
        <v>821</v>
      </c>
      <c r="E73" t="s">
        <v>822</v>
      </c>
      <c r="F73">
        <v>81</v>
      </c>
      <c r="G73">
        <f t="shared" si="1"/>
        <v>1</v>
      </c>
      <c r="H73">
        <v>1</v>
      </c>
      <c r="I73">
        <v>4107</v>
      </c>
      <c r="J73">
        <v>5073</v>
      </c>
      <c r="K73">
        <v>31648</v>
      </c>
      <c r="L73">
        <v>-12494</v>
      </c>
      <c r="M73">
        <v>-12494</v>
      </c>
      <c r="N73">
        <v>33.2</v>
      </c>
      <c r="O73">
        <v>20</v>
      </c>
      <c r="P73">
        <v>65535</v>
      </c>
      <c r="Q73">
        <v>15258</v>
      </c>
      <c r="R73">
        <v>-32767</v>
      </c>
      <c r="S73">
        <v>32.3</v>
      </c>
      <c r="T73">
        <v>12</v>
      </c>
      <c r="U73">
        <v>100</v>
      </c>
      <c r="V73">
        <v>34800</v>
      </c>
      <c r="W73">
        <v>5000</v>
      </c>
      <c r="X73" t="s">
        <v>823</v>
      </c>
      <c r="Y73" t="s">
        <v>830</v>
      </c>
      <c r="Z73" t="s">
        <v>828</v>
      </c>
      <c r="AA73">
        <v>2</v>
      </c>
      <c r="AB73">
        <v>6</v>
      </c>
      <c r="AC73">
        <v>76</v>
      </c>
      <c r="AD73">
        <v>4</v>
      </c>
      <c r="AE73">
        <v>4104</v>
      </c>
      <c r="AF73">
        <v>5073</v>
      </c>
      <c r="AG73">
        <v>256</v>
      </c>
      <c r="AH73">
        <v>965</v>
      </c>
      <c r="AI73">
        <v>2</v>
      </c>
      <c r="AJ73">
        <v>87</v>
      </c>
      <c r="AK73">
        <v>1648</v>
      </c>
      <c r="AL73">
        <v>446</v>
      </c>
      <c r="AM73">
        <v>9</v>
      </c>
      <c r="AN73">
        <v>922</v>
      </c>
      <c r="AO73" t="s">
        <v>826</v>
      </c>
    </row>
    <row r="74" spans="1:41">
      <c r="A74">
        <v>66</v>
      </c>
      <c r="B74" s="2">
        <v>45296.6108101852</v>
      </c>
      <c r="C74">
        <v>264.764</v>
      </c>
      <c r="D74" t="s">
        <v>821</v>
      </c>
      <c r="E74" t="s">
        <v>822</v>
      </c>
      <c r="F74">
        <v>81</v>
      </c>
      <c r="G74">
        <f t="shared" si="1"/>
        <v>0</v>
      </c>
      <c r="H74">
        <v>1</v>
      </c>
      <c r="I74">
        <v>4093</v>
      </c>
      <c r="J74">
        <v>5073</v>
      </c>
      <c r="K74">
        <v>31624</v>
      </c>
      <c r="L74">
        <v>-12494</v>
      </c>
      <c r="M74">
        <v>-12494</v>
      </c>
      <c r="N74">
        <v>33.3</v>
      </c>
      <c r="O74">
        <v>20</v>
      </c>
      <c r="P74">
        <v>65535</v>
      </c>
      <c r="Q74">
        <v>15202</v>
      </c>
      <c r="R74">
        <v>-32767</v>
      </c>
      <c r="S74">
        <v>32.3</v>
      </c>
      <c r="T74">
        <v>12</v>
      </c>
      <c r="U74">
        <v>100</v>
      </c>
      <c r="V74">
        <v>34800</v>
      </c>
      <c r="W74">
        <v>5000</v>
      </c>
      <c r="X74" t="s">
        <v>823</v>
      </c>
      <c r="Y74" t="s">
        <v>830</v>
      </c>
      <c r="Z74" t="s">
        <v>828</v>
      </c>
      <c r="AA74">
        <v>2</v>
      </c>
      <c r="AB74">
        <v>6</v>
      </c>
      <c r="AC74">
        <v>76</v>
      </c>
      <c r="AD74">
        <v>4</v>
      </c>
      <c r="AE74">
        <v>4090</v>
      </c>
      <c r="AF74">
        <v>5073</v>
      </c>
      <c r="AG74">
        <v>260</v>
      </c>
      <c r="AH74">
        <v>979</v>
      </c>
      <c r="AI74">
        <v>2</v>
      </c>
      <c r="AJ74">
        <v>87</v>
      </c>
      <c r="AK74">
        <v>1648</v>
      </c>
      <c r="AL74">
        <v>460</v>
      </c>
      <c r="AM74">
        <v>9</v>
      </c>
      <c r="AN74">
        <v>902</v>
      </c>
      <c r="AO74" t="s">
        <v>826</v>
      </c>
    </row>
    <row r="75" spans="1:41">
      <c r="A75">
        <v>67</v>
      </c>
      <c r="B75" s="2">
        <v>45296.6108564815</v>
      </c>
      <c r="C75">
        <v>268.775</v>
      </c>
      <c r="D75" t="s">
        <v>821</v>
      </c>
      <c r="E75" t="s">
        <v>822</v>
      </c>
      <c r="F75">
        <v>81</v>
      </c>
      <c r="G75">
        <f t="shared" ref="G75:G106" si="2">F74-F75</f>
        <v>0</v>
      </c>
      <c r="H75">
        <v>1</v>
      </c>
      <c r="I75">
        <v>4079</v>
      </c>
      <c r="J75">
        <v>5073</v>
      </c>
      <c r="K75">
        <v>31600</v>
      </c>
      <c r="L75">
        <v>-12494</v>
      </c>
      <c r="M75">
        <v>-12494</v>
      </c>
      <c r="N75">
        <v>33.4</v>
      </c>
      <c r="O75">
        <v>20</v>
      </c>
      <c r="P75">
        <v>65535</v>
      </c>
      <c r="Q75">
        <v>15147</v>
      </c>
      <c r="R75">
        <v>-32767</v>
      </c>
      <c r="S75">
        <v>32.4</v>
      </c>
      <c r="T75">
        <v>12</v>
      </c>
      <c r="U75">
        <v>100</v>
      </c>
      <c r="V75">
        <v>34800</v>
      </c>
      <c r="W75">
        <v>5000</v>
      </c>
      <c r="X75" t="s">
        <v>823</v>
      </c>
      <c r="Y75" t="s">
        <v>830</v>
      </c>
      <c r="Z75" t="s">
        <v>828</v>
      </c>
      <c r="AA75">
        <v>2</v>
      </c>
      <c r="AB75">
        <v>6</v>
      </c>
      <c r="AC75">
        <v>76</v>
      </c>
      <c r="AD75">
        <v>4</v>
      </c>
      <c r="AE75">
        <v>4076</v>
      </c>
      <c r="AF75">
        <v>5073</v>
      </c>
      <c r="AG75">
        <v>264</v>
      </c>
      <c r="AH75">
        <v>993</v>
      </c>
      <c r="AI75">
        <v>2</v>
      </c>
      <c r="AJ75">
        <v>87</v>
      </c>
      <c r="AK75">
        <v>1648</v>
      </c>
      <c r="AL75">
        <v>474</v>
      </c>
      <c r="AM75">
        <v>9</v>
      </c>
      <c r="AN75">
        <v>911</v>
      </c>
      <c r="AO75" t="s">
        <v>826</v>
      </c>
    </row>
    <row r="76" spans="1:41">
      <c r="A76">
        <v>68</v>
      </c>
      <c r="B76" s="2">
        <v>45296.6109027778</v>
      </c>
      <c r="C76">
        <v>272.788</v>
      </c>
      <c r="D76" t="s">
        <v>821</v>
      </c>
      <c r="E76" t="s">
        <v>822</v>
      </c>
      <c r="F76">
        <v>81</v>
      </c>
      <c r="G76">
        <f t="shared" si="2"/>
        <v>0</v>
      </c>
      <c r="H76">
        <v>1</v>
      </c>
      <c r="I76">
        <v>4065</v>
      </c>
      <c r="J76">
        <v>5073</v>
      </c>
      <c r="K76">
        <v>31576</v>
      </c>
      <c r="L76">
        <v>-12494</v>
      </c>
      <c r="M76">
        <v>-12494</v>
      </c>
      <c r="N76">
        <v>33.5</v>
      </c>
      <c r="O76">
        <v>20</v>
      </c>
      <c r="P76">
        <v>65535</v>
      </c>
      <c r="Q76">
        <v>15092</v>
      </c>
      <c r="R76">
        <v>-32767</v>
      </c>
      <c r="S76">
        <v>32.5</v>
      </c>
      <c r="T76">
        <v>12</v>
      </c>
      <c r="U76">
        <v>100</v>
      </c>
      <c r="V76">
        <v>34800</v>
      </c>
      <c r="W76">
        <v>5000</v>
      </c>
      <c r="X76" t="s">
        <v>823</v>
      </c>
      <c r="Y76" t="s">
        <v>830</v>
      </c>
      <c r="Z76" t="s">
        <v>828</v>
      </c>
      <c r="AA76">
        <v>2</v>
      </c>
      <c r="AB76">
        <v>6</v>
      </c>
      <c r="AC76">
        <v>76</v>
      </c>
      <c r="AD76">
        <v>4</v>
      </c>
      <c r="AE76">
        <v>4062</v>
      </c>
      <c r="AF76">
        <v>5073</v>
      </c>
      <c r="AG76">
        <v>268</v>
      </c>
      <c r="AH76">
        <v>1007</v>
      </c>
      <c r="AI76">
        <v>2</v>
      </c>
      <c r="AJ76">
        <v>87</v>
      </c>
      <c r="AK76">
        <v>1648</v>
      </c>
      <c r="AL76">
        <v>488</v>
      </c>
      <c r="AM76">
        <v>9</v>
      </c>
      <c r="AN76">
        <v>928</v>
      </c>
      <c r="AO76" t="s">
        <v>826</v>
      </c>
    </row>
    <row r="77" spans="1:41">
      <c r="A77">
        <v>69</v>
      </c>
      <c r="B77" s="2">
        <v>45296.6109490741</v>
      </c>
      <c r="C77">
        <v>276.802</v>
      </c>
      <c r="D77" t="s">
        <v>821</v>
      </c>
      <c r="E77" t="s">
        <v>822</v>
      </c>
      <c r="F77">
        <v>80</v>
      </c>
      <c r="G77">
        <f t="shared" si="2"/>
        <v>1</v>
      </c>
      <c r="H77">
        <v>1</v>
      </c>
      <c r="I77">
        <v>4051</v>
      </c>
      <c r="J77">
        <v>5073</v>
      </c>
      <c r="K77">
        <v>31552</v>
      </c>
      <c r="L77">
        <v>-12495</v>
      </c>
      <c r="M77">
        <v>-12494</v>
      </c>
      <c r="N77">
        <v>33.6</v>
      </c>
      <c r="O77">
        <v>19</v>
      </c>
      <c r="P77">
        <v>65535</v>
      </c>
      <c r="Q77">
        <v>15037</v>
      </c>
      <c r="R77">
        <v>-32767</v>
      </c>
      <c r="S77">
        <v>32.6</v>
      </c>
      <c r="T77">
        <v>12</v>
      </c>
      <c r="U77">
        <v>100</v>
      </c>
      <c r="V77">
        <v>34800</v>
      </c>
      <c r="W77">
        <v>5000</v>
      </c>
      <c r="X77" t="s">
        <v>823</v>
      </c>
      <c r="Y77" t="s">
        <v>830</v>
      </c>
      <c r="Z77" t="s">
        <v>828</v>
      </c>
      <c r="AA77">
        <v>2</v>
      </c>
      <c r="AB77">
        <v>6</v>
      </c>
      <c r="AC77">
        <v>76</v>
      </c>
      <c r="AD77">
        <v>4</v>
      </c>
      <c r="AE77">
        <v>4048</v>
      </c>
      <c r="AF77">
        <v>5073</v>
      </c>
      <c r="AG77">
        <v>272</v>
      </c>
      <c r="AH77">
        <v>1021</v>
      </c>
      <c r="AI77">
        <v>2</v>
      </c>
      <c r="AJ77">
        <v>87</v>
      </c>
      <c r="AK77">
        <v>1648</v>
      </c>
      <c r="AL77">
        <v>502</v>
      </c>
      <c r="AM77">
        <v>9</v>
      </c>
      <c r="AN77">
        <v>912</v>
      </c>
      <c r="AO77" t="s">
        <v>826</v>
      </c>
    </row>
    <row r="78" spans="1:41">
      <c r="A78">
        <v>70</v>
      </c>
      <c r="B78" s="2">
        <v>45296.6109953704</v>
      </c>
      <c r="C78">
        <v>280.815</v>
      </c>
      <c r="D78" t="s">
        <v>821</v>
      </c>
      <c r="E78" t="s">
        <v>822</v>
      </c>
      <c r="F78">
        <v>80</v>
      </c>
      <c r="G78">
        <f t="shared" si="2"/>
        <v>0</v>
      </c>
      <c r="H78">
        <v>1</v>
      </c>
      <c r="I78">
        <v>4038</v>
      </c>
      <c r="J78">
        <v>5073</v>
      </c>
      <c r="K78">
        <v>31528</v>
      </c>
      <c r="L78">
        <v>-12494</v>
      </c>
      <c r="M78">
        <v>-12494</v>
      </c>
      <c r="N78">
        <v>33.6</v>
      </c>
      <c r="O78">
        <v>19</v>
      </c>
      <c r="P78">
        <v>65535</v>
      </c>
      <c r="Q78">
        <v>14985</v>
      </c>
      <c r="R78">
        <v>-32767</v>
      </c>
      <c r="S78">
        <v>32.6</v>
      </c>
      <c r="T78">
        <v>12</v>
      </c>
      <c r="U78">
        <v>100</v>
      </c>
      <c r="V78">
        <v>34800</v>
      </c>
      <c r="W78">
        <v>5000</v>
      </c>
      <c r="X78" t="s">
        <v>823</v>
      </c>
      <c r="Y78" t="s">
        <v>830</v>
      </c>
      <c r="Z78" t="s">
        <v>828</v>
      </c>
      <c r="AA78">
        <v>2</v>
      </c>
      <c r="AB78">
        <v>6</v>
      </c>
      <c r="AC78">
        <v>76</v>
      </c>
      <c r="AD78">
        <v>4</v>
      </c>
      <c r="AE78">
        <v>4034</v>
      </c>
      <c r="AF78">
        <v>5073</v>
      </c>
      <c r="AG78">
        <v>276</v>
      </c>
      <c r="AH78">
        <v>1035</v>
      </c>
      <c r="AI78">
        <v>2</v>
      </c>
      <c r="AJ78">
        <v>87</v>
      </c>
      <c r="AK78">
        <v>1648</v>
      </c>
      <c r="AL78">
        <v>516</v>
      </c>
      <c r="AM78">
        <v>9</v>
      </c>
      <c r="AN78">
        <v>903</v>
      </c>
      <c r="AO78" t="s">
        <v>826</v>
      </c>
    </row>
    <row r="79" spans="1:41">
      <c r="A79">
        <v>71</v>
      </c>
      <c r="B79" s="2">
        <v>45296.6110416667</v>
      </c>
      <c r="C79">
        <v>284.83</v>
      </c>
      <c r="D79" t="s">
        <v>821</v>
      </c>
      <c r="E79" t="s">
        <v>822</v>
      </c>
      <c r="F79">
        <v>80</v>
      </c>
      <c r="G79">
        <f t="shared" si="2"/>
        <v>0</v>
      </c>
      <c r="H79">
        <v>1</v>
      </c>
      <c r="I79">
        <v>4024</v>
      </c>
      <c r="J79">
        <v>5073</v>
      </c>
      <c r="K79">
        <v>31504</v>
      </c>
      <c r="L79">
        <v>-12494</v>
      </c>
      <c r="M79">
        <v>-12494</v>
      </c>
      <c r="N79">
        <v>33.7</v>
      </c>
      <c r="O79">
        <v>19</v>
      </c>
      <c r="P79">
        <v>65535</v>
      </c>
      <c r="Q79">
        <v>14930</v>
      </c>
      <c r="R79">
        <v>-32767</v>
      </c>
      <c r="S79">
        <v>32.7</v>
      </c>
      <c r="T79">
        <v>12</v>
      </c>
      <c r="U79">
        <v>100</v>
      </c>
      <c r="V79">
        <v>34800</v>
      </c>
      <c r="W79">
        <v>5000</v>
      </c>
      <c r="X79" t="s">
        <v>823</v>
      </c>
      <c r="Y79" t="s">
        <v>830</v>
      </c>
      <c r="Z79" t="s">
        <v>828</v>
      </c>
      <c r="AA79">
        <v>2</v>
      </c>
      <c r="AB79">
        <v>6</v>
      </c>
      <c r="AC79">
        <v>76</v>
      </c>
      <c r="AD79">
        <v>4</v>
      </c>
      <c r="AE79">
        <v>4020</v>
      </c>
      <c r="AF79">
        <v>5073</v>
      </c>
      <c r="AG79">
        <v>280</v>
      </c>
      <c r="AH79">
        <v>1049</v>
      </c>
      <c r="AI79">
        <v>2</v>
      </c>
      <c r="AJ79">
        <v>87</v>
      </c>
      <c r="AK79">
        <v>1648</v>
      </c>
      <c r="AL79">
        <v>530</v>
      </c>
      <c r="AM79">
        <v>9</v>
      </c>
      <c r="AN79">
        <v>899</v>
      </c>
      <c r="AO79" t="s">
        <v>826</v>
      </c>
    </row>
    <row r="80" spans="1:41">
      <c r="A80">
        <v>72</v>
      </c>
      <c r="B80" s="2">
        <v>45296.611087963</v>
      </c>
      <c r="C80">
        <v>288.843</v>
      </c>
      <c r="D80" t="s">
        <v>821</v>
      </c>
      <c r="E80" t="s">
        <v>822</v>
      </c>
      <c r="F80">
        <v>80</v>
      </c>
      <c r="G80">
        <f t="shared" si="2"/>
        <v>0</v>
      </c>
      <c r="H80">
        <v>1</v>
      </c>
      <c r="I80">
        <v>4010</v>
      </c>
      <c r="J80">
        <v>5073</v>
      </c>
      <c r="K80">
        <v>31480</v>
      </c>
      <c r="L80">
        <v>-12494</v>
      </c>
      <c r="M80">
        <v>-12494</v>
      </c>
      <c r="N80">
        <v>33.8</v>
      </c>
      <c r="O80">
        <v>19</v>
      </c>
      <c r="P80">
        <v>65535</v>
      </c>
      <c r="Q80">
        <v>14875</v>
      </c>
      <c r="R80">
        <v>-32767</v>
      </c>
      <c r="S80">
        <v>32.8</v>
      </c>
      <c r="T80">
        <v>12</v>
      </c>
      <c r="U80">
        <v>100</v>
      </c>
      <c r="V80">
        <v>34800</v>
      </c>
      <c r="W80">
        <v>5000</v>
      </c>
      <c r="X80" t="s">
        <v>823</v>
      </c>
      <c r="Y80" t="s">
        <v>830</v>
      </c>
      <c r="Z80" t="s">
        <v>828</v>
      </c>
      <c r="AA80">
        <v>2</v>
      </c>
      <c r="AB80">
        <v>6</v>
      </c>
      <c r="AC80">
        <v>76</v>
      </c>
      <c r="AD80">
        <v>4</v>
      </c>
      <c r="AE80">
        <v>4006</v>
      </c>
      <c r="AF80">
        <v>5073</v>
      </c>
      <c r="AG80">
        <v>284</v>
      </c>
      <c r="AH80">
        <v>1063</v>
      </c>
      <c r="AI80">
        <v>2</v>
      </c>
      <c r="AJ80">
        <v>87</v>
      </c>
      <c r="AK80">
        <v>1648</v>
      </c>
      <c r="AL80">
        <v>544</v>
      </c>
      <c r="AM80">
        <v>9</v>
      </c>
      <c r="AN80">
        <v>903</v>
      </c>
      <c r="AO80" t="s">
        <v>826</v>
      </c>
    </row>
    <row r="81" spans="1:41">
      <c r="A81">
        <v>73</v>
      </c>
      <c r="B81" s="2">
        <v>45296.6111342593</v>
      </c>
      <c r="C81">
        <v>292.853</v>
      </c>
      <c r="D81" t="s">
        <v>821</v>
      </c>
      <c r="E81" t="s">
        <v>822</v>
      </c>
      <c r="F81">
        <v>79</v>
      </c>
      <c r="G81">
        <f t="shared" si="2"/>
        <v>1</v>
      </c>
      <c r="H81">
        <v>1</v>
      </c>
      <c r="I81">
        <v>3996</v>
      </c>
      <c r="J81">
        <v>5073</v>
      </c>
      <c r="K81">
        <v>31456</v>
      </c>
      <c r="L81">
        <v>-12494</v>
      </c>
      <c r="M81">
        <v>-12494</v>
      </c>
      <c r="N81">
        <v>33.9</v>
      </c>
      <c r="O81">
        <v>19</v>
      </c>
      <c r="P81">
        <v>65535</v>
      </c>
      <c r="Q81">
        <v>14820</v>
      </c>
      <c r="R81">
        <v>-32767</v>
      </c>
      <c r="S81">
        <v>32.9</v>
      </c>
      <c r="T81">
        <v>12</v>
      </c>
      <c r="U81">
        <v>100</v>
      </c>
      <c r="V81">
        <v>34800</v>
      </c>
      <c r="W81">
        <v>5000</v>
      </c>
      <c r="X81" t="s">
        <v>823</v>
      </c>
      <c r="Y81" t="s">
        <v>830</v>
      </c>
      <c r="Z81" t="s">
        <v>828</v>
      </c>
      <c r="AA81">
        <v>2</v>
      </c>
      <c r="AB81">
        <v>6</v>
      </c>
      <c r="AC81">
        <v>76</v>
      </c>
      <c r="AD81">
        <v>4</v>
      </c>
      <c r="AE81">
        <v>3992</v>
      </c>
      <c r="AF81">
        <v>5073</v>
      </c>
      <c r="AG81">
        <v>288</v>
      </c>
      <c r="AH81">
        <v>1077</v>
      </c>
      <c r="AI81">
        <v>2</v>
      </c>
      <c r="AJ81">
        <v>87</v>
      </c>
      <c r="AK81">
        <v>1648</v>
      </c>
      <c r="AL81">
        <v>558</v>
      </c>
      <c r="AM81">
        <v>9</v>
      </c>
      <c r="AN81">
        <v>911</v>
      </c>
      <c r="AO81" t="s">
        <v>826</v>
      </c>
    </row>
    <row r="82" spans="1:41">
      <c r="A82">
        <v>74</v>
      </c>
      <c r="B82" s="2">
        <v>45296.6111805556</v>
      </c>
      <c r="C82">
        <v>296.864</v>
      </c>
      <c r="D82" t="s">
        <v>821</v>
      </c>
      <c r="E82" t="s">
        <v>822</v>
      </c>
      <c r="F82">
        <v>79</v>
      </c>
      <c r="G82">
        <f t="shared" si="2"/>
        <v>0</v>
      </c>
      <c r="H82">
        <v>1</v>
      </c>
      <c r="I82">
        <v>3982</v>
      </c>
      <c r="J82">
        <v>5073</v>
      </c>
      <c r="K82">
        <v>31432</v>
      </c>
      <c r="L82">
        <v>-12494</v>
      </c>
      <c r="M82">
        <v>-12494</v>
      </c>
      <c r="N82">
        <v>34</v>
      </c>
      <c r="O82">
        <v>19</v>
      </c>
      <c r="P82">
        <v>65535</v>
      </c>
      <c r="Q82">
        <v>14765</v>
      </c>
      <c r="R82">
        <v>-32767</v>
      </c>
      <c r="S82">
        <v>32.9</v>
      </c>
      <c r="T82">
        <v>12</v>
      </c>
      <c r="U82">
        <v>100</v>
      </c>
      <c r="V82">
        <v>34800</v>
      </c>
      <c r="W82">
        <v>5000</v>
      </c>
      <c r="X82" t="s">
        <v>823</v>
      </c>
      <c r="Y82" t="s">
        <v>830</v>
      </c>
      <c r="Z82" t="s">
        <v>828</v>
      </c>
      <c r="AA82">
        <v>2</v>
      </c>
      <c r="AB82">
        <v>6</v>
      </c>
      <c r="AC82">
        <v>76</v>
      </c>
      <c r="AD82">
        <v>4</v>
      </c>
      <c r="AE82">
        <v>3979</v>
      </c>
      <c r="AF82">
        <v>5073</v>
      </c>
      <c r="AG82">
        <v>292</v>
      </c>
      <c r="AH82">
        <v>1090</v>
      </c>
      <c r="AI82">
        <v>2</v>
      </c>
      <c r="AJ82">
        <v>87</v>
      </c>
      <c r="AK82">
        <v>1648</v>
      </c>
      <c r="AL82">
        <v>571</v>
      </c>
      <c r="AM82">
        <v>9</v>
      </c>
      <c r="AN82">
        <v>898</v>
      </c>
      <c r="AO82" t="s">
        <v>826</v>
      </c>
    </row>
    <row r="83" spans="1:41">
      <c r="A83">
        <v>75</v>
      </c>
      <c r="B83" s="2">
        <v>45296.6112268519</v>
      </c>
      <c r="C83">
        <v>300.864</v>
      </c>
      <c r="D83" t="s">
        <v>821</v>
      </c>
      <c r="E83" t="s">
        <v>822</v>
      </c>
      <c r="F83">
        <v>79</v>
      </c>
      <c r="G83">
        <f t="shared" si="2"/>
        <v>0</v>
      </c>
      <c r="H83">
        <v>1</v>
      </c>
      <c r="I83">
        <v>3968</v>
      </c>
      <c r="J83">
        <v>5073</v>
      </c>
      <c r="K83">
        <v>31400</v>
      </c>
      <c r="L83">
        <v>-12494</v>
      </c>
      <c r="M83">
        <v>-12494</v>
      </c>
      <c r="N83">
        <v>34.1</v>
      </c>
      <c r="O83">
        <v>19</v>
      </c>
      <c r="P83">
        <v>65535</v>
      </c>
      <c r="Q83">
        <v>14710</v>
      </c>
      <c r="R83">
        <v>-32767</v>
      </c>
      <c r="S83">
        <v>33</v>
      </c>
      <c r="T83">
        <v>12</v>
      </c>
      <c r="U83">
        <v>100</v>
      </c>
      <c r="V83">
        <v>34800</v>
      </c>
      <c r="W83">
        <v>5000</v>
      </c>
      <c r="X83" t="s">
        <v>823</v>
      </c>
      <c r="Y83" t="s">
        <v>830</v>
      </c>
      <c r="Z83" t="s">
        <v>828</v>
      </c>
      <c r="AA83">
        <v>2</v>
      </c>
      <c r="AB83">
        <v>6</v>
      </c>
      <c r="AC83">
        <v>76</v>
      </c>
      <c r="AD83">
        <v>4</v>
      </c>
      <c r="AE83">
        <v>3965</v>
      </c>
      <c r="AF83">
        <v>5073</v>
      </c>
      <c r="AG83">
        <v>296</v>
      </c>
      <c r="AH83">
        <v>1104</v>
      </c>
      <c r="AI83">
        <v>2</v>
      </c>
      <c r="AJ83">
        <v>87</v>
      </c>
      <c r="AK83">
        <v>1648</v>
      </c>
      <c r="AL83">
        <v>585</v>
      </c>
      <c r="AM83">
        <v>9</v>
      </c>
      <c r="AN83">
        <v>909</v>
      </c>
      <c r="AO83" t="s">
        <v>826</v>
      </c>
    </row>
    <row r="84" spans="1:41">
      <c r="A84">
        <v>76</v>
      </c>
      <c r="B84" s="2">
        <v>45296.6112731481</v>
      </c>
      <c r="C84">
        <v>304.877</v>
      </c>
      <c r="D84" t="s">
        <v>821</v>
      </c>
      <c r="E84" t="s">
        <v>822</v>
      </c>
      <c r="F84">
        <v>78</v>
      </c>
      <c r="G84">
        <f t="shared" si="2"/>
        <v>1</v>
      </c>
      <c r="H84">
        <v>1</v>
      </c>
      <c r="I84">
        <v>3954</v>
      </c>
      <c r="J84">
        <v>5073</v>
      </c>
      <c r="K84">
        <v>31384</v>
      </c>
      <c r="L84">
        <v>-12494</v>
      </c>
      <c r="M84">
        <v>-12494</v>
      </c>
      <c r="N84">
        <v>34.1</v>
      </c>
      <c r="O84">
        <v>19</v>
      </c>
      <c r="P84">
        <v>65535</v>
      </c>
      <c r="Q84">
        <v>14655</v>
      </c>
      <c r="R84">
        <v>-32767</v>
      </c>
      <c r="S84">
        <v>33.1</v>
      </c>
      <c r="T84">
        <v>12</v>
      </c>
      <c r="U84">
        <v>100</v>
      </c>
      <c r="V84">
        <v>34800</v>
      </c>
      <c r="W84">
        <v>5000</v>
      </c>
      <c r="X84" t="s">
        <v>823</v>
      </c>
      <c r="Y84" t="s">
        <v>830</v>
      </c>
      <c r="Z84" t="s">
        <v>828</v>
      </c>
      <c r="AA84">
        <v>2</v>
      </c>
      <c r="AB84">
        <v>6</v>
      </c>
      <c r="AC84">
        <v>76</v>
      </c>
      <c r="AD84">
        <v>4</v>
      </c>
      <c r="AE84">
        <v>3951</v>
      </c>
      <c r="AF84">
        <v>5073</v>
      </c>
      <c r="AG84">
        <v>300</v>
      </c>
      <c r="AH84">
        <v>1118</v>
      </c>
      <c r="AI84">
        <v>2</v>
      </c>
      <c r="AJ84">
        <v>87</v>
      </c>
      <c r="AK84">
        <v>1648</v>
      </c>
      <c r="AL84">
        <v>599</v>
      </c>
      <c r="AM84">
        <v>9</v>
      </c>
      <c r="AN84">
        <v>915</v>
      </c>
      <c r="AO84" t="s">
        <v>826</v>
      </c>
    </row>
    <row r="85" spans="1:41">
      <c r="A85">
        <v>77</v>
      </c>
      <c r="B85" s="2">
        <v>45296.6113194444</v>
      </c>
      <c r="C85">
        <v>308.89</v>
      </c>
      <c r="D85" t="s">
        <v>821</v>
      </c>
      <c r="E85" t="s">
        <v>822</v>
      </c>
      <c r="F85">
        <v>78</v>
      </c>
      <c r="G85">
        <f t="shared" si="2"/>
        <v>0</v>
      </c>
      <c r="H85">
        <v>1</v>
      </c>
      <c r="I85">
        <v>3940</v>
      </c>
      <c r="J85">
        <v>5073</v>
      </c>
      <c r="K85">
        <v>31352</v>
      </c>
      <c r="L85">
        <v>-12494</v>
      </c>
      <c r="M85">
        <v>-12494</v>
      </c>
      <c r="N85">
        <v>34.2</v>
      </c>
      <c r="O85">
        <v>19</v>
      </c>
      <c r="P85">
        <v>65535</v>
      </c>
      <c r="Q85">
        <v>14600</v>
      </c>
      <c r="R85">
        <v>-32767</v>
      </c>
      <c r="S85">
        <v>33.1</v>
      </c>
      <c r="T85">
        <v>12</v>
      </c>
      <c r="U85">
        <v>100</v>
      </c>
      <c r="V85">
        <v>34800</v>
      </c>
      <c r="W85">
        <v>5000</v>
      </c>
      <c r="X85" t="s">
        <v>823</v>
      </c>
      <c r="Y85" t="s">
        <v>830</v>
      </c>
      <c r="Z85" t="s">
        <v>828</v>
      </c>
      <c r="AA85">
        <v>2</v>
      </c>
      <c r="AB85">
        <v>6</v>
      </c>
      <c r="AC85">
        <v>76</v>
      </c>
      <c r="AD85">
        <v>4</v>
      </c>
      <c r="AE85">
        <v>3937</v>
      </c>
      <c r="AF85">
        <v>5073</v>
      </c>
      <c r="AG85">
        <v>304</v>
      </c>
      <c r="AH85">
        <v>1132</v>
      </c>
      <c r="AI85">
        <v>2</v>
      </c>
      <c r="AJ85">
        <v>87</v>
      </c>
      <c r="AK85">
        <v>1648</v>
      </c>
      <c r="AL85">
        <v>613</v>
      </c>
      <c r="AM85">
        <v>9</v>
      </c>
      <c r="AN85">
        <v>907</v>
      </c>
      <c r="AO85" t="s">
        <v>826</v>
      </c>
    </row>
    <row r="86" spans="1:41">
      <c r="A86">
        <v>78</v>
      </c>
      <c r="B86" s="2">
        <v>45296.6113657407</v>
      </c>
      <c r="C86">
        <v>312.902</v>
      </c>
      <c r="D86" t="s">
        <v>821</v>
      </c>
      <c r="E86" t="s">
        <v>822</v>
      </c>
      <c r="F86">
        <v>78</v>
      </c>
      <c r="G86">
        <f t="shared" si="2"/>
        <v>0</v>
      </c>
      <c r="H86">
        <v>1</v>
      </c>
      <c r="I86">
        <v>3927</v>
      </c>
      <c r="J86">
        <v>5073</v>
      </c>
      <c r="K86">
        <v>31328</v>
      </c>
      <c r="L86">
        <v>-12495</v>
      </c>
      <c r="M86">
        <v>-12495</v>
      </c>
      <c r="N86">
        <v>34.3</v>
      </c>
      <c r="O86">
        <v>19</v>
      </c>
      <c r="P86">
        <v>65535</v>
      </c>
      <c r="Q86">
        <v>14549</v>
      </c>
      <c r="R86">
        <v>-32767</v>
      </c>
      <c r="S86">
        <v>33.2</v>
      </c>
      <c r="T86">
        <v>12</v>
      </c>
      <c r="U86">
        <v>100</v>
      </c>
      <c r="V86">
        <v>34800</v>
      </c>
      <c r="W86">
        <v>5000</v>
      </c>
      <c r="X86" t="s">
        <v>823</v>
      </c>
      <c r="Y86" t="s">
        <v>830</v>
      </c>
      <c r="Z86" t="s">
        <v>828</v>
      </c>
      <c r="AA86">
        <v>2</v>
      </c>
      <c r="AB86">
        <v>6</v>
      </c>
      <c r="AC86">
        <v>76</v>
      </c>
      <c r="AD86">
        <v>4</v>
      </c>
      <c r="AE86">
        <v>3923</v>
      </c>
      <c r="AF86">
        <v>5073</v>
      </c>
      <c r="AG86">
        <v>308</v>
      </c>
      <c r="AH86">
        <v>1146</v>
      </c>
      <c r="AI86">
        <v>2</v>
      </c>
      <c r="AJ86">
        <v>87</v>
      </c>
      <c r="AK86">
        <v>1648</v>
      </c>
      <c r="AL86">
        <v>627</v>
      </c>
      <c r="AM86">
        <v>9</v>
      </c>
      <c r="AN86">
        <v>926</v>
      </c>
      <c r="AO86" t="s">
        <v>826</v>
      </c>
    </row>
    <row r="87" spans="1:41">
      <c r="A87">
        <v>79</v>
      </c>
      <c r="B87" s="2">
        <v>45296.611412037</v>
      </c>
      <c r="C87">
        <v>316.916</v>
      </c>
      <c r="D87" t="s">
        <v>821</v>
      </c>
      <c r="E87" t="s">
        <v>822</v>
      </c>
      <c r="F87">
        <v>78</v>
      </c>
      <c r="G87">
        <f t="shared" si="2"/>
        <v>0</v>
      </c>
      <c r="H87">
        <v>1</v>
      </c>
      <c r="I87">
        <v>3913</v>
      </c>
      <c r="J87">
        <v>5073</v>
      </c>
      <c r="K87">
        <v>31304</v>
      </c>
      <c r="L87">
        <v>-12495</v>
      </c>
      <c r="M87">
        <v>-12495</v>
      </c>
      <c r="N87">
        <v>34.3</v>
      </c>
      <c r="O87">
        <v>19</v>
      </c>
      <c r="P87">
        <v>65535</v>
      </c>
      <c r="Q87">
        <v>14495</v>
      </c>
      <c r="R87">
        <v>-32767</v>
      </c>
      <c r="S87">
        <v>33.3</v>
      </c>
      <c r="T87">
        <v>12</v>
      </c>
      <c r="U87">
        <v>100</v>
      </c>
      <c r="V87">
        <v>34800</v>
      </c>
      <c r="W87">
        <v>5000</v>
      </c>
      <c r="X87" t="s">
        <v>823</v>
      </c>
      <c r="Y87" t="s">
        <v>830</v>
      </c>
      <c r="Z87" t="s">
        <v>828</v>
      </c>
      <c r="AA87">
        <v>2</v>
      </c>
      <c r="AB87">
        <v>6</v>
      </c>
      <c r="AC87">
        <v>76</v>
      </c>
      <c r="AD87">
        <v>4</v>
      </c>
      <c r="AE87">
        <v>3909</v>
      </c>
      <c r="AF87">
        <v>5073</v>
      </c>
      <c r="AG87">
        <v>312</v>
      </c>
      <c r="AH87">
        <v>1160</v>
      </c>
      <c r="AI87">
        <v>2</v>
      </c>
      <c r="AJ87">
        <v>87</v>
      </c>
      <c r="AK87">
        <v>1648</v>
      </c>
      <c r="AL87">
        <v>641</v>
      </c>
      <c r="AM87">
        <v>9</v>
      </c>
      <c r="AN87">
        <v>907</v>
      </c>
      <c r="AO87" t="s">
        <v>826</v>
      </c>
    </row>
    <row r="88" spans="1:41">
      <c r="A88">
        <v>80</v>
      </c>
      <c r="B88" s="2">
        <v>45296.6114583333</v>
      </c>
      <c r="C88">
        <v>320.928</v>
      </c>
      <c r="D88" t="s">
        <v>821</v>
      </c>
      <c r="E88" t="s">
        <v>822</v>
      </c>
      <c r="F88">
        <v>77</v>
      </c>
      <c r="G88">
        <f t="shared" si="2"/>
        <v>1</v>
      </c>
      <c r="H88">
        <v>1</v>
      </c>
      <c r="I88">
        <v>3899</v>
      </c>
      <c r="J88">
        <v>5073</v>
      </c>
      <c r="K88">
        <v>31280</v>
      </c>
      <c r="L88">
        <v>-12495</v>
      </c>
      <c r="M88">
        <v>-12495</v>
      </c>
      <c r="N88">
        <v>34.4</v>
      </c>
      <c r="O88">
        <v>19</v>
      </c>
      <c r="P88">
        <v>65535</v>
      </c>
      <c r="Q88">
        <v>14440</v>
      </c>
      <c r="R88">
        <v>-32767</v>
      </c>
      <c r="S88">
        <v>33.4</v>
      </c>
      <c r="T88">
        <v>12</v>
      </c>
      <c r="U88">
        <v>100</v>
      </c>
      <c r="V88">
        <v>34800</v>
      </c>
      <c r="W88">
        <v>5000</v>
      </c>
      <c r="X88" t="s">
        <v>823</v>
      </c>
      <c r="Y88" t="s">
        <v>830</v>
      </c>
      <c r="Z88" t="s">
        <v>828</v>
      </c>
      <c r="AA88">
        <v>2</v>
      </c>
      <c r="AB88">
        <v>6</v>
      </c>
      <c r="AC88">
        <v>76</v>
      </c>
      <c r="AD88">
        <v>4</v>
      </c>
      <c r="AE88">
        <v>3895</v>
      </c>
      <c r="AF88">
        <v>5073</v>
      </c>
      <c r="AG88">
        <v>316</v>
      </c>
      <c r="AH88">
        <v>1174</v>
      </c>
      <c r="AI88">
        <v>2</v>
      </c>
      <c r="AJ88">
        <v>87</v>
      </c>
      <c r="AK88">
        <v>1648</v>
      </c>
      <c r="AL88">
        <v>655</v>
      </c>
      <c r="AM88">
        <v>9</v>
      </c>
      <c r="AN88">
        <v>907</v>
      </c>
      <c r="AO88" t="s">
        <v>826</v>
      </c>
    </row>
    <row r="89" spans="1:41">
      <c r="A89">
        <v>81</v>
      </c>
      <c r="B89" s="2">
        <v>45296.6115046296</v>
      </c>
      <c r="C89">
        <v>324.94</v>
      </c>
      <c r="D89" t="s">
        <v>821</v>
      </c>
      <c r="E89" t="s">
        <v>822</v>
      </c>
      <c r="F89">
        <v>77</v>
      </c>
      <c r="G89">
        <f t="shared" si="2"/>
        <v>0</v>
      </c>
      <c r="H89">
        <v>1</v>
      </c>
      <c r="I89">
        <v>3885</v>
      </c>
      <c r="J89">
        <v>5073</v>
      </c>
      <c r="K89">
        <v>31256</v>
      </c>
      <c r="L89">
        <v>-12495</v>
      </c>
      <c r="M89">
        <v>-12495</v>
      </c>
      <c r="N89">
        <v>34.5</v>
      </c>
      <c r="O89">
        <v>19</v>
      </c>
      <c r="P89">
        <v>65535</v>
      </c>
      <c r="Q89">
        <v>14385</v>
      </c>
      <c r="R89">
        <v>-32767</v>
      </c>
      <c r="S89">
        <v>33.4</v>
      </c>
      <c r="T89">
        <v>12</v>
      </c>
      <c r="U89">
        <v>100</v>
      </c>
      <c r="V89">
        <v>34800</v>
      </c>
      <c r="W89">
        <v>5000</v>
      </c>
      <c r="X89" t="s">
        <v>823</v>
      </c>
      <c r="Y89" t="s">
        <v>830</v>
      </c>
      <c r="Z89" t="s">
        <v>828</v>
      </c>
      <c r="AA89">
        <v>3</v>
      </c>
      <c r="AB89">
        <v>6</v>
      </c>
      <c r="AC89">
        <v>76</v>
      </c>
      <c r="AD89">
        <v>4</v>
      </c>
      <c r="AE89">
        <v>3881</v>
      </c>
      <c r="AF89">
        <v>5073</v>
      </c>
      <c r="AG89">
        <v>320</v>
      </c>
      <c r="AH89">
        <v>1188</v>
      </c>
      <c r="AI89">
        <v>2</v>
      </c>
      <c r="AJ89">
        <v>87</v>
      </c>
      <c r="AK89">
        <v>1648</v>
      </c>
      <c r="AL89">
        <v>669</v>
      </c>
      <c r="AM89">
        <v>9</v>
      </c>
      <c r="AN89">
        <v>899</v>
      </c>
      <c r="AO89" t="s">
        <v>826</v>
      </c>
    </row>
    <row r="90" spans="1:41">
      <c r="A90">
        <v>82</v>
      </c>
      <c r="B90" s="2">
        <v>45296.6115509259</v>
      </c>
      <c r="C90">
        <v>328.952</v>
      </c>
      <c r="D90" t="s">
        <v>821</v>
      </c>
      <c r="E90" t="s">
        <v>822</v>
      </c>
      <c r="F90">
        <v>77</v>
      </c>
      <c r="G90">
        <f t="shared" si="2"/>
        <v>0</v>
      </c>
      <c r="H90">
        <v>1</v>
      </c>
      <c r="I90">
        <v>3871</v>
      </c>
      <c r="J90">
        <v>5073</v>
      </c>
      <c r="K90">
        <v>31232</v>
      </c>
      <c r="L90">
        <v>-12494</v>
      </c>
      <c r="M90">
        <v>-12495</v>
      </c>
      <c r="N90">
        <v>34.6</v>
      </c>
      <c r="O90">
        <v>19</v>
      </c>
      <c r="P90">
        <v>65535</v>
      </c>
      <c r="Q90">
        <v>14330</v>
      </c>
      <c r="R90">
        <v>-32767</v>
      </c>
      <c r="S90">
        <v>33.5</v>
      </c>
      <c r="T90">
        <v>12</v>
      </c>
      <c r="U90">
        <v>100</v>
      </c>
      <c r="V90">
        <v>34800</v>
      </c>
      <c r="W90">
        <v>5000</v>
      </c>
      <c r="X90" t="s">
        <v>823</v>
      </c>
      <c r="Y90" t="s">
        <v>830</v>
      </c>
      <c r="Z90" t="s">
        <v>828</v>
      </c>
      <c r="AA90">
        <v>3</v>
      </c>
      <c r="AB90">
        <v>6</v>
      </c>
      <c r="AC90">
        <v>76</v>
      </c>
      <c r="AD90">
        <v>4</v>
      </c>
      <c r="AE90">
        <v>3868</v>
      </c>
      <c r="AF90">
        <v>5073</v>
      </c>
      <c r="AG90">
        <v>324</v>
      </c>
      <c r="AH90">
        <v>1201</v>
      </c>
      <c r="AI90">
        <v>2</v>
      </c>
      <c r="AJ90">
        <v>87</v>
      </c>
      <c r="AK90">
        <v>1648</v>
      </c>
      <c r="AL90">
        <v>682</v>
      </c>
      <c r="AM90">
        <v>9</v>
      </c>
      <c r="AN90">
        <v>910</v>
      </c>
      <c r="AO90" t="s">
        <v>826</v>
      </c>
    </row>
    <row r="91" spans="1:41">
      <c r="A91">
        <v>83</v>
      </c>
      <c r="B91" s="2">
        <v>45296.6115972222</v>
      </c>
      <c r="C91">
        <v>332.961</v>
      </c>
      <c r="D91" t="s">
        <v>821</v>
      </c>
      <c r="E91" t="s">
        <v>822</v>
      </c>
      <c r="F91">
        <v>77</v>
      </c>
      <c r="G91">
        <f t="shared" si="2"/>
        <v>0</v>
      </c>
      <c r="H91">
        <v>1</v>
      </c>
      <c r="I91">
        <v>3857</v>
      </c>
      <c r="J91">
        <v>5073</v>
      </c>
      <c r="K91">
        <v>31208</v>
      </c>
      <c r="L91">
        <v>-12495</v>
      </c>
      <c r="M91">
        <v>-12495</v>
      </c>
      <c r="N91">
        <v>34.6</v>
      </c>
      <c r="O91">
        <v>19</v>
      </c>
      <c r="P91">
        <v>65535</v>
      </c>
      <c r="Q91">
        <v>14276</v>
      </c>
      <c r="R91">
        <v>-32767</v>
      </c>
      <c r="S91">
        <v>33.6</v>
      </c>
      <c r="T91">
        <v>12</v>
      </c>
      <c r="U91">
        <v>100</v>
      </c>
      <c r="V91">
        <v>34800</v>
      </c>
      <c r="W91">
        <v>5000</v>
      </c>
      <c r="X91" t="s">
        <v>823</v>
      </c>
      <c r="Y91" t="s">
        <v>830</v>
      </c>
      <c r="Z91" t="s">
        <v>828</v>
      </c>
      <c r="AA91">
        <v>3</v>
      </c>
      <c r="AB91">
        <v>6</v>
      </c>
      <c r="AC91">
        <v>76</v>
      </c>
      <c r="AD91">
        <v>4</v>
      </c>
      <c r="AE91">
        <v>3854</v>
      </c>
      <c r="AF91">
        <v>5073</v>
      </c>
      <c r="AG91">
        <v>328</v>
      </c>
      <c r="AH91">
        <v>1215</v>
      </c>
      <c r="AI91">
        <v>2</v>
      </c>
      <c r="AJ91">
        <v>87</v>
      </c>
      <c r="AK91">
        <v>1648</v>
      </c>
      <c r="AL91">
        <v>696</v>
      </c>
      <c r="AM91">
        <v>9</v>
      </c>
      <c r="AN91">
        <v>911</v>
      </c>
      <c r="AO91" t="s">
        <v>826</v>
      </c>
    </row>
    <row r="92" spans="1:41">
      <c r="A92">
        <v>84</v>
      </c>
      <c r="B92" s="2">
        <v>45296.6116435185</v>
      </c>
      <c r="C92">
        <v>336.976</v>
      </c>
      <c r="D92" t="s">
        <v>821</v>
      </c>
      <c r="E92" t="s">
        <v>822</v>
      </c>
      <c r="F92">
        <v>76</v>
      </c>
      <c r="G92">
        <f t="shared" si="2"/>
        <v>1</v>
      </c>
      <c r="H92">
        <v>1</v>
      </c>
      <c r="I92">
        <v>3843</v>
      </c>
      <c r="J92">
        <v>5073</v>
      </c>
      <c r="K92">
        <v>31184</v>
      </c>
      <c r="L92">
        <v>-12495</v>
      </c>
      <c r="M92">
        <v>-12495</v>
      </c>
      <c r="N92">
        <v>34.7</v>
      </c>
      <c r="O92">
        <v>18</v>
      </c>
      <c r="P92">
        <v>65535</v>
      </c>
      <c r="Q92">
        <v>14221</v>
      </c>
      <c r="R92">
        <v>-32767</v>
      </c>
      <c r="S92">
        <v>33.7</v>
      </c>
      <c r="T92">
        <v>12</v>
      </c>
      <c r="U92">
        <v>100</v>
      </c>
      <c r="V92">
        <v>34800</v>
      </c>
      <c r="W92">
        <v>5000</v>
      </c>
      <c r="X92" t="s">
        <v>823</v>
      </c>
      <c r="Y92" t="s">
        <v>830</v>
      </c>
      <c r="Z92" t="s">
        <v>828</v>
      </c>
      <c r="AA92">
        <v>3</v>
      </c>
      <c r="AB92">
        <v>6</v>
      </c>
      <c r="AC92">
        <v>76</v>
      </c>
      <c r="AD92">
        <v>4</v>
      </c>
      <c r="AE92">
        <v>3840</v>
      </c>
      <c r="AF92">
        <v>5073</v>
      </c>
      <c r="AG92">
        <v>332</v>
      </c>
      <c r="AH92">
        <v>1229</v>
      </c>
      <c r="AI92">
        <v>2</v>
      </c>
      <c r="AJ92">
        <v>87</v>
      </c>
      <c r="AK92">
        <v>1648</v>
      </c>
      <c r="AL92">
        <v>710</v>
      </c>
      <c r="AM92">
        <v>9</v>
      </c>
      <c r="AN92">
        <v>913</v>
      </c>
      <c r="AO92" t="s">
        <v>826</v>
      </c>
    </row>
    <row r="93" spans="1:41">
      <c r="A93">
        <v>85</v>
      </c>
      <c r="B93" s="2">
        <v>45296.6116898148</v>
      </c>
      <c r="C93">
        <v>340.989</v>
      </c>
      <c r="D93" t="s">
        <v>821</v>
      </c>
      <c r="E93" t="s">
        <v>822</v>
      </c>
      <c r="F93">
        <v>76</v>
      </c>
      <c r="G93">
        <f t="shared" si="2"/>
        <v>0</v>
      </c>
      <c r="H93">
        <v>1</v>
      </c>
      <c r="I93">
        <v>3829</v>
      </c>
      <c r="J93">
        <v>5073</v>
      </c>
      <c r="K93">
        <v>31168</v>
      </c>
      <c r="L93">
        <v>-12494</v>
      </c>
      <c r="M93">
        <v>-12495</v>
      </c>
      <c r="N93">
        <v>34.8</v>
      </c>
      <c r="O93">
        <v>18</v>
      </c>
      <c r="P93">
        <v>65535</v>
      </c>
      <c r="Q93">
        <v>14167</v>
      </c>
      <c r="R93">
        <v>-32767</v>
      </c>
      <c r="S93">
        <v>33.7</v>
      </c>
      <c r="T93">
        <v>12</v>
      </c>
      <c r="U93">
        <v>100</v>
      </c>
      <c r="V93">
        <v>34800</v>
      </c>
      <c r="W93">
        <v>5000</v>
      </c>
      <c r="X93" t="s">
        <v>823</v>
      </c>
      <c r="Y93" t="s">
        <v>830</v>
      </c>
      <c r="Z93" t="s">
        <v>828</v>
      </c>
      <c r="AA93">
        <v>3</v>
      </c>
      <c r="AB93">
        <v>6</v>
      </c>
      <c r="AC93">
        <v>76</v>
      </c>
      <c r="AD93">
        <v>4</v>
      </c>
      <c r="AE93">
        <v>3826</v>
      </c>
      <c r="AF93">
        <v>5073</v>
      </c>
      <c r="AG93">
        <v>336</v>
      </c>
      <c r="AH93">
        <v>1243</v>
      </c>
      <c r="AI93">
        <v>2</v>
      </c>
      <c r="AJ93">
        <v>87</v>
      </c>
      <c r="AK93">
        <v>1648</v>
      </c>
      <c r="AL93">
        <v>724</v>
      </c>
      <c r="AM93">
        <v>9</v>
      </c>
      <c r="AN93">
        <v>905</v>
      </c>
      <c r="AO93" t="s">
        <v>826</v>
      </c>
    </row>
    <row r="94" spans="1:41">
      <c r="A94">
        <v>86</v>
      </c>
      <c r="B94" s="2">
        <v>45296.6117361111</v>
      </c>
      <c r="C94">
        <v>344.991</v>
      </c>
      <c r="D94" t="s">
        <v>821</v>
      </c>
      <c r="E94" t="s">
        <v>822</v>
      </c>
      <c r="F94">
        <v>76</v>
      </c>
      <c r="G94">
        <f t="shared" si="2"/>
        <v>0</v>
      </c>
      <c r="H94">
        <v>1</v>
      </c>
      <c r="I94">
        <v>3815</v>
      </c>
      <c r="J94">
        <v>5073</v>
      </c>
      <c r="K94">
        <v>31136</v>
      </c>
      <c r="L94">
        <v>-12495</v>
      </c>
      <c r="M94">
        <v>-12495</v>
      </c>
      <c r="N94">
        <v>34.8</v>
      </c>
      <c r="O94">
        <v>18</v>
      </c>
      <c r="P94">
        <v>65535</v>
      </c>
      <c r="Q94">
        <v>14112</v>
      </c>
      <c r="R94">
        <v>-32767</v>
      </c>
      <c r="S94">
        <v>33.8</v>
      </c>
      <c r="T94">
        <v>12</v>
      </c>
      <c r="U94">
        <v>100</v>
      </c>
      <c r="V94">
        <v>34800</v>
      </c>
      <c r="W94">
        <v>5000</v>
      </c>
      <c r="X94" t="s">
        <v>823</v>
      </c>
      <c r="Y94" t="s">
        <v>830</v>
      </c>
      <c r="Z94" t="s">
        <v>828</v>
      </c>
      <c r="AA94">
        <v>3</v>
      </c>
      <c r="AB94">
        <v>6</v>
      </c>
      <c r="AC94">
        <v>76</v>
      </c>
      <c r="AD94">
        <v>4</v>
      </c>
      <c r="AE94">
        <v>3812</v>
      </c>
      <c r="AF94">
        <v>5073</v>
      </c>
      <c r="AG94">
        <v>340</v>
      </c>
      <c r="AH94">
        <v>1257</v>
      </c>
      <c r="AI94">
        <v>2</v>
      </c>
      <c r="AJ94">
        <v>87</v>
      </c>
      <c r="AK94">
        <v>1648</v>
      </c>
      <c r="AL94">
        <v>738</v>
      </c>
      <c r="AM94">
        <v>9</v>
      </c>
      <c r="AN94">
        <v>908</v>
      </c>
      <c r="AO94" t="s">
        <v>826</v>
      </c>
    </row>
    <row r="95" spans="1:41">
      <c r="A95">
        <v>87</v>
      </c>
      <c r="B95" s="2">
        <v>45296.6117824074</v>
      </c>
      <c r="C95">
        <v>349.004</v>
      </c>
      <c r="D95" t="s">
        <v>821</v>
      </c>
      <c r="E95" t="s">
        <v>822</v>
      </c>
      <c r="F95">
        <v>75</v>
      </c>
      <c r="G95">
        <f t="shared" si="2"/>
        <v>1</v>
      </c>
      <c r="H95">
        <v>1</v>
      </c>
      <c r="I95">
        <v>3802</v>
      </c>
      <c r="J95">
        <v>5073</v>
      </c>
      <c r="K95">
        <v>31112</v>
      </c>
      <c r="L95">
        <v>-12495</v>
      </c>
      <c r="M95">
        <v>-12495</v>
      </c>
      <c r="N95">
        <v>34.9</v>
      </c>
      <c r="O95">
        <v>18</v>
      </c>
      <c r="P95">
        <v>65535</v>
      </c>
      <c r="Q95">
        <v>14062</v>
      </c>
      <c r="R95">
        <v>-32767</v>
      </c>
      <c r="S95">
        <v>33.9</v>
      </c>
      <c r="T95">
        <v>12</v>
      </c>
      <c r="U95">
        <v>100</v>
      </c>
      <c r="V95">
        <v>34800</v>
      </c>
      <c r="W95">
        <v>5000</v>
      </c>
      <c r="X95" t="s">
        <v>823</v>
      </c>
      <c r="Y95" t="s">
        <v>830</v>
      </c>
      <c r="Z95" t="s">
        <v>828</v>
      </c>
      <c r="AA95">
        <v>3</v>
      </c>
      <c r="AB95">
        <v>6</v>
      </c>
      <c r="AC95">
        <v>76</v>
      </c>
      <c r="AD95">
        <v>4</v>
      </c>
      <c r="AE95">
        <v>3798</v>
      </c>
      <c r="AF95">
        <v>5073</v>
      </c>
      <c r="AG95">
        <v>344</v>
      </c>
      <c r="AH95">
        <v>1271</v>
      </c>
      <c r="AI95">
        <v>2</v>
      </c>
      <c r="AJ95">
        <v>87</v>
      </c>
      <c r="AK95">
        <v>1648</v>
      </c>
      <c r="AL95">
        <v>752</v>
      </c>
      <c r="AM95">
        <v>9</v>
      </c>
      <c r="AN95">
        <v>930</v>
      </c>
      <c r="AO95" t="s">
        <v>826</v>
      </c>
    </row>
    <row r="96" spans="1:41">
      <c r="A96">
        <v>88</v>
      </c>
      <c r="B96" s="2">
        <v>45296.6118287037</v>
      </c>
      <c r="C96">
        <v>353.019</v>
      </c>
      <c r="D96" t="s">
        <v>821</v>
      </c>
      <c r="E96" t="s">
        <v>822</v>
      </c>
      <c r="F96">
        <v>75</v>
      </c>
      <c r="G96">
        <f t="shared" si="2"/>
        <v>0</v>
      </c>
      <c r="H96">
        <v>1</v>
      </c>
      <c r="I96">
        <v>3788</v>
      </c>
      <c r="J96">
        <v>5073</v>
      </c>
      <c r="K96">
        <v>31088</v>
      </c>
      <c r="L96">
        <v>-12495</v>
      </c>
      <c r="M96">
        <v>-12495</v>
      </c>
      <c r="N96">
        <v>35</v>
      </c>
      <c r="O96">
        <v>18</v>
      </c>
      <c r="P96">
        <v>65535</v>
      </c>
      <c r="Q96">
        <v>14007</v>
      </c>
      <c r="R96">
        <v>-32767</v>
      </c>
      <c r="S96">
        <v>34</v>
      </c>
      <c r="T96">
        <v>12</v>
      </c>
      <c r="U96">
        <v>100</v>
      </c>
      <c r="V96">
        <v>34800</v>
      </c>
      <c r="W96">
        <v>5000</v>
      </c>
      <c r="X96" t="s">
        <v>823</v>
      </c>
      <c r="Y96" t="s">
        <v>830</v>
      </c>
      <c r="Z96" t="s">
        <v>828</v>
      </c>
      <c r="AA96">
        <v>3</v>
      </c>
      <c r="AB96">
        <v>6</v>
      </c>
      <c r="AC96">
        <v>76</v>
      </c>
      <c r="AD96">
        <v>4</v>
      </c>
      <c r="AE96">
        <v>3784</v>
      </c>
      <c r="AF96">
        <v>5073</v>
      </c>
      <c r="AG96">
        <v>348</v>
      </c>
      <c r="AH96">
        <v>1285</v>
      </c>
      <c r="AI96">
        <v>2</v>
      </c>
      <c r="AJ96">
        <v>87</v>
      </c>
      <c r="AK96">
        <v>1648</v>
      </c>
      <c r="AL96">
        <v>766</v>
      </c>
      <c r="AM96">
        <v>9</v>
      </c>
      <c r="AN96">
        <v>916</v>
      </c>
      <c r="AO96" t="s">
        <v>826</v>
      </c>
    </row>
    <row r="97" spans="1:41">
      <c r="A97">
        <v>89</v>
      </c>
      <c r="B97" s="2">
        <v>45296.611875</v>
      </c>
      <c r="C97">
        <v>357.033</v>
      </c>
      <c r="D97" t="s">
        <v>821</v>
      </c>
      <c r="E97" t="s">
        <v>822</v>
      </c>
      <c r="F97">
        <v>75</v>
      </c>
      <c r="G97">
        <f t="shared" si="2"/>
        <v>0</v>
      </c>
      <c r="H97">
        <v>1</v>
      </c>
      <c r="I97">
        <v>3774</v>
      </c>
      <c r="J97">
        <v>5073</v>
      </c>
      <c r="K97">
        <v>31064</v>
      </c>
      <c r="L97">
        <v>-12494</v>
      </c>
      <c r="M97">
        <v>-12495</v>
      </c>
      <c r="N97">
        <v>35.1</v>
      </c>
      <c r="O97">
        <v>18</v>
      </c>
      <c r="P97">
        <v>65535</v>
      </c>
      <c r="Q97">
        <v>13953</v>
      </c>
      <c r="R97">
        <v>-32767</v>
      </c>
      <c r="S97">
        <v>34</v>
      </c>
      <c r="T97">
        <v>12</v>
      </c>
      <c r="U97">
        <v>100</v>
      </c>
      <c r="V97">
        <v>34800</v>
      </c>
      <c r="W97">
        <v>5000</v>
      </c>
      <c r="X97" t="s">
        <v>823</v>
      </c>
      <c r="Y97" t="s">
        <v>830</v>
      </c>
      <c r="Z97" t="s">
        <v>828</v>
      </c>
      <c r="AA97">
        <v>3</v>
      </c>
      <c r="AB97">
        <v>6</v>
      </c>
      <c r="AC97">
        <v>76</v>
      </c>
      <c r="AD97">
        <v>4</v>
      </c>
      <c r="AE97">
        <v>3770</v>
      </c>
      <c r="AF97">
        <v>5073</v>
      </c>
      <c r="AG97">
        <v>352</v>
      </c>
      <c r="AH97">
        <v>1299</v>
      </c>
      <c r="AI97">
        <v>2</v>
      </c>
      <c r="AJ97">
        <v>87</v>
      </c>
      <c r="AK97">
        <v>1648</v>
      </c>
      <c r="AL97">
        <v>780</v>
      </c>
      <c r="AM97">
        <v>9</v>
      </c>
      <c r="AN97">
        <v>902</v>
      </c>
      <c r="AO97" t="s">
        <v>826</v>
      </c>
    </row>
    <row r="98" spans="1:41">
      <c r="A98">
        <v>90</v>
      </c>
      <c r="B98" s="2">
        <v>45296.6119212963</v>
      </c>
      <c r="C98">
        <v>361.035</v>
      </c>
      <c r="D98" t="s">
        <v>821</v>
      </c>
      <c r="E98" t="s">
        <v>822</v>
      </c>
      <c r="F98">
        <v>75</v>
      </c>
      <c r="G98">
        <f t="shared" si="2"/>
        <v>0</v>
      </c>
      <c r="H98">
        <v>1</v>
      </c>
      <c r="I98">
        <v>3760</v>
      </c>
      <c r="J98">
        <v>5073</v>
      </c>
      <c r="K98">
        <v>31040</v>
      </c>
      <c r="L98">
        <v>-12494</v>
      </c>
      <c r="M98">
        <v>-12495</v>
      </c>
      <c r="N98">
        <v>35.2</v>
      </c>
      <c r="O98">
        <v>18</v>
      </c>
      <c r="P98">
        <v>65535</v>
      </c>
      <c r="Q98">
        <v>13898</v>
      </c>
      <c r="R98">
        <v>-32767</v>
      </c>
      <c r="S98">
        <v>34.1</v>
      </c>
      <c r="T98">
        <v>12</v>
      </c>
      <c r="U98">
        <v>100</v>
      </c>
      <c r="V98">
        <v>34800</v>
      </c>
      <c r="W98">
        <v>5000</v>
      </c>
      <c r="X98" t="s">
        <v>823</v>
      </c>
      <c r="Y98" t="s">
        <v>830</v>
      </c>
      <c r="Z98" t="s">
        <v>828</v>
      </c>
      <c r="AA98">
        <v>3</v>
      </c>
      <c r="AB98">
        <v>6</v>
      </c>
      <c r="AC98">
        <v>76</v>
      </c>
      <c r="AD98">
        <v>4</v>
      </c>
      <c r="AE98">
        <v>3756</v>
      </c>
      <c r="AF98">
        <v>5073</v>
      </c>
      <c r="AG98">
        <v>356</v>
      </c>
      <c r="AH98">
        <v>1313</v>
      </c>
      <c r="AI98">
        <v>2</v>
      </c>
      <c r="AJ98">
        <v>87</v>
      </c>
      <c r="AK98">
        <v>1648</v>
      </c>
      <c r="AL98">
        <v>794</v>
      </c>
      <c r="AM98">
        <v>9</v>
      </c>
      <c r="AN98">
        <v>900</v>
      </c>
      <c r="AO98" t="s">
        <v>826</v>
      </c>
    </row>
    <row r="99" spans="1:41">
      <c r="A99">
        <v>91</v>
      </c>
      <c r="B99" s="2">
        <v>45296.6119675926</v>
      </c>
      <c r="C99">
        <v>365.036</v>
      </c>
      <c r="D99" t="s">
        <v>821</v>
      </c>
      <c r="E99" t="s">
        <v>822</v>
      </c>
      <c r="F99">
        <v>74</v>
      </c>
      <c r="G99">
        <f t="shared" si="2"/>
        <v>1</v>
      </c>
      <c r="H99">
        <v>1</v>
      </c>
      <c r="I99">
        <v>3746</v>
      </c>
      <c r="J99">
        <v>5073</v>
      </c>
      <c r="K99">
        <v>31016</v>
      </c>
      <c r="L99">
        <v>-12495</v>
      </c>
      <c r="M99">
        <v>-12495</v>
      </c>
      <c r="N99">
        <v>35.3</v>
      </c>
      <c r="O99">
        <v>18</v>
      </c>
      <c r="P99">
        <v>65535</v>
      </c>
      <c r="Q99">
        <v>13844</v>
      </c>
      <c r="R99">
        <v>-32767</v>
      </c>
      <c r="S99">
        <v>34.1</v>
      </c>
      <c r="T99">
        <v>12</v>
      </c>
      <c r="U99">
        <v>100</v>
      </c>
      <c r="V99">
        <v>34800</v>
      </c>
      <c r="W99">
        <v>5000</v>
      </c>
      <c r="X99" t="s">
        <v>823</v>
      </c>
      <c r="Y99" t="s">
        <v>830</v>
      </c>
      <c r="Z99" t="s">
        <v>828</v>
      </c>
      <c r="AA99">
        <v>3</v>
      </c>
      <c r="AB99">
        <v>6</v>
      </c>
      <c r="AC99">
        <v>76</v>
      </c>
      <c r="AD99">
        <v>4</v>
      </c>
      <c r="AE99">
        <v>3743</v>
      </c>
      <c r="AF99">
        <v>5073</v>
      </c>
      <c r="AG99">
        <v>360</v>
      </c>
      <c r="AH99">
        <v>1326</v>
      </c>
      <c r="AI99">
        <v>2</v>
      </c>
      <c r="AJ99">
        <v>87</v>
      </c>
      <c r="AK99">
        <v>1648</v>
      </c>
      <c r="AL99">
        <v>807</v>
      </c>
      <c r="AM99">
        <v>9</v>
      </c>
      <c r="AN99">
        <v>902</v>
      </c>
      <c r="AO99" t="s">
        <v>826</v>
      </c>
    </row>
    <row r="100" spans="1:41">
      <c r="A100">
        <v>92</v>
      </c>
      <c r="B100" s="2">
        <v>45296.6120138889</v>
      </c>
      <c r="C100">
        <v>369.05</v>
      </c>
      <c r="D100" t="s">
        <v>821</v>
      </c>
      <c r="E100" t="s">
        <v>822</v>
      </c>
      <c r="F100">
        <v>74</v>
      </c>
      <c r="G100">
        <f t="shared" si="2"/>
        <v>0</v>
      </c>
      <c r="H100">
        <v>1</v>
      </c>
      <c r="I100">
        <v>3732</v>
      </c>
      <c r="J100">
        <v>5073</v>
      </c>
      <c r="K100">
        <v>30992</v>
      </c>
      <c r="L100">
        <v>-12494</v>
      </c>
      <c r="M100">
        <v>-12495</v>
      </c>
      <c r="N100">
        <v>35.3</v>
      </c>
      <c r="O100">
        <v>18</v>
      </c>
      <c r="P100">
        <v>65535</v>
      </c>
      <c r="Q100">
        <v>13790</v>
      </c>
      <c r="R100">
        <v>-32767</v>
      </c>
      <c r="S100">
        <v>34.2</v>
      </c>
      <c r="T100">
        <v>12</v>
      </c>
      <c r="U100">
        <v>100</v>
      </c>
      <c r="V100">
        <v>34800</v>
      </c>
      <c r="W100">
        <v>5000</v>
      </c>
      <c r="X100" t="s">
        <v>823</v>
      </c>
      <c r="Y100" t="s">
        <v>830</v>
      </c>
      <c r="Z100" t="s">
        <v>828</v>
      </c>
      <c r="AA100">
        <v>3</v>
      </c>
      <c r="AB100">
        <v>6</v>
      </c>
      <c r="AC100">
        <v>76</v>
      </c>
      <c r="AD100">
        <v>4</v>
      </c>
      <c r="AE100">
        <v>3729</v>
      </c>
      <c r="AF100">
        <v>5073</v>
      </c>
      <c r="AG100">
        <v>364</v>
      </c>
      <c r="AH100">
        <v>1340</v>
      </c>
      <c r="AI100">
        <v>2</v>
      </c>
      <c r="AJ100">
        <v>87</v>
      </c>
      <c r="AK100">
        <v>1648</v>
      </c>
      <c r="AL100">
        <v>821</v>
      </c>
      <c r="AM100">
        <v>9</v>
      </c>
      <c r="AN100">
        <v>902</v>
      </c>
      <c r="AO100" t="s">
        <v>826</v>
      </c>
    </row>
    <row r="101" spans="1:41">
      <c r="A101">
        <v>93</v>
      </c>
      <c r="B101" s="2">
        <v>45296.6120601852</v>
      </c>
      <c r="C101">
        <v>373.064</v>
      </c>
      <c r="D101" t="s">
        <v>821</v>
      </c>
      <c r="E101" t="s">
        <v>822</v>
      </c>
      <c r="F101">
        <v>74</v>
      </c>
      <c r="G101">
        <f t="shared" si="2"/>
        <v>0</v>
      </c>
      <c r="H101">
        <v>1</v>
      </c>
      <c r="I101">
        <v>3718</v>
      </c>
      <c r="J101">
        <v>5073</v>
      </c>
      <c r="K101">
        <v>30960</v>
      </c>
      <c r="L101">
        <v>-12495</v>
      </c>
      <c r="M101">
        <v>-12495</v>
      </c>
      <c r="N101">
        <v>35.4</v>
      </c>
      <c r="O101">
        <v>18</v>
      </c>
      <c r="P101">
        <v>65535</v>
      </c>
      <c r="Q101">
        <v>13736</v>
      </c>
      <c r="R101">
        <v>-32767</v>
      </c>
      <c r="S101">
        <v>34.3</v>
      </c>
      <c r="T101">
        <v>12</v>
      </c>
      <c r="U101">
        <v>100</v>
      </c>
      <c r="V101">
        <v>34800</v>
      </c>
      <c r="W101">
        <v>5000</v>
      </c>
      <c r="X101" t="s">
        <v>823</v>
      </c>
      <c r="Y101" t="s">
        <v>830</v>
      </c>
      <c r="Z101" t="s">
        <v>828</v>
      </c>
      <c r="AA101">
        <v>3</v>
      </c>
      <c r="AB101">
        <v>6</v>
      </c>
      <c r="AC101">
        <v>76</v>
      </c>
      <c r="AD101">
        <v>4</v>
      </c>
      <c r="AE101">
        <v>3715</v>
      </c>
      <c r="AF101">
        <v>5073</v>
      </c>
      <c r="AG101">
        <v>368</v>
      </c>
      <c r="AH101">
        <v>1354</v>
      </c>
      <c r="AI101">
        <v>2</v>
      </c>
      <c r="AJ101">
        <v>87</v>
      </c>
      <c r="AK101">
        <v>1648</v>
      </c>
      <c r="AL101">
        <v>835</v>
      </c>
      <c r="AM101">
        <v>9</v>
      </c>
      <c r="AN101">
        <v>903</v>
      </c>
      <c r="AO101" t="s">
        <v>826</v>
      </c>
    </row>
    <row r="102" spans="1:41">
      <c r="A102">
        <v>94</v>
      </c>
      <c r="B102" s="2">
        <v>45296.6121064815</v>
      </c>
      <c r="C102">
        <v>377.079</v>
      </c>
      <c r="D102" t="s">
        <v>821</v>
      </c>
      <c r="E102" t="s">
        <v>822</v>
      </c>
      <c r="F102">
        <v>74</v>
      </c>
      <c r="G102">
        <f t="shared" si="2"/>
        <v>0</v>
      </c>
      <c r="H102">
        <v>1</v>
      </c>
      <c r="I102">
        <v>3704</v>
      </c>
      <c r="J102">
        <v>5073</v>
      </c>
      <c r="K102">
        <v>30936</v>
      </c>
      <c r="L102">
        <v>-12495</v>
      </c>
      <c r="M102">
        <v>-12495</v>
      </c>
      <c r="N102">
        <v>35.5</v>
      </c>
      <c r="O102">
        <v>18</v>
      </c>
      <c r="P102">
        <v>65535</v>
      </c>
      <c r="Q102">
        <v>13681</v>
      </c>
      <c r="R102">
        <v>-32767</v>
      </c>
      <c r="S102">
        <v>34.3</v>
      </c>
      <c r="T102">
        <v>12</v>
      </c>
      <c r="U102">
        <v>100</v>
      </c>
      <c r="V102">
        <v>34800</v>
      </c>
      <c r="W102">
        <v>5000</v>
      </c>
      <c r="X102" t="s">
        <v>823</v>
      </c>
      <c r="Y102" t="s">
        <v>830</v>
      </c>
      <c r="Z102" t="s">
        <v>828</v>
      </c>
      <c r="AA102">
        <v>3</v>
      </c>
      <c r="AB102">
        <v>6</v>
      </c>
      <c r="AC102">
        <v>76</v>
      </c>
      <c r="AD102">
        <v>4</v>
      </c>
      <c r="AE102">
        <v>3701</v>
      </c>
      <c r="AF102">
        <v>5073</v>
      </c>
      <c r="AG102">
        <v>372</v>
      </c>
      <c r="AH102">
        <v>1368</v>
      </c>
      <c r="AI102">
        <v>2</v>
      </c>
      <c r="AJ102">
        <v>87</v>
      </c>
      <c r="AK102">
        <v>1648</v>
      </c>
      <c r="AL102">
        <v>849</v>
      </c>
      <c r="AM102">
        <v>9</v>
      </c>
      <c r="AN102">
        <v>902</v>
      </c>
      <c r="AO102" t="s">
        <v>826</v>
      </c>
    </row>
    <row r="103" spans="1:41">
      <c r="A103">
        <v>95</v>
      </c>
      <c r="B103" s="2">
        <v>45296.6121527778</v>
      </c>
      <c r="C103">
        <v>381.08</v>
      </c>
      <c r="D103" t="s">
        <v>821</v>
      </c>
      <c r="E103" t="s">
        <v>822</v>
      </c>
      <c r="F103">
        <v>73</v>
      </c>
      <c r="G103">
        <f t="shared" si="2"/>
        <v>1</v>
      </c>
      <c r="H103">
        <v>1</v>
      </c>
      <c r="I103">
        <v>3691</v>
      </c>
      <c r="J103">
        <v>5073</v>
      </c>
      <c r="K103">
        <v>30912</v>
      </c>
      <c r="L103">
        <v>-12495</v>
      </c>
      <c r="M103">
        <v>-12495</v>
      </c>
      <c r="N103">
        <v>35.5</v>
      </c>
      <c r="O103">
        <v>18</v>
      </c>
      <c r="P103">
        <v>65535</v>
      </c>
      <c r="Q103">
        <v>13631</v>
      </c>
      <c r="R103">
        <v>-32767</v>
      </c>
      <c r="S103">
        <v>34.4</v>
      </c>
      <c r="T103">
        <v>12</v>
      </c>
      <c r="U103">
        <v>100</v>
      </c>
      <c r="V103">
        <v>34800</v>
      </c>
      <c r="W103">
        <v>5000</v>
      </c>
      <c r="X103" t="s">
        <v>823</v>
      </c>
      <c r="Y103" t="s">
        <v>830</v>
      </c>
      <c r="Z103" t="s">
        <v>828</v>
      </c>
      <c r="AA103">
        <v>3</v>
      </c>
      <c r="AB103">
        <v>6</v>
      </c>
      <c r="AC103">
        <v>76</v>
      </c>
      <c r="AD103">
        <v>4</v>
      </c>
      <c r="AE103">
        <v>3687</v>
      </c>
      <c r="AF103">
        <v>5073</v>
      </c>
      <c r="AG103">
        <v>376</v>
      </c>
      <c r="AH103">
        <v>1382</v>
      </c>
      <c r="AI103">
        <v>2</v>
      </c>
      <c r="AJ103">
        <v>87</v>
      </c>
      <c r="AK103">
        <v>1648</v>
      </c>
      <c r="AL103">
        <v>863</v>
      </c>
      <c r="AM103">
        <v>9</v>
      </c>
      <c r="AN103">
        <v>900</v>
      </c>
      <c r="AO103" t="s">
        <v>826</v>
      </c>
    </row>
    <row r="104" spans="1:41">
      <c r="A104">
        <v>96</v>
      </c>
      <c r="B104" s="2">
        <v>45296.6121990741</v>
      </c>
      <c r="C104">
        <v>385.094</v>
      </c>
      <c r="D104" t="s">
        <v>821</v>
      </c>
      <c r="E104" t="s">
        <v>822</v>
      </c>
      <c r="F104">
        <v>73</v>
      </c>
      <c r="G104">
        <f t="shared" si="2"/>
        <v>0</v>
      </c>
      <c r="H104">
        <v>1</v>
      </c>
      <c r="I104">
        <v>3677</v>
      </c>
      <c r="J104">
        <v>5073</v>
      </c>
      <c r="K104">
        <v>30888</v>
      </c>
      <c r="L104">
        <v>-12494</v>
      </c>
      <c r="M104">
        <v>-12495</v>
      </c>
      <c r="N104">
        <v>35.6</v>
      </c>
      <c r="O104">
        <v>18</v>
      </c>
      <c r="P104">
        <v>65535</v>
      </c>
      <c r="Q104">
        <v>13577</v>
      </c>
      <c r="R104">
        <v>-32767</v>
      </c>
      <c r="S104">
        <v>34.5</v>
      </c>
      <c r="T104">
        <v>12</v>
      </c>
      <c r="U104">
        <v>100</v>
      </c>
      <c r="V104">
        <v>34800</v>
      </c>
      <c r="W104">
        <v>5000</v>
      </c>
      <c r="X104" t="s">
        <v>823</v>
      </c>
      <c r="Y104" t="s">
        <v>830</v>
      </c>
      <c r="Z104" t="s">
        <v>828</v>
      </c>
      <c r="AA104">
        <v>3</v>
      </c>
      <c r="AB104">
        <v>6</v>
      </c>
      <c r="AC104">
        <v>76</v>
      </c>
      <c r="AD104">
        <v>4</v>
      </c>
      <c r="AE104">
        <v>3673</v>
      </c>
      <c r="AF104">
        <v>5073</v>
      </c>
      <c r="AG104">
        <v>380</v>
      </c>
      <c r="AH104">
        <v>1396</v>
      </c>
      <c r="AI104">
        <v>2</v>
      </c>
      <c r="AJ104">
        <v>87</v>
      </c>
      <c r="AK104">
        <v>1648</v>
      </c>
      <c r="AL104">
        <v>877</v>
      </c>
      <c r="AM104">
        <v>9</v>
      </c>
      <c r="AN104">
        <v>902</v>
      </c>
      <c r="AO104" t="s">
        <v>826</v>
      </c>
    </row>
    <row r="105" spans="1:41">
      <c r="A105">
        <v>97</v>
      </c>
      <c r="B105" s="2">
        <v>45296.6122453704</v>
      </c>
      <c r="C105">
        <v>389.109</v>
      </c>
      <c r="D105" t="s">
        <v>821</v>
      </c>
      <c r="E105" t="s">
        <v>822</v>
      </c>
      <c r="F105">
        <v>73</v>
      </c>
      <c r="G105">
        <f t="shared" si="2"/>
        <v>0</v>
      </c>
      <c r="H105">
        <v>1</v>
      </c>
      <c r="I105">
        <v>3663</v>
      </c>
      <c r="J105">
        <v>5073</v>
      </c>
      <c r="K105">
        <v>30864</v>
      </c>
      <c r="L105">
        <v>-12495</v>
      </c>
      <c r="M105">
        <v>-12495</v>
      </c>
      <c r="N105">
        <v>35.6</v>
      </c>
      <c r="O105">
        <v>18</v>
      </c>
      <c r="P105">
        <v>65535</v>
      </c>
      <c r="Q105">
        <v>13523</v>
      </c>
      <c r="R105">
        <v>-32767</v>
      </c>
      <c r="S105">
        <v>34.5</v>
      </c>
      <c r="T105">
        <v>12</v>
      </c>
      <c r="U105">
        <v>100</v>
      </c>
      <c r="V105">
        <v>34800</v>
      </c>
      <c r="W105">
        <v>5000</v>
      </c>
      <c r="X105" t="s">
        <v>823</v>
      </c>
      <c r="Y105" t="s">
        <v>830</v>
      </c>
      <c r="Z105" t="s">
        <v>828</v>
      </c>
      <c r="AA105">
        <v>3</v>
      </c>
      <c r="AB105">
        <v>6</v>
      </c>
      <c r="AC105">
        <v>76</v>
      </c>
      <c r="AD105">
        <v>4</v>
      </c>
      <c r="AE105">
        <v>3659</v>
      </c>
      <c r="AF105">
        <v>5073</v>
      </c>
      <c r="AG105">
        <v>384</v>
      </c>
      <c r="AH105">
        <v>1410</v>
      </c>
      <c r="AI105">
        <v>2</v>
      </c>
      <c r="AJ105">
        <v>87</v>
      </c>
      <c r="AK105">
        <v>1648</v>
      </c>
      <c r="AL105">
        <v>891</v>
      </c>
      <c r="AM105">
        <v>9</v>
      </c>
      <c r="AN105">
        <v>904</v>
      </c>
      <c r="AO105" t="s">
        <v>826</v>
      </c>
    </row>
    <row r="106" spans="1:41">
      <c r="A106">
        <v>98</v>
      </c>
      <c r="B106" s="2">
        <v>45296.6122916667</v>
      </c>
      <c r="C106">
        <v>393.108</v>
      </c>
      <c r="D106" t="s">
        <v>821</v>
      </c>
      <c r="E106" t="s">
        <v>822</v>
      </c>
      <c r="F106">
        <v>72</v>
      </c>
      <c r="G106">
        <f t="shared" si="2"/>
        <v>1</v>
      </c>
      <c r="H106">
        <v>1</v>
      </c>
      <c r="I106">
        <v>3649</v>
      </c>
      <c r="J106">
        <v>5073</v>
      </c>
      <c r="K106">
        <v>30840</v>
      </c>
      <c r="L106">
        <v>-12494</v>
      </c>
      <c r="M106">
        <v>-12495</v>
      </c>
      <c r="N106">
        <v>35.7</v>
      </c>
      <c r="O106">
        <v>18</v>
      </c>
      <c r="P106">
        <v>65535</v>
      </c>
      <c r="Q106">
        <v>13469</v>
      </c>
      <c r="R106">
        <v>-32767</v>
      </c>
      <c r="S106">
        <v>34.6</v>
      </c>
      <c r="T106">
        <v>12</v>
      </c>
      <c r="U106">
        <v>100</v>
      </c>
      <c r="V106">
        <v>34800</v>
      </c>
      <c r="W106">
        <v>5000</v>
      </c>
      <c r="X106" t="s">
        <v>823</v>
      </c>
      <c r="Y106" t="s">
        <v>830</v>
      </c>
      <c r="Z106" t="s">
        <v>828</v>
      </c>
      <c r="AA106">
        <v>3</v>
      </c>
      <c r="AB106">
        <v>6</v>
      </c>
      <c r="AC106">
        <v>76</v>
      </c>
      <c r="AD106">
        <v>4</v>
      </c>
      <c r="AE106">
        <v>3645</v>
      </c>
      <c r="AF106">
        <v>5073</v>
      </c>
      <c r="AG106">
        <v>388</v>
      </c>
      <c r="AH106">
        <v>1424</v>
      </c>
      <c r="AI106">
        <v>2</v>
      </c>
      <c r="AJ106">
        <v>87</v>
      </c>
      <c r="AK106">
        <v>1648</v>
      </c>
      <c r="AL106">
        <v>905</v>
      </c>
      <c r="AM106">
        <v>9</v>
      </c>
      <c r="AN106">
        <v>905</v>
      </c>
      <c r="AO106" t="s">
        <v>826</v>
      </c>
    </row>
    <row r="107" spans="1:41">
      <c r="A107">
        <v>99</v>
      </c>
      <c r="B107" s="2">
        <v>45296.612337963</v>
      </c>
      <c r="C107">
        <v>397.111</v>
      </c>
      <c r="D107" t="s">
        <v>821</v>
      </c>
      <c r="E107" t="s">
        <v>822</v>
      </c>
      <c r="F107">
        <v>72</v>
      </c>
      <c r="G107">
        <f t="shared" ref="G107:G137" si="3">F106-F107</f>
        <v>0</v>
      </c>
      <c r="H107">
        <v>1</v>
      </c>
      <c r="I107">
        <v>3635</v>
      </c>
      <c r="J107">
        <v>5073</v>
      </c>
      <c r="K107">
        <v>30816</v>
      </c>
      <c r="L107">
        <v>-12495</v>
      </c>
      <c r="M107">
        <v>-12495</v>
      </c>
      <c r="N107">
        <v>35.8</v>
      </c>
      <c r="O107">
        <v>17</v>
      </c>
      <c r="P107">
        <v>65535</v>
      </c>
      <c r="Q107">
        <v>13415</v>
      </c>
      <c r="R107">
        <v>-32767</v>
      </c>
      <c r="S107">
        <v>34.6</v>
      </c>
      <c r="T107">
        <v>12</v>
      </c>
      <c r="U107">
        <v>100</v>
      </c>
      <c r="V107">
        <v>34800</v>
      </c>
      <c r="W107">
        <v>5000</v>
      </c>
      <c r="X107" t="s">
        <v>823</v>
      </c>
      <c r="Y107" t="s">
        <v>830</v>
      </c>
      <c r="Z107" t="s">
        <v>828</v>
      </c>
      <c r="AA107">
        <v>3</v>
      </c>
      <c r="AB107">
        <v>6</v>
      </c>
      <c r="AC107">
        <v>76</v>
      </c>
      <c r="AD107">
        <v>4</v>
      </c>
      <c r="AE107">
        <v>3632</v>
      </c>
      <c r="AF107">
        <v>5073</v>
      </c>
      <c r="AG107">
        <v>392</v>
      </c>
      <c r="AH107">
        <v>1437</v>
      </c>
      <c r="AI107">
        <v>2</v>
      </c>
      <c r="AJ107">
        <v>87</v>
      </c>
      <c r="AK107">
        <v>1648</v>
      </c>
      <c r="AL107">
        <v>918</v>
      </c>
      <c r="AM107">
        <v>9</v>
      </c>
      <c r="AN107">
        <v>900</v>
      </c>
      <c r="AO107" t="s">
        <v>826</v>
      </c>
    </row>
    <row r="108" spans="1:41">
      <c r="A108">
        <v>100</v>
      </c>
      <c r="B108" s="2">
        <v>45296.6123842593</v>
      </c>
      <c r="C108">
        <v>401.111</v>
      </c>
      <c r="D108" t="s">
        <v>821</v>
      </c>
      <c r="E108" t="s">
        <v>822</v>
      </c>
      <c r="F108">
        <v>72</v>
      </c>
      <c r="G108">
        <f t="shared" si="3"/>
        <v>0</v>
      </c>
      <c r="H108">
        <v>1</v>
      </c>
      <c r="I108">
        <v>3621</v>
      </c>
      <c r="J108">
        <v>5073</v>
      </c>
      <c r="K108">
        <v>30792</v>
      </c>
      <c r="L108">
        <v>-12495</v>
      </c>
      <c r="M108">
        <v>-12495</v>
      </c>
      <c r="N108">
        <v>35.8</v>
      </c>
      <c r="O108">
        <v>17</v>
      </c>
      <c r="P108">
        <v>65535</v>
      </c>
      <c r="Q108">
        <v>13361</v>
      </c>
      <c r="R108">
        <v>-32767</v>
      </c>
      <c r="S108">
        <v>34.7</v>
      </c>
      <c r="T108">
        <v>12</v>
      </c>
      <c r="U108">
        <v>100</v>
      </c>
      <c r="V108">
        <v>34800</v>
      </c>
      <c r="W108">
        <v>5000</v>
      </c>
      <c r="X108" t="s">
        <v>823</v>
      </c>
      <c r="Y108" t="s">
        <v>830</v>
      </c>
      <c r="Z108" t="s">
        <v>828</v>
      </c>
      <c r="AA108">
        <v>3</v>
      </c>
      <c r="AB108">
        <v>6</v>
      </c>
      <c r="AC108">
        <v>76</v>
      </c>
      <c r="AD108">
        <v>4</v>
      </c>
      <c r="AE108">
        <v>3618</v>
      </c>
      <c r="AF108">
        <v>5073</v>
      </c>
      <c r="AG108">
        <v>396</v>
      </c>
      <c r="AH108">
        <v>1451</v>
      </c>
      <c r="AI108">
        <v>2</v>
      </c>
      <c r="AJ108">
        <v>87</v>
      </c>
      <c r="AK108">
        <v>1648</v>
      </c>
      <c r="AL108">
        <v>932</v>
      </c>
      <c r="AM108">
        <v>9</v>
      </c>
      <c r="AN108">
        <v>906</v>
      </c>
      <c r="AO108" t="s">
        <v>826</v>
      </c>
    </row>
    <row r="109" spans="1:41">
      <c r="A109">
        <v>101</v>
      </c>
      <c r="B109" s="2">
        <v>45296.6124421296</v>
      </c>
      <c r="C109">
        <v>405.123</v>
      </c>
      <c r="D109" t="s">
        <v>821</v>
      </c>
      <c r="E109" t="s">
        <v>822</v>
      </c>
      <c r="F109">
        <v>72</v>
      </c>
      <c r="G109">
        <f t="shared" si="3"/>
        <v>0</v>
      </c>
      <c r="H109">
        <v>1</v>
      </c>
      <c r="I109">
        <v>3607</v>
      </c>
      <c r="J109">
        <v>5073</v>
      </c>
      <c r="K109">
        <v>30768</v>
      </c>
      <c r="L109">
        <v>-12494</v>
      </c>
      <c r="M109">
        <v>-12495</v>
      </c>
      <c r="N109">
        <v>36</v>
      </c>
      <c r="O109">
        <v>17</v>
      </c>
      <c r="P109">
        <v>65535</v>
      </c>
      <c r="Q109">
        <v>13307</v>
      </c>
      <c r="R109">
        <v>-32767</v>
      </c>
      <c r="S109">
        <v>34.7</v>
      </c>
      <c r="T109">
        <v>12</v>
      </c>
      <c r="U109">
        <v>100</v>
      </c>
      <c r="V109">
        <v>34800</v>
      </c>
      <c r="W109">
        <v>5000</v>
      </c>
      <c r="X109" t="s">
        <v>823</v>
      </c>
      <c r="Y109" t="s">
        <v>830</v>
      </c>
      <c r="Z109" t="s">
        <v>828</v>
      </c>
      <c r="AA109">
        <v>3</v>
      </c>
      <c r="AB109">
        <v>6</v>
      </c>
      <c r="AC109">
        <v>76</v>
      </c>
      <c r="AD109">
        <v>4</v>
      </c>
      <c r="AE109">
        <v>3604</v>
      </c>
      <c r="AF109">
        <v>5073</v>
      </c>
      <c r="AG109">
        <v>400</v>
      </c>
      <c r="AH109">
        <v>1465</v>
      </c>
      <c r="AI109">
        <v>2</v>
      </c>
      <c r="AJ109">
        <v>87</v>
      </c>
      <c r="AK109">
        <v>1648</v>
      </c>
      <c r="AL109">
        <v>946</v>
      </c>
      <c r="AM109">
        <v>9</v>
      </c>
      <c r="AN109">
        <v>907</v>
      </c>
      <c r="AO109" t="s">
        <v>826</v>
      </c>
    </row>
    <row r="110" spans="1:41">
      <c r="A110">
        <v>102</v>
      </c>
      <c r="B110" s="2">
        <v>45296.6124884259</v>
      </c>
      <c r="C110">
        <v>409.136</v>
      </c>
      <c r="D110" t="s">
        <v>821</v>
      </c>
      <c r="E110" t="s">
        <v>822</v>
      </c>
      <c r="F110">
        <v>71</v>
      </c>
      <c r="G110">
        <f t="shared" si="3"/>
        <v>1</v>
      </c>
      <c r="H110">
        <v>1</v>
      </c>
      <c r="I110">
        <v>3593</v>
      </c>
      <c r="J110">
        <v>5073</v>
      </c>
      <c r="K110">
        <v>30744</v>
      </c>
      <c r="L110">
        <v>-12494</v>
      </c>
      <c r="M110">
        <v>-12495</v>
      </c>
      <c r="N110">
        <v>36</v>
      </c>
      <c r="O110">
        <v>17</v>
      </c>
      <c r="P110">
        <v>65535</v>
      </c>
      <c r="Q110">
        <v>13242</v>
      </c>
      <c r="R110">
        <v>-32767</v>
      </c>
      <c r="S110">
        <v>34.8</v>
      </c>
      <c r="T110">
        <v>12</v>
      </c>
      <c r="U110">
        <v>100</v>
      </c>
      <c r="V110">
        <v>34800</v>
      </c>
      <c r="W110">
        <v>5000</v>
      </c>
      <c r="X110" t="s">
        <v>823</v>
      </c>
      <c r="Y110" t="s">
        <v>830</v>
      </c>
      <c r="Z110" t="s">
        <v>828</v>
      </c>
      <c r="AA110">
        <v>3</v>
      </c>
      <c r="AB110">
        <v>6</v>
      </c>
      <c r="AC110">
        <v>76</v>
      </c>
      <c r="AD110">
        <v>4</v>
      </c>
      <c r="AE110">
        <v>3590</v>
      </c>
      <c r="AF110">
        <v>5073</v>
      </c>
      <c r="AG110">
        <v>404</v>
      </c>
      <c r="AH110">
        <v>1479</v>
      </c>
      <c r="AI110">
        <v>2</v>
      </c>
      <c r="AJ110">
        <v>87</v>
      </c>
      <c r="AK110">
        <v>1648</v>
      </c>
      <c r="AL110">
        <v>960</v>
      </c>
      <c r="AM110">
        <v>9</v>
      </c>
      <c r="AN110">
        <v>908</v>
      </c>
      <c r="AO110" t="s">
        <v>826</v>
      </c>
    </row>
    <row r="111" spans="1:41">
      <c r="A111">
        <v>103</v>
      </c>
      <c r="B111" s="2">
        <v>45296.6125347222</v>
      </c>
      <c r="C111">
        <v>413.15</v>
      </c>
      <c r="D111" t="s">
        <v>821</v>
      </c>
      <c r="E111" t="s">
        <v>822</v>
      </c>
      <c r="F111">
        <v>71</v>
      </c>
      <c r="G111">
        <f t="shared" si="3"/>
        <v>0</v>
      </c>
      <c r="H111">
        <v>1</v>
      </c>
      <c r="I111">
        <v>3579</v>
      </c>
      <c r="J111">
        <v>5073</v>
      </c>
      <c r="K111">
        <v>30720</v>
      </c>
      <c r="L111">
        <v>-12495</v>
      </c>
      <c r="M111">
        <v>-12495</v>
      </c>
      <c r="N111">
        <v>36.1</v>
      </c>
      <c r="O111">
        <v>17</v>
      </c>
      <c r="P111">
        <v>65535</v>
      </c>
      <c r="Q111">
        <v>13188</v>
      </c>
      <c r="R111">
        <v>-32767</v>
      </c>
      <c r="S111">
        <v>34.9</v>
      </c>
      <c r="T111">
        <v>12</v>
      </c>
      <c r="U111">
        <v>100</v>
      </c>
      <c r="V111">
        <v>34800</v>
      </c>
      <c r="W111">
        <v>5000</v>
      </c>
      <c r="X111" t="s">
        <v>823</v>
      </c>
      <c r="Y111" t="s">
        <v>830</v>
      </c>
      <c r="Z111" t="s">
        <v>828</v>
      </c>
      <c r="AA111">
        <v>3</v>
      </c>
      <c r="AB111">
        <v>6</v>
      </c>
      <c r="AC111">
        <v>76</v>
      </c>
      <c r="AD111">
        <v>4</v>
      </c>
      <c r="AE111">
        <v>3576</v>
      </c>
      <c r="AF111">
        <v>5073</v>
      </c>
      <c r="AG111">
        <v>408</v>
      </c>
      <c r="AH111">
        <v>1493</v>
      </c>
      <c r="AI111">
        <v>2</v>
      </c>
      <c r="AJ111">
        <v>87</v>
      </c>
      <c r="AK111">
        <v>1648</v>
      </c>
      <c r="AL111">
        <v>974</v>
      </c>
      <c r="AM111">
        <v>9</v>
      </c>
      <c r="AN111">
        <v>913</v>
      </c>
      <c r="AO111" t="s">
        <v>826</v>
      </c>
    </row>
    <row r="112" spans="1:41">
      <c r="A112">
        <v>104</v>
      </c>
      <c r="B112" s="2">
        <v>45296.6125810185</v>
      </c>
      <c r="C112">
        <v>417.163</v>
      </c>
      <c r="D112" t="s">
        <v>821</v>
      </c>
      <c r="E112" t="s">
        <v>822</v>
      </c>
      <c r="F112">
        <v>71</v>
      </c>
      <c r="G112">
        <f t="shared" si="3"/>
        <v>0</v>
      </c>
      <c r="H112">
        <v>1</v>
      </c>
      <c r="I112">
        <v>3566</v>
      </c>
      <c r="J112">
        <v>5073</v>
      </c>
      <c r="K112">
        <v>30696</v>
      </c>
      <c r="L112">
        <v>-12495</v>
      </c>
      <c r="M112">
        <v>-12495</v>
      </c>
      <c r="N112">
        <v>36.1</v>
      </c>
      <c r="O112">
        <v>17</v>
      </c>
      <c r="P112">
        <v>65535</v>
      </c>
      <c r="Q112">
        <v>13135</v>
      </c>
      <c r="R112">
        <v>-32767</v>
      </c>
      <c r="S112">
        <v>34.9</v>
      </c>
      <c r="T112">
        <v>12</v>
      </c>
      <c r="U112">
        <v>100</v>
      </c>
      <c r="V112">
        <v>34800</v>
      </c>
      <c r="W112">
        <v>5000</v>
      </c>
      <c r="X112" t="s">
        <v>823</v>
      </c>
      <c r="Y112" t="s">
        <v>830</v>
      </c>
      <c r="Z112" t="s">
        <v>828</v>
      </c>
      <c r="AA112">
        <v>3</v>
      </c>
      <c r="AB112">
        <v>6</v>
      </c>
      <c r="AC112">
        <v>76</v>
      </c>
      <c r="AD112">
        <v>4</v>
      </c>
      <c r="AE112">
        <v>3562</v>
      </c>
      <c r="AF112">
        <v>5073</v>
      </c>
      <c r="AG112">
        <v>412</v>
      </c>
      <c r="AH112">
        <v>1507</v>
      </c>
      <c r="AI112">
        <v>2</v>
      </c>
      <c r="AJ112">
        <v>87</v>
      </c>
      <c r="AK112">
        <v>1648</v>
      </c>
      <c r="AL112">
        <v>988</v>
      </c>
      <c r="AM112">
        <v>9</v>
      </c>
      <c r="AN112">
        <v>900</v>
      </c>
      <c r="AO112" t="s">
        <v>826</v>
      </c>
    </row>
    <row r="113" spans="1:41">
      <c r="A113">
        <v>105</v>
      </c>
      <c r="B113" s="2">
        <v>45296.6126273148</v>
      </c>
      <c r="C113">
        <v>421.176</v>
      </c>
      <c r="D113" t="s">
        <v>821</v>
      </c>
      <c r="E113" t="s">
        <v>822</v>
      </c>
      <c r="F113">
        <v>71</v>
      </c>
      <c r="G113">
        <f t="shared" si="3"/>
        <v>0</v>
      </c>
      <c r="H113">
        <v>1</v>
      </c>
      <c r="I113">
        <v>3552</v>
      </c>
      <c r="J113">
        <v>5073</v>
      </c>
      <c r="K113">
        <v>30672</v>
      </c>
      <c r="L113">
        <v>-12494</v>
      </c>
      <c r="M113">
        <v>-12495</v>
      </c>
      <c r="N113">
        <v>36.2</v>
      </c>
      <c r="O113">
        <v>17</v>
      </c>
      <c r="P113">
        <v>65535</v>
      </c>
      <c r="Q113">
        <v>13081</v>
      </c>
      <c r="R113">
        <v>-32767</v>
      </c>
      <c r="S113">
        <v>35</v>
      </c>
      <c r="T113">
        <v>12</v>
      </c>
      <c r="U113">
        <v>100</v>
      </c>
      <c r="V113">
        <v>34800</v>
      </c>
      <c r="W113">
        <v>5000</v>
      </c>
      <c r="X113" t="s">
        <v>823</v>
      </c>
      <c r="Y113" t="s">
        <v>830</v>
      </c>
      <c r="Z113" t="s">
        <v>828</v>
      </c>
      <c r="AA113">
        <v>3</v>
      </c>
      <c r="AB113">
        <v>6</v>
      </c>
      <c r="AC113">
        <v>76</v>
      </c>
      <c r="AD113">
        <v>4</v>
      </c>
      <c r="AE113">
        <v>3548</v>
      </c>
      <c r="AF113">
        <v>5073</v>
      </c>
      <c r="AG113">
        <v>416</v>
      </c>
      <c r="AH113">
        <v>1521</v>
      </c>
      <c r="AI113">
        <v>2</v>
      </c>
      <c r="AJ113">
        <v>87</v>
      </c>
      <c r="AK113">
        <v>1648</v>
      </c>
      <c r="AL113">
        <v>1002</v>
      </c>
      <c r="AM113">
        <v>9</v>
      </c>
      <c r="AN113">
        <v>900</v>
      </c>
      <c r="AO113" t="s">
        <v>826</v>
      </c>
    </row>
    <row r="114" spans="1:41">
      <c r="A114">
        <v>106</v>
      </c>
      <c r="B114" s="2">
        <v>45296.6126736111</v>
      </c>
      <c r="C114">
        <v>425.187</v>
      </c>
      <c r="D114" t="s">
        <v>821</v>
      </c>
      <c r="E114" t="s">
        <v>822</v>
      </c>
      <c r="F114">
        <v>70</v>
      </c>
      <c r="G114">
        <f t="shared" si="3"/>
        <v>1</v>
      </c>
      <c r="H114">
        <v>1</v>
      </c>
      <c r="I114">
        <v>3538</v>
      </c>
      <c r="J114">
        <v>5073</v>
      </c>
      <c r="K114">
        <v>30648</v>
      </c>
      <c r="L114">
        <v>-12495</v>
      </c>
      <c r="M114">
        <v>-12495</v>
      </c>
      <c r="N114">
        <v>36.3</v>
      </c>
      <c r="O114">
        <v>17</v>
      </c>
      <c r="P114">
        <v>65535</v>
      </c>
      <c r="Q114">
        <v>13027</v>
      </c>
      <c r="R114">
        <v>-32767</v>
      </c>
      <c r="S114">
        <v>35.1</v>
      </c>
      <c r="T114">
        <v>12</v>
      </c>
      <c r="U114">
        <v>100</v>
      </c>
      <c r="V114">
        <v>34800</v>
      </c>
      <c r="W114">
        <v>5000</v>
      </c>
      <c r="X114" t="s">
        <v>823</v>
      </c>
      <c r="Y114" t="s">
        <v>830</v>
      </c>
      <c r="Z114" t="s">
        <v>828</v>
      </c>
      <c r="AA114">
        <v>3</v>
      </c>
      <c r="AB114">
        <v>6</v>
      </c>
      <c r="AC114">
        <v>76</v>
      </c>
      <c r="AD114">
        <v>4</v>
      </c>
      <c r="AE114">
        <v>3534</v>
      </c>
      <c r="AF114">
        <v>5073</v>
      </c>
      <c r="AG114">
        <v>420</v>
      </c>
      <c r="AH114">
        <v>1535</v>
      </c>
      <c r="AI114">
        <v>2</v>
      </c>
      <c r="AJ114">
        <v>87</v>
      </c>
      <c r="AK114">
        <v>1648</v>
      </c>
      <c r="AL114">
        <v>1016</v>
      </c>
      <c r="AM114">
        <v>9</v>
      </c>
      <c r="AN114">
        <v>903</v>
      </c>
      <c r="AO114" t="s">
        <v>826</v>
      </c>
    </row>
    <row r="115" spans="1:41">
      <c r="A115">
        <v>107</v>
      </c>
      <c r="B115" s="2">
        <v>45296.6127199074</v>
      </c>
      <c r="C115">
        <v>429.199</v>
      </c>
      <c r="D115" t="s">
        <v>821</v>
      </c>
      <c r="E115" t="s">
        <v>822</v>
      </c>
      <c r="F115">
        <v>70</v>
      </c>
      <c r="G115">
        <f t="shared" si="3"/>
        <v>0</v>
      </c>
      <c r="H115">
        <v>1</v>
      </c>
      <c r="I115">
        <v>3524</v>
      </c>
      <c r="J115">
        <v>5073</v>
      </c>
      <c r="K115">
        <v>30624</v>
      </c>
      <c r="L115">
        <v>-12495</v>
      </c>
      <c r="M115">
        <v>-12495</v>
      </c>
      <c r="N115">
        <v>36.3</v>
      </c>
      <c r="O115">
        <v>17</v>
      </c>
      <c r="P115">
        <v>65535</v>
      </c>
      <c r="Q115">
        <v>12974</v>
      </c>
      <c r="R115">
        <v>-32767</v>
      </c>
      <c r="S115">
        <v>35.1</v>
      </c>
      <c r="T115">
        <v>12</v>
      </c>
      <c r="U115">
        <v>100</v>
      </c>
      <c r="V115">
        <v>34800</v>
      </c>
      <c r="W115">
        <v>5000</v>
      </c>
      <c r="X115" t="s">
        <v>823</v>
      </c>
      <c r="Y115" t="s">
        <v>830</v>
      </c>
      <c r="Z115" t="s">
        <v>828</v>
      </c>
      <c r="AA115">
        <v>3</v>
      </c>
      <c r="AB115">
        <v>6</v>
      </c>
      <c r="AC115">
        <v>76</v>
      </c>
      <c r="AD115">
        <v>4</v>
      </c>
      <c r="AE115">
        <v>3520</v>
      </c>
      <c r="AF115">
        <v>5073</v>
      </c>
      <c r="AG115">
        <v>424</v>
      </c>
      <c r="AH115">
        <v>1549</v>
      </c>
      <c r="AI115">
        <v>2</v>
      </c>
      <c r="AJ115">
        <v>87</v>
      </c>
      <c r="AK115">
        <v>1648</v>
      </c>
      <c r="AL115">
        <v>1030</v>
      </c>
      <c r="AM115">
        <v>9</v>
      </c>
      <c r="AN115">
        <v>906</v>
      </c>
      <c r="AO115" t="s">
        <v>826</v>
      </c>
    </row>
    <row r="116" spans="1:41">
      <c r="A116">
        <v>108</v>
      </c>
      <c r="B116" s="2">
        <v>45296.6127662037</v>
      </c>
      <c r="C116">
        <v>433.211</v>
      </c>
      <c r="D116" t="s">
        <v>821</v>
      </c>
      <c r="E116" t="s">
        <v>822</v>
      </c>
      <c r="F116">
        <v>70</v>
      </c>
      <c r="G116">
        <f t="shared" si="3"/>
        <v>0</v>
      </c>
      <c r="H116">
        <v>1</v>
      </c>
      <c r="I116">
        <v>3510</v>
      </c>
      <c r="J116">
        <v>5073</v>
      </c>
      <c r="K116">
        <v>30592</v>
      </c>
      <c r="L116">
        <v>-12495</v>
      </c>
      <c r="M116">
        <v>-12495</v>
      </c>
      <c r="N116">
        <v>36.4</v>
      </c>
      <c r="O116">
        <v>17</v>
      </c>
      <c r="P116">
        <v>65535</v>
      </c>
      <c r="Q116">
        <v>12924</v>
      </c>
      <c r="R116">
        <v>-32767</v>
      </c>
      <c r="S116">
        <v>35.2</v>
      </c>
      <c r="T116">
        <v>12</v>
      </c>
      <c r="U116">
        <v>100</v>
      </c>
      <c r="V116">
        <v>34800</v>
      </c>
      <c r="W116">
        <v>5000</v>
      </c>
      <c r="X116" t="s">
        <v>823</v>
      </c>
      <c r="Y116" t="s">
        <v>830</v>
      </c>
      <c r="Z116" t="s">
        <v>828</v>
      </c>
      <c r="AA116">
        <v>3</v>
      </c>
      <c r="AB116">
        <v>6</v>
      </c>
      <c r="AC116">
        <v>76</v>
      </c>
      <c r="AD116">
        <v>4</v>
      </c>
      <c r="AE116">
        <v>3507</v>
      </c>
      <c r="AF116">
        <v>5073</v>
      </c>
      <c r="AG116">
        <v>428</v>
      </c>
      <c r="AH116">
        <v>1562</v>
      </c>
      <c r="AI116">
        <v>2</v>
      </c>
      <c r="AJ116">
        <v>87</v>
      </c>
      <c r="AK116">
        <v>1648</v>
      </c>
      <c r="AL116">
        <v>1043</v>
      </c>
      <c r="AM116">
        <v>9</v>
      </c>
      <c r="AN116">
        <v>961</v>
      </c>
      <c r="AO116" t="s">
        <v>826</v>
      </c>
    </row>
    <row r="117" spans="1:41">
      <c r="A117">
        <v>109</v>
      </c>
      <c r="B117" s="2">
        <v>45296.6128125</v>
      </c>
      <c r="C117">
        <v>437.226</v>
      </c>
      <c r="D117" t="s">
        <v>821</v>
      </c>
      <c r="E117" t="s">
        <v>822</v>
      </c>
      <c r="F117">
        <v>69</v>
      </c>
      <c r="G117">
        <f t="shared" si="3"/>
        <v>1</v>
      </c>
      <c r="H117">
        <v>1</v>
      </c>
      <c r="I117">
        <v>3385</v>
      </c>
      <c r="J117">
        <v>4962</v>
      </c>
      <c r="K117">
        <v>30568</v>
      </c>
      <c r="L117">
        <v>-12494</v>
      </c>
      <c r="M117">
        <v>-12495</v>
      </c>
      <c r="N117">
        <v>36.5</v>
      </c>
      <c r="O117">
        <v>16</v>
      </c>
      <c r="P117">
        <v>65535</v>
      </c>
      <c r="Q117">
        <v>12235</v>
      </c>
      <c r="R117">
        <v>-32767</v>
      </c>
      <c r="S117">
        <v>35.2</v>
      </c>
      <c r="T117">
        <v>12</v>
      </c>
      <c r="U117">
        <v>100</v>
      </c>
      <c r="V117">
        <v>34800</v>
      </c>
      <c r="W117">
        <v>5000</v>
      </c>
      <c r="X117" t="s">
        <v>823</v>
      </c>
      <c r="Y117" t="s">
        <v>830</v>
      </c>
      <c r="Z117" t="s">
        <v>828</v>
      </c>
      <c r="AA117">
        <v>3</v>
      </c>
      <c r="AB117">
        <v>6</v>
      </c>
      <c r="AC117">
        <v>76</v>
      </c>
      <c r="AD117">
        <v>4</v>
      </c>
      <c r="AE117">
        <v>3382</v>
      </c>
      <c r="AF117">
        <v>4962</v>
      </c>
      <c r="AG117">
        <v>432</v>
      </c>
      <c r="AH117">
        <v>1576</v>
      </c>
      <c r="AI117">
        <v>3</v>
      </c>
      <c r="AJ117">
        <v>87</v>
      </c>
      <c r="AK117">
        <v>1648</v>
      </c>
      <c r="AL117">
        <v>1057</v>
      </c>
      <c r="AM117">
        <v>10</v>
      </c>
      <c r="AN117">
        <v>929</v>
      </c>
      <c r="AO117" t="s">
        <v>826</v>
      </c>
    </row>
    <row r="118" spans="1:41">
      <c r="A118">
        <v>110</v>
      </c>
      <c r="B118" s="2">
        <v>45296.6128587963</v>
      </c>
      <c r="C118">
        <v>441.24</v>
      </c>
      <c r="D118" t="s">
        <v>821</v>
      </c>
      <c r="E118" t="s">
        <v>822</v>
      </c>
      <c r="F118">
        <v>68</v>
      </c>
      <c r="G118">
        <f t="shared" si="3"/>
        <v>1</v>
      </c>
      <c r="H118">
        <v>1</v>
      </c>
      <c r="I118">
        <v>3371</v>
      </c>
      <c r="J118">
        <v>4962</v>
      </c>
      <c r="K118">
        <v>30544</v>
      </c>
      <c r="L118">
        <v>-12495</v>
      </c>
      <c r="M118">
        <v>-12495</v>
      </c>
      <c r="N118">
        <v>36.6</v>
      </c>
      <c r="O118">
        <v>16</v>
      </c>
      <c r="P118">
        <v>65535</v>
      </c>
      <c r="Q118">
        <v>12181</v>
      </c>
      <c r="R118">
        <v>-32767</v>
      </c>
      <c r="S118">
        <v>35.3</v>
      </c>
      <c r="T118">
        <v>12</v>
      </c>
      <c r="U118">
        <v>100</v>
      </c>
      <c r="V118">
        <v>34800</v>
      </c>
      <c r="W118">
        <v>5000</v>
      </c>
      <c r="X118" t="s">
        <v>823</v>
      </c>
      <c r="Y118" t="s">
        <v>830</v>
      </c>
      <c r="Z118" t="s">
        <v>828</v>
      </c>
      <c r="AA118">
        <v>3</v>
      </c>
      <c r="AB118">
        <v>6</v>
      </c>
      <c r="AC118">
        <v>76</v>
      </c>
      <c r="AD118">
        <v>4</v>
      </c>
      <c r="AE118">
        <v>3368</v>
      </c>
      <c r="AF118">
        <v>4962</v>
      </c>
      <c r="AG118">
        <v>436</v>
      </c>
      <c r="AH118">
        <v>1590</v>
      </c>
      <c r="AI118">
        <v>3</v>
      </c>
      <c r="AJ118">
        <v>87</v>
      </c>
      <c r="AK118">
        <v>1648</v>
      </c>
      <c r="AL118">
        <v>1071</v>
      </c>
      <c r="AM118">
        <v>10</v>
      </c>
      <c r="AN118">
        <v>927</v>
      </c>
      <c r="AO118" t="s">
        <v>826</v>
      </c>
    </row>
    <row r="119" spans="1:41">
      <c r="A119">
        <v>111</v>
      </c>
      <c r="B119" s="2">
        <v>45296.6129050926</v>
      </c>
      <c r="C119">
        <v>445.252</v>
      </c>
      <c r="D119" t="s">
        <v>821</v>
      </c>
      <c r="E119" t="s">
        <v>822</v>
      </c>
      <c r="F119">
        <v>68</v>
      </c>
      <c r="G119">
        <f t="shared" si="3"/>
        <v>0</v>
      </c>
      <c r="H119">
        <v>1</v>
      </c>
      <c r="I119">
        <v>3357</v>
      </c>
      <c r="J119">
        <v>4962</v>
      </c>
      <c r="K119">
        <v>30520</v>
      </c>
      <c r="L119">
        <v>-12495</v>
      </c>
      <c r="M119">
        <v>-12495</v>
      </c>
      <c r="N119">
        <v>36.6</v>
      </c>
      <c r="O119">
        <v>16</v>
      </c>
      <c r="P119">
        <v>65535</v>
      </c>
      <c r="Q119">
        <v>12128</v>
      </c>
      <c r="R119">
        <v>-32767</v>
      </c>
      <c r="S119">
        <v>35.4</v>
      </c>
      <c r="T119">
        <v>12</v>
      </c>
      <c r="U119">
        <v>100</v>
      </c>
      <c r="V119">
        <v>34800</v>
      </c>
      <c r="W119">
        <v>5000</v>
      </c>
      <c r="X119" t="s">
        <v>823</v>
      </c>
      <c r="Y119" t="s">
        <v>830</v>
      </c>
      <c r="Z119" t="s">
        <v>828</v>
      </c>
      <c r="AA119">
        <v>3</v>
      </c>
      <c r="AB119">
        <v>6</v>
      </c>
      <c r="AC119">
        <v>76</v>
      </c>
      <c r="AD119">
        <v>4</v>
      </c>
      <c r="AE119">
        <v>3354</v>
      </c>
      <c r="AF119">
        <v>4962</v>
      </c>
      <c r="AG119">
        <v>440</v>
      </c>
      <c r="AH119">
        <v>1604</v>
      </c>
      <c r="AI119">
        <v>3</v>
      </c>
      <c r="AJ119">
        <v>87</v>
      </c>
      <c r="AK119">
        <v>1648</v>
      </c>
      <c r="AL119">
        <v>1085</v>
      </c>
      <c r="AM119">
        <v>10</v>
      </c>
      <c r="AN119">
        <v>900</v>
      </c>
      <c r="AO119" t="s">
        <v>826</v>
      </c>
    </row>
    <row r="120" spans="1:41">
      <c r="A120">
        <v>112</v>
      </c>
      <c r="B120" s="2">
        <v>45296.6129513889</v>
      </c>
      <c r="C120">
        <v>449.263</v>
      </c>
      <c r="D120" t="s">
        <v>821</v>
      </c>
      <c r="E120" t="s">
        <v>822</v>
      </c>
      <c r="F120">
        <v>68</v>
      </c>
      <c r="G120">
        <f t="shared" si="3"/>
        <v>0</v>
      </c>
      <c r="H120">
        <v>1</v>
      </c>
      <c r="I120">
        <v>3344</v>
      </c>
      <c r="J120">
        <v>4962</v>
      </c>
      <c r="K120">
        <v>30488</v>
      </c>
      <c r="L120">
        <v>-12494</v>
      </c>
      <c r="M120">
        <v>-12495</v>
      </c>
      <c r="N120">
        <v>36.7</v>
      </c>
      <c r="O120">
        <v>16</v>
      </c>
      <c r="P120">
        <v>65535</v>
      </c>
      <c r="Q120">
        <v>12074</v>
      </c>
      <c r="R120">
        <v>-32767</v>
      </c>
      <c r="S120">
        <v>35.4</v>
      </c>
      <c r="T120">
        <v>12</v>
      </c>
      <c r="U120">
        <v>100</v>
      </c>
      <c r="V120">
        <v>34800</v>
      </c>
      <c r="W120">
        <v>5000</v>
      </c>
      <c r="X120" t="s">
        <v>823</v>
      </c>
      <c r="Y120" t="s">
        <v>830</v>
      </c>
      <c r="Z120" t="s">
        <v>828</v>
      </c>
      <c r="AA120">
        <v>3</v>
      </c>
      <c r="AB120">
        <v>6</v>
      </c>
      <c r="AC120">
        <v>76</v>
      </c>
      <c r="AD120">
        <v>4</v>
      </c>
      <c r="AE120">
        <v>3340</v>
      </c>
      <c r="AF120">
        <v>4962</v>
      </c>
      <c r="AG120">
        <v>444</v>
      </c>
      <c r="AH120">
        <v>1618</v>
      </c>
      <c r="AI120">
        <v>3</v>
      </c>
      <c r="AJ120">
        <v>87</v>
      </c>
      <c r="AK120">
        <v>1648</v>
      </c>
      <c r="AL120">
        <v>1099</v>
      </c>
      <c r="AM120">
        <v>10</v>
      </c>
      <c r="AN120">
        <v>904</v>
      </c>
      <c r="AO120" t="s">
        <v>826</v>
      </c>
    </row>
    <row r="121" spans="1:41">
      <c r="A121">
        <v>113</v>
      </c>
      <c r="B121" s="2">
        <v>45296.6129976852</v>
      </c>
      <c r="C121">
        <v>453.276</v>
      </c>
      <c r="D121" t="s">
        <v>821</v>
      </c>
      <c r="E121" t="s">
        <v>822</v>
      </c>
      <c r="F121">
        <v>68</v>
      </c>
      <c r="G121">
        <f t="shared" si="3"/>
        <v>0</v>
      </c>
      <c r="H121">
        <v>1</v>
      </c>
      <c r="I121">
        <v>3326</v>
      </c>
      <c r="J121">
        <v>4962</v>
      </c>
      <c r="K121">
        <v>30472</v>
      </c>
      <c r="L121">
        <v>-12495</v>
      </c>
      <c r="M121">
        <v>-12495</v>
      </c>
      <c r="N121">
        <v>36.8</v>
      </c>
      <c r="O121">
        <v>16</v>
      </c>
      <c r="P121">
        <v>65535</v>
      </c>
      <c r="Q121">
        <v>12021</v>
      </c>
      <c r="R121">
        <v>-32767</v>
      </c>
      <c r="S121">
        <v>35.4</v>
      </c>
      <c r="T121">
        <v>12</v>
      </c>
      <c r="U121">
        <v>100</v>
      </c>
      <c r="V121">
        <v>34800</v>
      </c>
      <c r="W121">
        <v>5000</v>
      </c>
      <c r="X121" t="s">
        <v>823</v>
      </c>
      <c r="Y121" t="s">
        <v>830</v>
      </c>
      <c r="Z121" t="s">
        <v>828</v>
      </c>
      <c r="AA121">
        <v>3</v>
      </c>
      <c r="AB121">
        <v>6</v>
      </c>
      <c r="AC121">
        <v>76</v>
      </c>
      <c r="AD121">
        <v>4</v>
      </c>
      <c r="AE121">
        <v>3326</v>
      </c>
      <c r="AF121">
        <v>4962</v>
      </c>
      <c r="AG121">
        <v>448</v>
      </c>
      <c r="AH121">
        <v>1632</v>
      </c>
      <c r="AI121">
        <v>3</v>
      </c>
      <c r="AJ121">
        <v>87</v>
      </c>
      <c r="AK121">
        <v>1648</v>
      </c>
      <c r="AL121">
        <v>1113</v>
      </c>
      <c r="AM121">
        <v>10</v>
      </c>
      <c r="AN121">
        <v>911</v>
      </c>
      <c r="AO121" t="s">
        <v>826</v>
      </c>
    </row>
    <row r="122" spans="1:41">
      <c r="A122">
        <v>114</v>
      </c>
      <c r="B122" s="2">
        <v>45296.6130439815</v>
      </c>
      <c r="C122">
        <v>457.287</v>
      </c>
      <c r="D122" t="s">
        <v>821</v>
      </c>
      <c r="E122" t="s">
        <v>822</v>
      </c>
      <c r="F122">
        <v>67</v>
      </c>
      <c r="G122">
        <f t="shared" si="3"/>
        <v>1</v>
      </c>
      <c r="H122">
        <v>1</v>
      </c>
      <c r="I122">
        <v>3312</v>
      </c>
      <c r="J122">
        <v>4962</v>
      </c>
      <c r="K122">
        <v>30448</v>
      </c>
      <c r="L122">
        <v>-12494</v>
      </c>
      <c r="M122">
        <v>-12495</v>
      </c>
      <c r="N122">
        <v>36.8</v>
      </c>
      <c r="O122">
        <v>16</v>
      </c>
      <c r="P122">
        <v>65535</v>
      </c>
      <c r="Q122">
        <v>11968</v>
      </c>
      <c r="R122">
        <v>-32767</v>
      </c>
      <c r="S122">
        <v>35.5</v>
      </c>
      <c r="T122">
        <v>12</v>
      </c>
      <c r="U122">
        <v>100</v>
      </c>
      <c r="V122">
        <v>34800</v>
      </c>
      <c r="W122">
        <v>5000</v>
      </c>
      <c r="X122" t="s">
        <v>823</v>
      </c>
      <c r="Y122" t="s">
        <v>830</v>
      </c>
      <c r="Z122" t="s">
        <v>828</v>
      </c>
      <c r="AA122">
        <v>3</v>
      </c>
      <c r="AB122">
        <v>6</v>
      </c>
      <c r="AC122">
        <v>76</v>
      </c>
      <c r="AD122">
        <v>4</v>
      </c>
      <c r="AE122">
        <v>3312</v>
      </c>
      <c r="AF122">
        <v>4962</v>
      </c>
      <c r="AG122">
        <v>452</v>
      </c>
      <c r="AH122">
        <v>1646</v>
      </c>
      <c r="AI122">
        <v>3</v>
      </c>
      <c r="AJ122">
        <v>87</v>
      </c>
      <c r="AK122">
        <v>1648</v>
      </c>
      <c r="AL122">
        <v>1127</v>
      </c>
      <c r="AM122">
        <v>10</v>
      </c>
      <c r="AN122">
        <v>912</v>
      </c>
      <c r="AO122" t="s">
        <v>826</v>
      </c>
    </row>
    <row r="123" spans="1:41">
      <c r="A123">
        <v>115</v>
      </c>
      <c r="B123" s="2">
        <v>45296.6130902778</v>
      </c>
      <c r="C123">
        <v>461.302</v>
      </c>
      <c r="D123" t="s">
        <v>821</v>
      </c>
      <c r="E123" t="s">
        <v>822</v>
      </c>
      <c r="F123">
        <v>67</v>
      </c>
      <c r="G123">
        <f t="shared" si="3"/>
        <v>0</v>
      </c>
      <c r="H123">
        <v>1</v>
      </c>
      <c r="I123">
        <v>3298</v>
      </c>
      <c r="J123">
        <v>4962</v>
      </c>
      <c r="K123">
        <v>30424</v>
      </c>
      <c r="L123">
        <v>-12495</v>
      </c>
      <c r="M123">
        <v>-12495</v>
      </c>
      <c r="N123">
        <v>36.9</v>
      </c>
      <c r="O123">
        <v>16</v>
      </c>
      <c r="P123">
        <v>65535</v>
      </c>
      <c r="Q123">
        <v>11914</v>
      </c>
      <c r="R123">
        <v>-32767</v>
      </c>
      <c r="S123">
        <v>35.6</v>
      </c>
      <c r="T123">
        <v>12</v>
      </c>
      <c r="U123">
        <v>100</v>
      </c>
      <c r="V123">
        <v>34800</v>
      </c>
      <c r="W123">
        <v>5000</v>
      </c>
      <c r="X123" t="s">
        <v>823</v>
      </c>
      <c r="Y123" t="s">
        <v>830</v>
      </c>
      <c r="Z123" t="s">
        <v>828</v>
      </c>
      <c r="AA123">
        <v>3</v>
      </c>
      <c r="AB123">
        <v>6</v>
      </c>
      <c r="AC123">
        <v>76</v>
      </c>
      <c r="AD123">
        <v>4</v>
      </c>
      <c r="AE123">
        <v>3298</v>
      </c>
      <c r="AF123">
        <v>4962</v>
      </c>
      <c r="AG123">
        <v>456</v>
      </c>
      <c r="AH123">
        <v>1660</v>
      </c>
      <c r="AI123">
        <v>3</v>
      </c>
      <c r="AJ123">
        <v>87</v>
      </c>
      <c r="AK123">
        <v>1648</v>
      </c>
      <c r="AL123">
        <v>1141</v>
      </c>
      <c r="AM123">
        <v>10</v>
      </c>
      <c r="AN123">
        <v>912</v>
      </c>
      <c r="AO123" t="s">
        <v>826</v>
      </c>
    </row>
    <row r="124" spans="1:41">
      <c r="A124">
        <v>116</v>
      </c>
      <c r="B124" s="2">
        <v>45296.6131365741</v>
      </c>
      <c r="C124">
        <v>465.316</v>
      </c>
      <c r="D124" t="s">
        <v>821</v>
      </c>
      <c r="E124" t="s">
        <v>822</v>
      </c>
      <c r="F124">
        <v>67</v>
      </c>
      <c r="G124">
        <f t="shared" si="3"/>
        <v>0</v>
      </c>
      <c r="H124">
        <v>1</v>
      </c>
      <c r="I124">
        <v>3285</v>
      </c>
      <c r="J124">
        <v>4962</v>
      </c>
      <c r="K124">
        <v>30400</v>
      </c>
      <c r="L124">
        <v>-12495</v>
      </c>
      <c r="M124">
        <v>-12495</v>
      </c>
      <c r="N124">
        <v>37</v>
      </c>
      <c r="O124">
        <v>16</v>
      </c>
      <c r="P124">
        <v>65535</v>
      </c>
      <c r="Q124">
        <v>11865</v>
      </c>
      <c r="R124">
        <v>-32767</v>
      </c>
      <c r="S124">
        <v>35.7</v>
      </c>
      <c r="T124">
        <v>12</v>
      </c>
      <c r="U124">
        <v>100</v>
      </c>
      <c r="V124">
        <v>34800</v>
      </c>
      <c r="W124">
        <v>5000</v>
      </c>
      <c r="X124" t="s">
        <v>823</v>
      </c>
      <c r="Y124" t="s">
        <v>830</v>
      </c>
      <c r="Z124" t="s">
        <v>828</v>
      </c>
      <c r="AA124">
        <v>3</v>
      </c>
      <c r="AB124">
        <v>6</v>
      </c>
      <c r="AC124">
        <v>76</v>
      </c>
      <c r="AD124">
        <v>4</v>
      </c>
      <c r="AE124">
        <v>3285</v>
      </c>
      <c r="AF124">
        <v>4962</v>
      </c>
      <c r="AG124">
        <v>460</v>
      </c>
      <c r="AH124">
        <v>1673</v>
      </c>
      <c r="AI124">
        <v>3</v>
      </c>
      <c r="AJ124">
        <v>87</v>
      </c>
      <c r="AK124">
        <v>1648</v>
      </c>
      <c r="AL124">
        <v>1154</v>
      </c>
      <c r="AM124">
        <v>10</v>
      </c>
      <c r="AN124">
        <v>900</v>
      </c>
      <c r="AO124" t="s">
        <v>826</v>
      </c>
    </row>
    <row r="125" spans="1:41">
      <c r="A125">
        <v>117</v>
      </c>
      <c r="B125" s="2">
        <v>45296.6131828704</v>
      </c>
      <c r="C125">
        <v>469.328</v>
      </c>
      <c r="D125" t="s">
        <v>821</v>
      </c>
      <c r="E125" t="s">
        <v>822</v>
      </c>
      <c r="F125">
        <v>66</v>
      </c>
      <c r="G125">
        <f t="shared" si="3"/>
        <v>1</v>
      </c>
      <c r="H125">
        <v>1</v>
      </c>
      <c r="I125">
        <v>3271</v>
      </c>
      <c r="J125">
        <v>4962</v>
      </c>
      <c r="K125">
        <v>30376</v>
      </c>
      <c r="L125">
        <v>-12495</v>
      </c>
      <c r="M125">
        <v>-12495</v>
      </c>
      <c r="N125">
        <v>37.1</v>
      </c>
      <c r="O125">
        <v>16</v>
      </c>
      <c r="P125">
        <v>65535</v>
      </c>
      <c r="Q125">
        <v>11812</v>
      </c>
      <c r="R125">
        <v>-32767</v>
      </c>
      <c r="S125">
        <v>35.7</v>
      </c>
      <c r="T125">
        <v>12</v>
      </c>
      <c r="U125">
        <v>100</v>
      </c>
      <c r="V125">
        <v>34800</v>
      </c>
      <c r="W125">
        <v>5000</v>
      </c>
      <c r="X125" t="s">
        <v>823</v>
      </c>
      <c r="Y125" t="s">
        <v>830</v>
      </c>
      <c r="Z125" t="s">
        <v>828</v>
      </c>
      <c r="AA125">
        <v>3</v>
      </c>
      <c r="AB125">
        <v>6</v>
      </c>
      <c r="AC125">
        <v>76</v>
      </c>
      <c r="AD125">
        <v>4</v>
      </c>
      <c r="AE125">
        <v>3271</v>
      </c>
      <c r="AF125">
        <v>4962</v>
      </c>
      <c r="AG125">
        <v>464</v>
      </c>
      <c r="AH125">
        <v>1687</v>
      </c>
      <c r="AI125">
        <v>3</v>
      </c>
      <c r="AJ125">
        <v>87</v>
      </c>
      <c r="AK125">
        <v>1648</v>
      </c>
      <c r="AL125">
        <v>1168</v>
      </c>
      <c r="AM125">
        <v>10</v>
      </c>
      <c r="AN125">
        <v>900</v>
      </c>
      <c r="AO125" t="s">
        <v>826</v>
      </c>
    </row>
    <row r="126" spans="1:41">
      <c r="A126">
        <v>118</v>
      </c>
      <c r="B126" s="2">
        <v>45296.6132291667</v>
      </c>
      <c r="C126">
        <v>473.337</v>
      </c>
      <c r="D126" t="s">
        <v>821</v>
      </c>
      <c r="E126" t="s">
        <v>822</v>
      </c>
      <c r="F126">
        <v>66</v>
      </c>
      <c r="G126">
        <f t="shared" si="3"/>
        <v>0</v>
      </c>
      <c r="H126">
        <v>1</v>
      </c>
      <c r="I126">
        <v>3257</v>
      </c>
      <c r="J126">
        <v>4962</v>
      </c>
      <c r="K126">
        <v>30352</v>
      </c>
      <c r="L126">
        <v>-12495</v>
      </c>
      <c r="M126">
        <v>-12495</v>
      </c>
      <c r="N126">
        <v>37.1</v>
      </c>
      <c r="O126">
        <v>16</v>
      </c>
      <c r="P126">
        <v>65535</v>
      </c>
      <c r="Q126">
        <v>11759</v>
      </c>
      <c r="R126">
        <v>-32767</v>
      </c>
      <c r="S126">
        <v>35.8</v>
      </c>
      <c r="T126">
        <v>12</v>
      </c>
      <c r="U126">
        <v>100</v>
      </c>
      <c r="V126">
        <v>34800</v>
      </c>
      <c r="W126">
        <v>5000</v>
      </c>
      <c r="X126" t="s">
        <v>823</v>
      </c>
      <c r="Y126" t="s">
        <v>830</v>
      </c>
      <c r="Z126" t="s">
        <v>828</v>
      </c>
      <c r="AA126">
        <v>3</v>
      </c>
      <c r="AB126">
        <v>6</v>
      </c>
      <c r="AC126">
        <v>76</v>
      </c>
      <c r="AD126">
        <v>4</v>
      </c>
      <c r="AE126">
        <v>3257</v>
      </c>
      <c r="AF126">
        <v>4962</v>
      </c>
      <c r="AG126">
        <v>468</v>
      </c>
      <c r="AH126">
        <v>1701</v>
      </c>
      <c r="AI126">
        <v>3</v>
      </c>
      <c r="AJ126">
        <v>87</v>
      </c>
      <c r="AK126">
        <v>1648</v>
      </c>
      <c r="AL126">
        <v>1182</v>
      </c>
      <c r="AM126">
        <v>10</v>
      </c>
      <c r="AN126">
        <v>910</v>
      </c>
      <c r="AO126" t="s">
        <v>826</v>
      </c>
    </row>
    <row r="127" spans="1:41">
      <c r="A127">
        <v>119</v>
      </c>
      <c r="B127" s="2">
        <v>45296.613275463</v>
      </c>
      <c r="C127">
        <v>477.35</v>
      </c>
      <c r="D127" t="s">
        <v>821</v>
      </c>
      <c r="E127" t="s">
        <v>822</v>
      </c>
      <c r="F127">
        <v>66</v>
      </c>
      <c r="G127">
        <f t="shared" si="3"/>
        <v>0</v>
      </c>
      <c r="H127">
        <v>1</v>
      </c>
      <c r="I127">
        <v>3243</v>
      </c>
      <c r="J127">
        <v>4962</v>
      </c>
      <c r="K127">
        <v>30328</v>
      </c>
      <c r="L127">
        <v>-12495</v>
      </c>
      <c r="M127">
        <v>-12495</v>
      </c>
      <c r="N127">
        <v>37.2</v>
      </c>
      <c r="O127">
        <v>16</v>
      </c>
      <c r="P127">
        <v>65535</v>
      </c>
      <c r="Q127">
        <v>11706</v>
      </c>
      <c r="R127">
        <v>-32767</v>
      </c>
      <c r="S127">
        <v>35.9</v>
      </c>
      <c r="T127">
        <v>12</v>
      </c>
      <c r="U127">
        <v>100</v>
      </c>
      <c r="V127">
        <v>34800</v>
      </c>
      <c r="W127">
        <v>5000</v>
      </c>
      <c r="X127" t="s">
        <v>823</v>
      </c>
      <c r="Y127" t="s">
        <v>830</v>
      </c>
      <c r="Z127" t="s">
        <v>828</v>
      </c>
      <c r="AA127">
        <v>3</v>
      </c>
      <c r="AB127">
        <v>6</v>
      </c>
      <c r="AC127">
        <v>76</v>
      </c>
      <c r="AD127">
        <v>4</v>
      </c>
      <c r="AE127">
        <v>3243</v>
      </c>
      <c r="AF127">
        <v>4962</v>
      </c>
      <c r="AG127">
        <v>472</v>
      </c>
      <c r="AH127">
        <v>1715</v>
      </c>
      <c r="AI127">
        <v>3</v>
      </c>
      <c r="AJ127">
        <v>87</v>
      </c>
      <c r="AK127">
        <v>1648</v>
      </c>
      <c r="AL127">
        <v>1196</v>
      </c>
      <c r="AM127">
        <v>10</v>
      </c>
      <c r="AN127">
        <v>911</v>
      </c>
      <c r="AO127" t="s">
        <v>826</v>
      </c>
    </row>
    <row r="128" spans="1:41">
      <c r="A128">
        <v>120</v>
      </c>
      <c r="B128" s="2">
        <v>45296.6133217593</v>
      </c>
      <c r="C128">
        <v>481.361</v>
      </c>
      <c r="D128" t="s">
        <v>821</v>
      </c>
      <c r="E128" t="s">
        <v>822</v>
      </c>
      <c r="F128">
        <v>66</v>
      </c>
      <c r="G128">
        <f t="shared" si="3"/>
        <v>0</v>
      </c>
      <c r="H128">
        <v>1</v>
      </c>
      <c r="I128">
        <v>3229</v>
      </c>
      <c r="J128">
        <v>4962</v>
      </c>
      <c r="K128">
        <v>30304</v>
      </c>
      <c r="L128">
        <v>-12495</v>
      </c>
      <c r="M128">
        <v>-12495</v>
      </c>
      <c r="N128">
        <v>37.2</v>
      </c>
      <c r="O128">
        <v>16</v>
      </c>
      <c r="P128">
        <v>65535</v>
      </c>
      <c r="Q128">
        <v>11653</v>
      </c>
      <c r="R128">
        <v>-32767</v>
      </c>
      <c r="S128">
        <v>35.9</v>
      </c>
      <c r="T128">
        <v>12</v>
      </c>
      <c r="U128">
        <v>100</v>
      </c>
      <c r="V128">
        <v>34800</v>
      </c>
      <c r="W128">
        <v>5000</v>
      </c>
      <c r="X128" t="s">
        <v>823</v>
      </c>
      <c r="Y128" t="s">
        <v>830</v>
      </c>
      <c r="Z128" t="s">
        <v>828</v>
      </c>
      <c r="AA128">
        <v>3</v>
      </c>
      <c r="AB128">
        <v>6</v>
      </c>
      <c r="AC128">
        <v>76</v>
      </c>
      <c r="AD128">
        <v>4</v>
      </c>
      <c r="AE128">
        <v>3229</v>
      </c>
      <c r="AF128">
        <v>4962</v>
      </c>
      <c r="AG128">
        <v>476</v>
      </c>
      <c r="AH128">
        <v>1729</v>
      </c>
      <c r="AI128">
        <v>3</v>
      </c>
      <c r="AJ128">
        <v>87</v>
      </c>
      <c r="AK128">
        <v>1648</v>
      </c>
      <c r="AL128">
        <v>1210</v>
      </c>
      <c r="AM128">
        <v>10</v>
      </c>
      <c r="AN128">
        <v>906</v>
      </c>
      <c r="AO128" t="s">
        <v>826</v>
      </c>
    </row>
    <row r="129" spans="1:41">
      <c r="A129">
        <v>121</v>
      </c>
      <c r="B129" s="2">
        <v>45296.6133680556</v>
      </c>
      <c r="C129">
        <v>485.373</v>
      </c>
      <c r="D129" t="s">
        <v>821</v>
      </c>
      <c r="E129" t="s">
        <v>822</v>
      </c>
      <c r="F129">
        <v>65</v>
      </c>
      <c r="G129">
        <f t="shared" si="3"/>
        <v>1</v>
      </c>
      <c r="H129">
        <v>1</v>
      </c>
      <c r="I129">
        <v>3215</v>
      </c>
      <c r="J129">
        <v>4962</v>
      </c>
      <c r="K129">
        <v>30280</v>
      </c>
      <c r="L129">
        <v>-12495</v>
      </c>
      <c r="M129">
        <v>-12495</v>
      </c>
      <c r="N129">
        <v>37.3</v>
      </c>
      <c r="O129">
        <v>15</v>
      </c>
      <c r="P129">
        <v>65535</v>
      </c>
      <c r="Q129">
        <v>11600</v>
      </c>
      <c r="R129">
        <v>-32767</v>
      </c>
      <c r="S129">
        <v>35.9</v>
      </c>
      <c r="T129">
        <v>12</v>
      </c>
      <c r="U129">
        <v>100</v>
      </c>
      <c r="V129">
        <v>34800</v>
      </c>
      <c r="W129">
        <v>5000</v>
      </c>
      <c r="X129" t="s">
        <v>823</v>
      </c>
      <c r="Y129" t="s">
        <v>830</v>
      </c>
      <c r="Z129" t="s">
        <v>828</v>
      </c>
      <c r="AA129">
        <v>3</v>
      </c>
      <c r="AB129">
        <v>6</v>
      </c>
      <c r="AC129">
        <v>76</v>
      </c>
      <c r="AD129">
        <v>4</v>
      </c>
      <c r="AE129">
        <v>3215</v>
      </c>
      <c r="AF129">
        <v>4962</v>
      </c>
      <c r="AG129">
        <v>480</v>
      </c>
      <c r="AH129">
        <v>1743</v>
      </c>
      <c r="AI129">
        <v>3</v>
      </c>
      <c r="AJ129">
        <v>87</v>
      </c>
      <c r="AK129">
        <v>1648</v>
      </c>
      <c r="AL129">
        <v>1224</v>
      </c>
      <c r="AM129">
        <v>10</v>
      </c>
      <c r="AN129">
        <v>906</v>
      </c>
      <c r="AO129" t="s">
        <v>826</v>
      </c>
    </row>
    <row r="130" spans="1:41">
      <c r="A130">
        <v>122</v>
      </c>
      <c r="B130" s="2">
        <v>45296.6134143519</v>
      </c>
      <c r="C130">
        <v>489.375</v>
      </c>
      <c r="D130" t="s">
        <v>821</v>
      </c>
      <c r="E130" t="s">
        <v>822</v>
      </c>
      <c r="F130">
        <v>65</v>
      </c>
      <c r="G130">
        <f t="shared" si="3"/>
        <v>0</v>
      </c>
      <c r="H130">
        <v>1</v>
      </c>
      <c r="I130">
        <v>3201</v>
      </c>
      <c r="J130">
        <v>4962</v>
      </c>
      <c r="K130">
        <v>30256</v>
      </c>
      <c r="L130">
        <v>-12495</v>
      </c>
      <c r="M130">
        <v>-12495</v>
      </c>
      <c r="N130">
        <v>37.4</v>
      </c>
      <c r="O130">
        <v>15</v>
      </c>
      <c r="P130">
        <v>65535</v>
      </c>
      <c r="Q130">
        <v>11547</v>
      </c>
      <c r="R130">
        <v>-32767</v>
      </c>
      <c r="S130">
        <v>36</v>
      </c>
      <c r="T130">
        <v>12</v>
      </c>
      <c r="U130">
        <v>100</v>
      </c>
      <c r="V130">
        <v>34800</v>
      </c>
      <c r="W130">
        <v>5000</v>
      </c>
      <c r="X130" t="s">
        <v>823</v>
      </c>
      <c r="Y130" t="s">
        <v>830</v>
      </c>
      <c r="Z130" t="s">
        <v>828</v>
      </c>
      <c r="AA130">
        <v>3</v>
      </c>
      <c r="AB130">
        <v>6</v>
      </c>
      <c r="AC130">
        <v>76</v>
      </c>
      <c r="AD130">
        <v>4</v>
      </c>
      <c r="AE130">
        <v>3201</v>
      </c>
      <c r="AF130">
        <v>4962</v>
      </c>
      <c r="AG130">
        <v>484</v>
      </c>
      <c r="AH130">
        <v>1757</v>
      </c>
      <c r="AI130">
        <v>3</v>
      </c>
      <c r="AJ130">
        <v>87</v>
      </c>
      <c r="AK130">
        <v>1648</v>
      </c>
      <c r="AL130">
        <v>1238</v>
      </c>
      <c r="AM130">
        <v>10</v>
      </c>
      <c r="AN130">
        <v>905</v>
      </c>
      <c r="AO130" t="s">
        <v>826</v>
      </c>
    </row>
    <row r="131" spans="1:41">
      <c r="A131">
        <v>123</v>
      </c>
      <c r="B131" s="2">
        <v>45296.6134606482</v>
      </c>
      <c r="C131">
        <v>493.385</v>
      </c>
      <c r="D131" t="s">
        <v>821</v>
      </c>
      <c r="E131" t="s">
        <v>822</v>
      </c>
      <c r="F131">
        <v>65</v>
      </c>
      <c r="G131">
        <f t="shared" si="3"/>
        <v>0</v>
      </c>
      <c r="H131">
        <v>1</v>
      </c>
      <c r="I131">
        <v>3187</v>
      </c>
      <c r="J131">
        <v>4962</v>
      </c>
      <c r="K131">
        <v>30232</v>
      </c>
      <c r="L131">
        <v>-12495</v>
      </c>
      <c r="M131">
        <v>-12495</v>
      </c>
      <c r="N131">
        <v>37.4</v>
      </c>
      <c r="O131">
        <v>15</v>
      </c>
      <c r="P131">
        <v>65535</v>
      </c>
      <c r="Q131">
        <v>11494</v>
      </c>
      <c r="R131">
        <v>-32767</v>
      </c>
      <c r="S131">
        <v>36</v>
      </c>
      <c r="T131">
        <v>12</v>
      </c>
      <c r="U131">
        <v>100</v>
      </c>
      <c r="V131">
        <v>34800</v>
      </c>
      <c r="W131">
        <v>5000</v>
      </c>
      <c r="X131" t="s">
        <v>823</v>
      </c>
      <c r="Y131" t="s">
        <v>830</v>
      </c>
      <c r="Z131" t="s">
        <v>828</v>
      </c>
      <c r="AA131">
        <v>3</v>
      </c>
      <c r="AB131">
        <v>6</v>
      </c>
      <c r="AC131">
        <v>76</v>
      </c>
      <c r="AD131">
        <v>4</v>
      </c>
      <c r="AE131">
        <v>3187</v>
      </c>
      <c r="AF131">
        <v>4962</v>
      </c>
      <c r="AG131">
        <v>488</v>
      </c>
      <c r="AH131">
        <v>1771</v>
      </c>
      <c r="AI131">
        <v>3</v>
      </c>
      <c r="AJ131">
        <v>87</v>
      </c>
      <c r="AK131">
        <v>1648</v>
      </c>
      <c r="AL131">
        <v>1252</v>
      </c>
      <c r="AM131">
        <v>10</v>
      </c>
      <c r="AN131">
        <v>894</v>
      </c>
      <c r="AO131" t="s">
        <v>826</v>
      </c>
    </row>
    <row r="132" spans="1:41">
      <c r="A132">
        <v>124</v>
      </c>
      <c r="B132" s="2">
        <v>45296.6135069444</v>
      </c>
      <c r="C132">
        <v>497.397</v>
      </c>
      <c r="D132" t="s">
        <v>821</v>
      </c>
      <c r="E132" t="s">
        <v>822</v>
      </c>
      <c r="F132">
        <v>64</v>
      </c>
      <c r="G132">
        <f t="shared" si="3"/>
        <v>1</v>
      </c>
      <c r="H132">
        <v>1</v>
      </c>
      <c r="I132">
        <v>3173</v>
      </c>
      <c r="J132">
        <v>4962</v>
      </c>
      <c r="K132">
        <v>30208</v>
      </c>
      <c r="L132">
        <v>-12495</v>
      </c>
      <c r="M132">
        <v>-12495</v>
      </c>
      <c r="N132">
        <v>37.5</v>
      </c>
      <c r="O132">
        <v>15</v>
      </c>
      <c r="P132">
        <v>65535</v>
      </c>
      <c r="Q132">
        <v>11441</v>
      </c>
      <c r="R132">
        <v>-32767</v>
      </c>
      <c r="S132">
        <v>36.1</v>
      </c>
      <c r="T132">
        <v>12</v>
      </c>
      <c r="U132">
        <v>100</v>
      </c>
      <c r="V132">
        <v>34800</v>
      </c>
      <c r="W132">
        <v>5000</v>
      </c>
      <c r="X132" t="s">
        <v>823</v>
      </c>
      <c r="Y132" t="s">
        <v>830</v>
      </c>
      <c r="Z132" t="s">
        <v>828</v>
      </c>
      <c r="AA132">
        <v>4</v>
      </c>
      <c r="AB132">
        <v>6</v>
      </c>
      <c r="AC132">
        <v>76</v>
      </c>
      <c r="AD132">
        <v>4</v>
      </c>
      <c r="AE132">
        <v>3173</v>
      </c>
      <c r="AF132">
        <v>4962</v>
      </c>
      <c r="AG132">
        <v>492</v>
      </c>
      <c r="AH132">
        <v>1785</v>
      </c>
      <c r="AI132">
        <v>3</v>
      </c>
      <c r="AJ132">
        <v>87</v>
      </c>
      <c r="AK132">
        <v>1648</v>
      </c>
      <c r="AL132">
        <v>1266</v>
      </c>
      <c r="AM132">
        <v>10</v>
      </c>
      <c r="AN132">
        <v>910</v>
      </c>
      <c r="AO132" t="s">
        <v>826</v>
      </c>
    </row>
    <row r="133" spans="1:41">
      <c r="A133">
        <v>125</v>
      </c>
      <c r="B133" s="2">
        <v>45296.6135532407</v>
      </c>
      <c r="C133">
        <v>501.397</v>
      </c>
      <c r="D133" t="s">
        <v>821</v>
      </c>
      <c r="E133" t="s">
        <v>822</v>
      </c>
      <c r="F133">
        <v>64</v>
      </c>
      <c r="G133">
        <f t="shared" si="3"/>
        <v>0</v>
      </c>
      <c r="H133">
        <v>1</v>
      </c>
      <c r="I133">
        <v>3160</v>
      </c>
      <c r="J133">
        <v>4962</v>
      </c>
      <c r="K133">
        <v>30184</v>
      </c>
      <c r="L133">
        <v>-12495</v>
      </c>
      <c r="M133">
        <v>-12495</v>
      </c>
      <c r="N133">
        <v>37.5</v>
      </c>
      <c r="O133">
        <v>15</v>
      </c>
      <c r="P133">
        <v>65535</v>
      </c>
      <c r="Q133">
        <v>11392</v>
      </c>
      <c r="R133">
        <v>-32767</v>
      </c>
      <c r="S133">
        <v>36.2</v>
      </c>
      <c r="T133">
        <v>13</v>
      </c>
      <c r="U133">
        <v>100</v>
      </c>
      <c r="V133">
        <v>34800</v>
      </c>
      <c r="W133">
        <v>5000</v>
      </c>
      <c r="X133" t="s">
        <v>823</v>
      </c>
      <c r="Y133" t="s">
        <v>830</v>
      </c>
      <c r="Z133" t="s">
        <v>828</v>
      </c>
      <c r="AA133">
        <v>4</v>
      </c>
      <c r="AB133">
        <v>6</v>
      </c>
      <c r="AC133">
        <v>76</v>
      </c>
      <c r="AD133">
        <v>4</v>
      </c>
      <c r="AE133">
        <v>3160</v>
      </c>
      <c r="AF133">
        <v>4962</v>
      </c>
      <c r="AG133">
        <v>496</v>
      </c>
      <c r="AH133">
        <v>1798</v>
      </c>
      <c r="AI133">
        <v>3</v>
      </c>
      <c r="AJ133">
        <v>87</v>
      </c>
      <c r="AK133">
        <v>1648</v>
      </c>
      <c r="AL133">
        <v>1279</v>
      </c>
      <c r="AM133">
        <v>10</v>
      </c>
      <c r="AN133">
        <v>913</v>
      </c>
      <c r="AO133" t="s">
        <v>826</v>
      </c>
    </row>
    <row r="134" spans="1:41">
      <c r="A134">
        <v>126</v>
      </c>
      <c r="B134" s="2">
        <v>45296.613599537</v>
      </c>
      <c r="C134">
        <v>505.407</v>
      </c>
      <c r="D134" t="s">
        <v>821</v>
      </c>
      <c r="E134" t="s">
        <v>822</v>
      </c>
      <c r="F134">
        <v>64</v>
      </c>
      <c r="G134">
        <f t="shared" si="3"/>
        <v>0</v>
      </c>
      <c r="H134">
        <v>1</v>
      </c>
      <c r="I134">
        <v>3146</v>
      </c>
      <c r="J134">
        <v>4962</v>
      </c>
      <c r="K134">
        <v>30160</v>
      </c>
      <c r="L134">
        <v>-12495</v>
      </c>
      <c r="M134">
        <v>-12495</v>
      </c>
      <c r="N134">
        <v>37.6</v>
      </c>
      <c r="O134">
        <v>15</v>
      </c>
      <c r="P134">
        <v>65535</v>
      </c>
      <c r="Q134">
        <v>11339</v>
      </c>
      <c r="R134">
        <v>-32767</v>
      </c>
      <c r="S134">
        <v>36.2</v>
      </c>
      <c r="T134">
        <v>13</v>
      </c>
      <c r="U134">
        <v>100</v>
      </c>
      <c r="V134">
        <v>34800</v>
      </c>
      <c r="W134">
        <v>5000</v>
      </c>
      <c r="X134" t="s">
        <v>823</v>
      </c>
      <c r="Y134" t="s">
        <v>830</v>
      </c>
      <c r="Z134" t="s">
        <v>828</v>
      </c>
      <c r="AA134">
        <v>4</v>
      </c>
      <c r="AB134">
        <v>6</v>
      </c>
      <c r="AC134">
        <v>76</v>
      </c>
      <c r="AD134">
        <v>4</v>
      </c>
      <c r="AE134">
        <v>3125</v>
      </c>
      <c r="AF134">
        <v>4941</v>
      </c>
      <c r="AG134">
        <v>500</v>
      </c>
      <c r="AH134">
        <v>1812</v>
      </c>
      <c r="AI134">
        <v>3</v>
      </c>
      <c r="AJ134">
        <v>87</v>
      </c>
      <c r="AK134">
        <v>1648</v>
      </c>
      <c r="AL134">
        <v>1293</v>
      </c>
      <c r="AM134">
        <v>10</v>
      </c>
      <c r="AN134">
        <v>901</v>
      </c>
      <c r="AO134" t="s">
        <v>826</v>
      </c>
    </row>
    <row r="135" spans="1:41">
      <c r="A135">
        <v>127</v>
      </c>
      <c r="B135" s="2">
        <v>45296.6136458333</v>
      </c>
      <c r="C135">
        <v>509.421</v>
      </c>
      <c r="D135" t="s">
        <v>821</v>
      </c>
      <c r="E135" t="s">
        <v>822</v>
      </c>
      <c r="F135">
        <v>63</v>
      </c>
      <c r="G135">
        <f t="shared" si="3"/>
        <v>1</v>
      </c>
      <c r="H135">
        <v>1</v>
      </c>
      <c r="I135">
        <v>3111</v>
      </c>
      <c r="J135">
        <v>4941</v>
      </c>
      <c r="K135">
        <v>30136</v>
      </c>
      <c r="L135">
        <v>-12495</v>
      </c>
      <c r="M135">
        <v>-12495</v>
      </c>
      <c r="N135">
        <v>37.7</v>
      </c>
      <c r="O135">
        <v>15</v>
      </c>
      <c r="P135">
        <v>65535</v>
      </c>
      <c r="Q135">
        <v>11199</v>
      </c>
      <c r="R135">
        <v>-32767</v>
      </c>
      <c r="S135">
        <v>36.3</v>
      </c>
      <c r="T135">
        <v>13</v>
      </c>
      <c r="U135">
        <v>100</v>
      </c>
      <c r="V135">
        <v>34800</v>
      </c>
      <c r="W135">
        <v>5000</v>
      </c>
      <c r="X135" t="s">
        <v>823</v>
      </c>
      <c r="Y135" t="s">
        <v>830</v>
      </c>
      <c r="Z135" t="s">
        <v>828</v>
      </c>
      <c r="AA135">
        <v>4</v>
      </c>
      <c r="AB135">
        <v>6</v>
      </c>
      <c r="AC135">
        <v>76</v>
      </c>
      <c r="AD135">
        <v>4</v>
      </c>
      <c r="AE135">
        <v>3111</v>
      </c>
      <c r="AF135">
        <v>4941</v>
      </c>
      <c r="AG135">
        <v>504</v>
      </c>
      <c r="AH135">
        <v>1826</v>
      </c>
      <c r="AI135">
        <v>3</v>
      </c>
      <c r="AJ135">
        <v>87</v>
      </c>
      <c r="AK135">
        <v>1648</v>
      </c>
      <c r="AL135">
        <v>1307</v>
      </c>
      <c r="AM135">
        <v>10</v>
      </c>
      <c r="AN135">
        <v>921</v>
      </c>
      <c r="AO135" t="s">
        <v>826</v>
      </c>
    </row>
    <row r="136" spans="1:41">
      <c r="A136">
        <v>128</v>
      </c>
      <c r="B136" s="2">
        <v>45296.6136921296</v>
      </c>
      <c r="C136">
        <v>513.435</v>
      </c>
      <c r="D136" t="s">
        <v>821</v>
      </c>
      <c r="E136" t="s">
        <v>822</v>
      </c>
      <c r="F136">
        <v>63</v>
      </c>
      <c r="G136">
        <f t="shared" si="3"/>
        <v>0</v>
      </c>
      <c r="H136">
        <v>1</v>
      </c>
      <c r="I136">
        <v>3097</v>
      </c>
      <c r="J136">
        <v>4941</v>
      </c>
      <c r="K136">
        <v>30112</v>
      </c>
      <c r="L136">
        <v>-12495</v>
      </c>
      <c r="M136">
        <v>-12495</v>
      </c>
      <c r="N136">
        <v>37.7</v>
      </c>
      <c r="O136">
        <v>15</v>
      </c>
      <c r="P136">
        <v>65535</v>
      </c>
      <c r="Q136">
        <v>11146</v>
      </c>
      <c r="R136">
        <v>-32767</v>
      </c>
      <c r="S136">
        <v>36.3</v>
      </c>
      <c r="T136">
        <v>13</v>
      </c>
      <c r="U136">
        <v>100</v>
      </c>
      <c r="V136">
        <v>34800</v>
      </c>
      <c r="W136">
        <v>5000</v>
      </c>
      <c r="X136" t="s">
        <v>823</v>
      </c>
      <c r="Y136" t="s">
        <v>830</v>
      </c>
      <c r="Z136" t="s">
        <v>828</v>
      </c>
      <c r="AA136">
        <v>4</v>
      </c>
      <c r="AB136">
        <v>6</v>
      </c>
      <c r="AC136">
        <v>76</v>
      </c>
      <c r="AD136">
        <v>4</v>
      </c>
      <c r="AE136">
        <v>3097</v>
      </c>
      <c r="AF136">
        <v>4941</v>
      </c>
      <c r="AG136">
        <v>508</v>
      </c>
      <c r="AH136">
        <v>1840</v>
      </c>
      <c r="AI136">
        <v>3</v>
      </c>
      <c r="AJ136">
        <v>87</v>
      </c>
      <c r="AK136">
        <v>1648</v>
      </c>
      <c r="AL136">
        <v>1321</v>
      </c>
      <c r="AM136">
        <v>10</v>
      </c>
      <c r="AN136">
        <v>903</v>
      </c>
      <c r="AO136" t="s">
        <v>826</v>
      </c>
    </row>
    <row r="137" spans="1:41">
      <c r="A137">
        <v>129</v>
      </c>
      <c r="B137" s="2">
        <v>45296.6137384259</v>
      </c>
      <c r="C137">
        <v>517.447</v>
      </c>
      <c r="D137" t="s">
        <v>821</v>
      </c>
      <c r="E137" t="s">
        <v>822</v>
      </c>
      <c r="F137">
        <v>63</v>
      </c>
      <c r="G137">
        <f t="shared" si="3"/>
        <v>0</v>
      </c>
      <c r="H137">
        <v>1</v>
      </c>
      <c r="I137">
        <v>3083</v>
      </c>
      <c r="J137">
        <v>4941</v>
      </c>
      <c r="K137">
        <v>30088</v>
      </c>
      <c r="L137">
        <v>-12495</v>
      </c>
      <c r="M137">
        <v>-12495</v>
      </c>
      <c r="N137">
        <v>37.8</v>
      </c>
      <c r="O137">
        <v>15</v>
      </c>
      <c r="P137">
        <v>65535</v>
      </c>
      <c r="Q137">
        <v>11094</v>
      </c>
      <c r="R137">
        <v>-32767</v>
      </c>
      <c r="S137">
        <v>36.4</v>
      </c>
      <c r="T137">
        <v>13</v>
      </c>
      <c r="U137">
        <v>100</v>
      </c>
      <c r="V137">
        <v>34800</v>
      </c>
      <c r="W137">
        <v>5000</v>
      </c>
      <c r="X137" t="s">
        <v>823</v>
      </c>
      <c r="Y137" t="s">
        <v>830</v>
      </c>
      <c r="Z137" t="s">
        <v>828</v>
      </c>
      <c r="AA137">
        <v>4</v>
      </c>
      <c r="AB137">
        <v>6</v>
      </c>
      <c r="AC137">
        <v>76</v>
      </c>
      <c r="AD137">
        <v>4</v>
      </c>
      <c r="AE137">
        <v>3083</v>
      </c>
      <c r="AF137">
        <v>4941</v>
      </c>
      <c r="AG137">
        <v>512</v>
      </c>
      <c r="AH137">
        <v>1854</v>
      </c>
      <c r="AI137">
        <v>3</v>
      </c>
      <c r="AJ137">
        <v>87</v>
      </c>
      <c r="AK137">
        <v>1648</v>
      </c>
      <c r="AL137">
        <v>1335</v>
      </c>
      <c r="AM137">
        <v>10</v>
      </c>
      <c r="AN137">
        <v>908</v>
      </c>
      <c r="AO137" t="s">
        <v>826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Summary</vt:lpstr>
      <vt:lpstr>春菊 CJ221</vt:lpstr>
      <vt:lpstr>I0364&amp; Philip</vt:lpstr>
      <vt:lpstr>I0376A 4S</vt:lpstr>
      <vt:lpstr>I0380A 6S</vt:lpstr>
      <vt:lpstr>Sony无人机</vt:lpstr>
      <vt:lpstr>Sheet1</vt:lpstr>
      <vt:lpstr>I0708A&amp;i0712A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leiyupei</cp:lastModifiedBy>
  <dcterms:created xsi:type="dcterms:W3CDTF">2006-09-16T00:00:00Z</dcterms:created>
  <dcterms:modified xsi:type="dcterms:W3CDTF">2024-01-05T08:25:37Z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D9E20878DA484FFF8242A932C6E4E379_13</vt:lpwstr>
  </property>
  <property fmtid="{D5CDD505-2E9C-101B-9397-08002B2CF9AE}" pid="3" name="KSOProductBuildVer">
    <vt:lpwstr>2052-12.1.0.15374</vt:lpwstr>
  </property>
</Properties>
</file>