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500" windowHeight="8868" tabRatio="492" activeTab="0"/>
  </bookViews>
  <sheets>
    <sheet name="DESIGN INPUTS AND CALCULATIONS" sheetId="1" r:id="rId1"/>
    <sheet name="SCHEMATIC" sheetId="2" r:id="rId2"/>
    <sheet name="data" sheetId="3" r:id="rId3"/>
    <sheet name="VCOMP" sheetId="4" r:id="rId4"/>
  </sheets>
  <externalReferences>
    <externalReference r:id="rId7"/>
  </externalReferences>
  <definedNames>
    <definedName name="a_1">'data'!$H$39</definedName>
    <definedName name="a_2">'data'!$H$49</definedName>
    <definedName name="a_3">'data'!$H$60</definedName>
    <definedName name="a_4">'data'!$H$65</definedName>
    <definedName name="Alpha1_A">'[1]Ideal ICOMP_MH'!$B$309</definedName>
    <definedName name="Alpha1_B">'[1]Ideal ICOMP_MH'!$B$310</definedName>
    <definedName name="Alpha1_C">'[1]Ideal ICOMP_MH'!$B$311</definedName>
    <definedName name="Alpha2">'[1]Ideal ICOMP_MH'!$B$313</definedName>
    <definedName name="b_1">'data'!$H$40</definedName>
    <definedName name="b_2">'data'!$H$50</definedName>
    <definedName name="b_3">'data'!$H$61</definedName>
    <definedName name="b_4">'data'!$H$66</definedName>
    <definedName name="Beta">'[1]Ideal ICOMP_MH'!$B$314</definedName>
    <definedName name="c_1">'data'!$H$41</definedName>
    <definedName name="c_2">'data'!$H$51</definedName>
    <definedName name="c_3">'data'!$H$62</definedName>
    <definedName name="C_f1">'data'!$B$245</definedName>
    <definedName name="C_f2">'data'!$B$257</definedName>
    <definedName name="C_s1">'data'!$A$234</definedName>
    <definedName name="C_s2">'data'!$A$247</definedName>
    <definedName name="Cicomp">'DESIGN INPUTS AND CALCULATIONS'!$C$190</definedName>
    <definedName name="Cicomp_maxrcmd">'DESIGN INPUTS AND CALCULATIONS'!$C$188</definedName>
    <definedName name="Cicomp_minrcmd">'DESIGN INPUTS AND CALCULATIONS'!$C$189</definedName>
    <definedName name="CICOMPmax_initial">'data'!$F$251</definedName>
    <definedName name="CICOMPmin_initial">'data'!$F$256</definedName>
    <definedName name="Cin">'DESIGN INPUTS AND CALCULATIONS'!$C$69</definedName>
    <definedName name="Cin_initial">'data'!$F$227</definedName>
    <definedName name="Cin_rcmd">'DESIGN INPUTS AND CALCULATIONS'!$C$68</definedName>
    <definedName name="Cisense">'DESIGN INPUTS AND CALCULATIONS'!$C$126</definedName>
    <definedName name="Cisense_initial">'data'!$F$275</definedName>
    <definedName name="Coss">'DESIGN INPUTS AND CALCULATIONS'!$C$104</definedName>
    <definedName name="Cout">'DESIGN INPUTS AND CALCULATIONS'!$C$134</definedName>
    <definedName name="Cout_initial">'data'!$F$235</definedName>
    <definedName name="Cout_rcmd">'DESIGN INPUTS AND CALCULATIONS'!$C$133</definedName>
    <definedName name="Cvcomp">'DESIGN INPUTS AND CALCULATIONS'!$C$261</definedName>
    <definedName name="Cvcomp_p">'DESIGN INPUTS AND CALCULATIONS'!$C$267</definedName>
    <definedName name="Cvcomp_p_initial">'data'!$F$270</definedName>
    <definedName name="Cvcomp_p_rcmd">'DESIGN INPUTS AND CALCULATIONS'!$C$266</definedName>
    <definedName name="Cvcomp_rcmd">'DESIGN INPUTS AND CALCULATIONS'!$C$260</definedName>
    <definedName name="CVCOMPinitial">'data'!$F$261</definedName>
    <definedName name="Cvins">'DESIGN INPUTS AND CALCULATIONS'!$C$312</definedName>
    <definedName name="Cvins_actual">'DESIGN INPUTS AND CALCULATIONS'!$C$313</definedName>
    <definedName name="Cvsense">'DESIGN INPUTS AND CALCULATIONS'!$C$152</definedName>
    <definedName name="Cvsense_initial">'data'!$F$244</definedName>
    <definedName name="d_1">'data'!$H$42</definedName>
    <definedName name="d_2">'data'!$H$52</definedName>
    <definedName name="delta_Rfb1">'DESIGN INPUTS AND CALCULATIONS'!#REF!</definedName>
    <definedName name="delta_Rfb2">'DESIGN INPUTS AND CALCULATIONS'!#REF!</definedName>
    <definedName name="Dmax">'DESIGN INPUTS AND CALCULATIONS'!$C$74</definedName>
    <definedName name="E_48f">'data'!$B$228</definedName>
    <definedName name="E_48s">'data'!$A$181</definedName>
    <definedName name="eff">'DESIGN INPUTS AND CALCULATIONS'!$C$35</definedName>
    <definedName name="f_Iavg">'DESIGN INPUTS AND CALCULATIONS'!$C$188</definedName>
    <definedName name="fiavg">'DESIGN INPUTS AND CALCULATIONS'!$C$191</definedName>
    <definedName name="fline_max">'DESIGN INPUTS AND CALCULATIONS'!$C$26</definedName>
    <definedName name="fline_min">'DESIGN INPUTS AND CALCULATIONS'!$C$25</definedName>
    <definedName name="fline_nom">'DESIGN INPUTS AND CALCULATIONS'!#REF!</definedName>
    <definedName name="fpole">'DESIGN INPUTS AND CALCULATIONS'!$C$265</definedName>
    <definedName name="fPWM_PSpole">'DESIGN INPUTS AND CALCULATIONS'!$C$257</definedName>
    <definedName name="fsw">'DESIGN INPUTS AND CALCULATIONS'!$C$41</definedName>
    <definedName name="fSW_target">'DESIGN INPUTS AND CALCULATIONS'!$C$38</definedName>
    <definedName name="ftyp">'data'!$H$33</definedName>
    <definedName name="fv">'DESIGN INPUTS AND CALCULATIONS'!$C$258</definedName>
    <definedName name="fzero">'DESIGN INPUTS AND CALCULATIONS'!$C$264</definedName>
    <definedName name="G">'[1]Ideal ICOMP_MH'!$B$315</definedName>
    <definedName name="gmi">'data'!$F$249</definedName>
    <definedName name="gmv">'data'!$I$249</definedName>
    <definedName name="GVL_dB">'DESIGN INPUTS AND CALCULATIONS'!$C$259</definedName>
    <definedName name="I_Lpeak">'DESIGN INPUTS AND CALCULATIONS'!$C$75</definedName>
    <definedName name="Ibridge">'DESIGN INPUTS AND CALCULATIONS'!$C$57</definedName>
    <definedName name="Icout_2fline">'DESIGN INPUTS AND CALCULATIONS'!$C$137</definedName>
    <definedName name="Icout_HF">'DESIGN INPUTS AND CALCULATIONS'!$C$138</definedName>
    <definedName name="Icout_rms">'DESIGN INPUTS AND CALCULATIONS'!$C$139</definedName>
    <definedName name="Ids_rms">'DESIGN INPUTS AND CALCULATIONS'!$C$99</definedName>
    <definedName name="Ifuse">'DESIGN INPUTS AND CALCULATIONS'!$C$49</definedName>
    <definedName name="Iin_avg_max">'DESIGN INPUTS AND CALCULATIONS'!$C$48</definedName>
    <definedName name="Iin_peak_max">'DESIGN INPUTS AND CALCULATIONS'!$C$47</definedName>
    <definedName name="Iin_rms_max">'DESIGN INPUTS AND CALCULATIONS'!$C$46</definedName>
    <definedName name="Iinrush">'DESIGN INPUTS AND CALCULATIONS'!$C$124</definedName>
    <definedName name="Il_peak_actual">'DESIGN INPUTS AND CALCULATIONS'!$C$79</definedName>
    <definedName name="Iout">'DESIGN INPUTS AND CALCULATIONS'!$C$37</definedName>
    <definedName name="Iout_OC">'DESIGN INPUTS AND CALCULATIONS'!$C$121</definedName>
    <definedName name="Ipcl">'DESIGN INPUTS AND CALCULATIONS'!$C$122</definedName>
    <definedName name="Iripple">'DESIGN INPUTS AND CALCULATIONS'!$C$66</definedName>
    <definedName name="Iripple_actual">'DESIGN INPUTS AND CALCULATIONS'!$C$78</definedName>
    <definedName name="Isoc">'DESIGN INPUTS AND CALCULATIONS'!$C$119</definedName>
    <definedName name="K_1">'data'!$H$31</definedName>
    <definedName name="K_1V2">'data'!$H$43</definedName>
    <definedName name="K_1V3">'data'!$H$53</definedName>
    <definedName name="K_2V2">'data'!$H$44</definedName>
    <definedName name="K_2V3">'data'!$H$54</definedName>
    <definedName name="K_3V2">'data'!$H$45</definedName>
    <definedName name="K_3V3">'data'!$H$55</definedName>
    <definedName name="K_4V2">'data'!$H$46</definedName>
    <definedName name="K_4V3">'data'!$H$56</definedName>
    <definedName name="K_5V3">'data'!$H$57</definedName>
    <definedName name="K_FQ">'data'!$H$32</definedName>
    <definedName name="kHz">'data'!$H$7</definedName>
    <definedName name="kOhms">'data'!$H$18</definedName>
    <definedName name="L_I_ripple_factor">'DESIGN INPUTS AND CALCULATIONS'!$C$64</definedName>
    <definedName name="Lbst">'DESIGN INPUTS AND CALCULATIONS'!$C$77</definedName>
    <definedName name="Lbst_rcmd">'DESIGN INPUTS AND CALCULATIONS'!$C$76</definedName>
    <definedName name="Lripplefactor_actual">'DESIGN INPUTS AND CALCULATIONS'!$C$80</definedName>
    <definedName name="M_1">'DESIGN INPUTS AND CALCULATIONS'!$C$185</definedName>
    <definedName name="M_2">'DESIGN INPUTS AND CALCULATIONS'!$C$186</definedName>
    <definedName name="M_3">'DESIGN INPUTS AND CALCULATIONS'!$C$187</definedName>
    <definedName name="M1M2">'data'!$H$35</definedName>
    <definedName name="M1M2_calc">'DESIGN INPUTS AND CALCULATIONS'!$C$183</definedName>
    <definedName name="mA">'data'!$H$10</definedName>
    <definedName name="MegOhm">'data'!$H$22</definedName>
    <definedName name="mH">'data'!$H$23</definedName>
    <definedName name="MHz">'data'!$H$16</definedName>
    <definedName name="mOhms">'data'!$H$8</definedName>
    <definedName name="ms">'data'!$H$9</definedName>
    <definedName name="mV">'data'!$H$5</definedName>
    <definedName name="mW">'data'!$H$14</definedName>
    <definedName name="nC">'data'!$H$19</definedName>
    <definedName name="nF">'data'!$H$20</definedName>
    <definedName name="Nholdup">'DESIGN INPUTS AND CALCULATIONS'!$C$131</definedName>
    <definedName name="Nibop">'DESIGN INPUTS AND CALCULATIONS'!$C$311</definedName>
    <definedName name="Nibop_actual">'DESIGN INPUTS AND CALCULATIONS'!$C$314</definedName>
    <definedName name="ns">'data'!$H$13</definedName>
    <definedName name="P_FET">'DESIGN INPUTS AND CALCULATIONS'!$C$111</definedName>
    <definedName name="P_FETcond">'DESIGN INPUTS AND CALCULATIONS'!$C$109</definedName>
    <definedName name="P_FETgate">'DESIGN INPUTS AND CALCULATIONS'!$C$108</definedName>
    <definedName name="P_FETsw">'DESIGN INPUTS AND CALCULATIONS'!$C$110</definedName>
    <definedName name="P_Rsense">'DESIGN INPUTS AND CALCULATIONS'!$C$120</definedName>
    <definedName name="P_rvins">'DESIGN INPUTS AND CALCULATIONS'!$C$310</definedName>
    <definedName name="P_rvins1">'DESIGN INPUTS AND CALCULATIONS'!$C$310</definedName>
    <definedName name="Pbridge">'DESIGN INPUTS AND CALCULATIONS'!$C$59</definedName>
    <definedName name="Pdiode">'DESIGN INPUTS AND CALCULATIONS'!$C$91</definedName>
    <definedName name="Pdiode_cond">'DESIGN INPUTS AND CALCULATIONS'!$C$89</definedName>
    <definedName name="Pdiode_reverse">'DESIGN INPUTS AND CALCULATIONS'!$C$90</definedName>
    <definedName name="Pdivider">'DESIGN INPUTS AND CALCULATIONS'!$C$153</definedName>
    <definedName name="percent_load">'DESIGN INPUTS AND CALCULATIONS'!$J$186</definedName>
    <definedName name="PF">'DESIGN INPUTS AND CALCULATIONS'!$C$34</definedName>
    <definedName name="picoF">'data'!$H$15</definedName>
    <definedName name="Pin_max">'DESIGN INPUTS AND CALCULATIONS'!$C$45</definedName>
    <definedName name="Pout">'DESIGN INPUTS AND CALCULATIONS'!$C$32</definedName>
    <definedName name="_xlnm.Print_Area" localSheetId="0">'DESIGN INPUTS AND CALCULATIONS'!$A$1:$E$49</definedName>
    <definedName name="Prsense">'DESIGN INPUTS AND CALCULATIONS'!$C$120</definedName>
    <definedName name="Pvins">'DESIGN INPUTS AND CALCULATIONS'!$C$310</definedName>
    <definedName name="Qg">'DESIGN INPUTS AND CALCULATIONS'!$C$101</definedName>
    <definedName name="Qrr">'DESIGN INPUTS AND CALCULATIONS'!$C$85</definedName>
    <definedName name="R_fb1">'DESIGN INPUTS AND CALCULATIONS'!$C$144</definedName>
    <definedName name="R_fb2">'DESIGN INPUTS AND CALCULATIONS'!$C$146</definedName>
    <definedName name="R_fb2_rcmd">'DESIGN INPUTS AND CALCULATIONS'!$C$145</definedName>
    <definedName name="Rchs_bridge">'DESIGN INPUTS AND CALCULATIONS'!$C$55</definedName>
    <definedName name="Rds_on">'DESIGN INPUTS AND CALCULATIONS'!$C$100</definedName>
    <definedName name="Rfb1_rcmd">'DESIGN INPUTS AND CALCULATIONS'!$C$143</definedName>
    <definedName name="Rfb1_tempco">'DESIGN INPUTS AND CALCULATIONS'!#REF!</definedName>
    <definedName name="Rfb2_tempco">'DESIGN INPUTS AND CALCULATIONS'!#REF!</definedName>
    <definedName name="Rfb2initial">'data'!$F$241</definedName>
    <definedName name="Rfreq">'DESIGN INPUTS AND CALCULATIONS'!$C$40</definedName>
    <definedName name="Rfreq_initial">'data'!$F$232</definedName>
    <definedName name="Rfreq_rcmd">'DESIGN INPUTS AND CALCULATIONS'!$C$39</definedName>
    <definedName name="Risense">'DESIGN INPUTS AND CALCULATIONS'!$C$125</definedName>
    <definedName name="Rjc_bridge">'DESIGN INPUTS AND CALCULATIONS'!$C$54</definedName>
    <definedName name="Rsense">'DESIGN INPUTS AND CALCULATIONS'!$C$117</definedName>
    <definedName name="Rsense_ideal">'DESIGN INPUTS AND CALCULATIONS'!$C$116</definedName>
    <definedName name="Rth_case_hs">'DESIGN INPUTS AND CALCULATIONS'!$C$88</definedName>
    <definedName name="Rth_CHS_FET">'DESIGN INPUTS AND CALCULATIONS'!$C$107</definedName>
    <definedName name="Rth_diode">'DESIGN INPUTS AND CALCULATIONS'!$C$87</definedName>
    <definedName name="Rth_hs_bridge">'DESIGN INPUTS AND CALCULATIONS'!$C$60</definedName>
    <definedName name="Rth_hs_diode">'DESIGN INPUTS AND CALCULATIONS'!$C$92</definedName>
    <definedName name="Rth_hs_FET">'DESIGN INPUTS AND CALCULATIONS'!$C$112</definedName>
    <definedName name="Rth_jc_FET">'DESIGN INPUTS AND CALCULATIONS'!$C$106</definedName>
    <definedName name="Rvcomp">'DESIGN INPUTS AND CALCULATIONS'!$C$263</definedName>
    <definedName name="Rvcomp_initial">'data'!$F$266</definedName>
    <definedName name="Rvcomp_rcmd">'DESIGN INPUTS AND CALCULATIONS'!$C$262</definedName>
    <definedName name="Rvins1">'DESIGN INPUTS AND CALCULATIONS'!$C$306</definedName>
    <definedName name="Rvins2">'DESIGN INPUTS AND CALCULATIONS'!$C$309</definedName>
    <definedName name="t_holdup">'DESIGN INPUTS AND CALCULATIONS'!$C$132</definedName>
    <definedName name="Tamb">'DESIGN INPUTS AND CALCULATIONS'!$C$36</definedName>
    <definedName name="tf_FET">'DESIGN INPUTS AND CALCULATIONS'!$C$103</definedName>
    <definedName name="Tj_bridge">'DESIGN INPUTS AND CALCULATIONS'!$C$56</definedName>
    <definedName name="Tj_diode">'DESIGN INPUTS AND CALCULATIONS'!$C$86</definedName>
    <definedName name="Tj_FET">'DESIGN INPUTS AND CALCULATIONS'!$C$105</definedName>
    <definedName name="tr_FET">'DESIGN INPUTS AND CALCULATIONS'!$C$102</definedName>
    <definedName name="uA">'data'!$H$17</definedName>
    <definedName name="uC">'data'!$H$21</definedName>
    <definedName name="uF">'data'!$H$6</definedName>
    <definedName name="uH">'data'!$H$12</definedName>
    <definedName name="us">'data'!$H$11</definedName>
    <definedName name="V_ripplefactor">'DESIGN INPUTS AND CALCULATIONS'!$C$65</definedName>
    <definedName name="Vac_off">'DESIGN INPUTS AND CALCULATIONS'!$C$304</definedName>
    <definedName name="Vac_on">'DESIGN INPUTS AND CALCULATIONS'!$C$303</definedName>
    <definedName name="Vacin_max">'DESIGN INPUTS AND CALCULATIONS'!$C$24</definedName>
    <definedName name="Vacin_min">'DESIGN INPUTS AND CALCULATIONS'!$C$23</definedName>
    <definedName name="Vacin_nom">'data'!$K$33</definedName>
    <definedName name="VCC">'DESIGN INPUTS AND CALCULATIONS'!$C$97</definedName>
    <definedName name="Vcomp">'DESIGN INPUTS AND CALCULATIONS'!$C$184</definedName>
    <definedName name="VCOMP1">'data'!$H$37</definedName>
    <definedName name="VCOMP2">'data'!$H$47</definedName>
    <definedName name="VCOMP3">'data'!$H$58</definedName>
    <definedName name="VCOMP4">'data'!$H$63</definedName>
    <definedName name="VCOMP5">'data'!$H$67</definedName>
    <definedName name="Vdiode_blocking">'DESIGN INPUTS AND CALCULATIONS'!$C$93</definedName>
    <definedName name="Vf">'DESIGN INPUTS AND CALCULATIONS'!$C$84</definedName>
    <definedName name="Vf_bridge">'DESIGN INPUTS AND CALCULATIONS'!$C$53</definedName>
    <definedName name="Vgs">'DESIGN INPUTS AND CALCULATIONS'!$C$98</definedName>
    <definedName name="Vin_peak_max">'DESIGN INPUTS AND CALCULATIONS'!$C$28</definedName>
    <definedName name="Vin_peak_min">'DESIGN INPUTS AND CALCULATIONS'!$C$27</definedName>
    <definedName name="Vin_ripple">'DESIGN INPUTS AND CALCULATIONS'!$C$67</definedName>
    <definedName name="VINnom">'DESIGN INPUTS AND CALCULATIONS'!$C$181</definedName>
    <definedName name="Vline">'DESIGN INPUTS AND CALCULATIONS'!$J$181</definedName>
    <definedName name="Voff_trim">'[1]Ideal ICOMP_MH'!$B$316</definedName>
    <definedName name="Vout">'DESIGN INPUTS AND CALCULATIONS'!$C$33</definedName>
    <definedName name="Vout_holdup">'DESIGN INPUTS AND CALCULATIONS'!$C$130</definedName>
    <definedName name="Vout_max">'DESIGN INPUTS AND CALCULATIONS'!$C$149</definedName>
    <definedName name="Vout_min">'DESIGN INPUTS AND CALCULATIONS'!$C$148</definedName>
    <definedName name="Vout_nom">'DESIGN INPUTS AND CALCULATIONS'!$C$147</definedName>
    <definedName name="Vout_ripplepp">'DESIGN INPUTS AND CALCULATIONS'!$C$135</definedName>
    <definedName name="Vovp">'DESIGN INPUTS AND CALCULATIONS'!$C$150</definedName>
    <definedName name="Vrated">'DESIGN INPUTS AND CALCULATIONS'!$C$58</definedName>
    <definedName name="VREF">'data'!$F$216</definedName>
    <definedName name="VREFmax">'data'!$F$218</definedName>
    <definedName name="VREFmin">'data'!$F$217</definedName>
    <definedName name="Vuvd">'DESIGN INPUTS AND CALCULATIONS'!$C$151</definedName>
  </definedNames>
  <calcPr fullCalcOnLoad="1"/>
</workbook>
</file>

<file path=xl/sharedStrings.xml><?xml version="1.0" encoding="utf-8"?>
<sst xmlns="http://schemas.openxmlformats.org/spreadsheetml/2006/main" count="786" uniqueCount="492">
  <si>
    <t>Minimum Input Voltage from AC Line:</t>
  </si>
  <si>
    <t>Maximum Input Voltage from AC Line:</t>
  </si>
  <si>
    <t>Maximum Rectified AC Line Voltage:</t>
  </si>
  <si>
    <t>Minimum Rectified AC Line Voltage:</t>
  </si>
  <si>
    <t>Minimum Line Frequency:</t>
  </si>
  <si>
    <t>Hz</t>
  </si>
  <si>
    <t>Maximum Line Frequency:</t>
  </si>
  <si>
    <r>
      <t>f</t>
    </r>
    <r>
      <rPr>
        <vertAlign val="subscript"/>
        <sz val="10"/>
        <rFont val="Arial"/>
        <family val="2"/>
      </rPr>
      <t>LINE(min):</t>
    </r>
  </si>
  <si>
    <r>
      <t>f</t>
    </r>
    <r>
      <rPr>
        <vertAlign val="subscript"/>
        <sz val="10"/>
        <rFont val="Arial"/>
        <family val="2"/>
      </rPr>
      <t>LINE(max):</t>
    </r>
  </si>
  <si>
    <t>h</t>
  </si>
  <si>
    <t>Predicted Efficiency:</t>
  </si>
  <si>
    <t>V</t>
  </si>
  <si>
    <t>W</t>
  </si>
  <si>
    <r>
      <t>P</t>
    </r>
    <r>
      <rPr>
        <vertAlign val="subscript"/>
        <sz val="10"/>
        <rFont val="Arial"/>
        <family val="2"/>
      </rPr>
      <t>OUT(max)</t>
    </r>
  </si>
  <si>
    <t>PF</t>
  </si>
  <si>
    <t>Maximum Input Power Drawn from the Line:</t>
  </si>
  <si>
    <r>
      <t>P</t>
    </r>
    <r>
      <rPr>
        <vertAlign val="subscript"/>
        <sz val="10"/>
        <rFont val="Arial"/>
        <family val="2"/>
      </rPr>
      <t>IN(max)</t>
    </r>
  </si>
  <si>
    <t>Maximum RMS AC Line Current:</t>
  </si>
  <si>
    <t>A</t>
  </si>
  <si>
    <t>Maximum Peak AC Line Current, assuming sinusoidal:</t>
  </si>
  <si>
    <t>Maximum Average AC Line Current, assuming sinusoidal:</t>
  </si>
  <si>
    <t>OUTPUT:</t>
  </si>
  <si>
    <t>INPUT:</t>
  </si>
  <si>
    <t>shaded</t>
  </si>
  <si>
    <t xml:space="preserve">cells; </t>
  </si>
  <si>
    <t>Please enter design parameters into the</t>
  </si>
  <si>
    <r>
      <t xml:space="preserve">Calculated results will be in </t>
    </r>
    <r>
      <rPr>
        <b/>
        <sz val="12"/>
        <color indexed="10"/>
        <rFont val="Arial"/>
        <family val="2"/>
      </rPr>
      <t>RED</t>
    </r>
  </si>
  <si>
    <t>INPUT CAPACITOR:</t>
  </si>
  <si>
    <t>Maximum Inductor Voltage Ripple:</t>
  </si>
  <si>
    <t>BOOST INDUCTOR DESIGN:</t>
  </si>
  <si>
    <t>Maximum Duty Cycle:</t>
  </si>
  <si>
    <t>Maximum Inductor Peak Current:</t>
  </si>
  <si>
    <t>Bridge Rectifier Power Dissipation:</t>
  </si>
  <si>
    <r>
      <t>P</t>
    </r>
    <r>
      <rPr>
        <vertAlign val="subscript"/>
        <sz val="10"/>
        <rFont val="Arial"/>
        <family val="2"/>
      </rPr>
      <t>BRIDGE</t>
    </r>
  </si>
  <si>
    <t>Maximum Output Power of PFC Stage:</t>
  </si>
  <si>
    <t>mH</t>
  </si>
  <si>
    <t>Actual Boost Inductor Value Used:</t>
  </si>
  <si>
    <r>
      <t>V</t>
    </r>
    <r>
      <rPr>
        <vertAlign val="subscript"/>
        <sz val="10"/>
        <rFont val="Arial"/>
        <family val="2"/>
      </rPr>
      <t>IN_RIPPLE</t>
    </r>
  </si>
  <si>
    <r>
      <t>°</t>
    </r>
    <r>
      <rPr>
        <sz val="10"/>
        <rFont val="Arial"/>
        <family val="2"/>
      </rPr>
      <t>C/W</t>
    </r>
  </si>
  <si>
    <r>
      <t>T</t>
    </r>
    <r>
      <rPr>
        <vertAlign val="subscript"/>
        <sz val="10"/>
        <rFont val="Arial"/>
        <family val="2"/>
      </rPr>
      <t>J(max)</t>
    </r>
  </si>
  <si>
    <r>
      <t>°</t>
    </r>
    <r>
      <rPr>
        <sz val="10"/>
        <rFont val="Arial"/>
        <family val="2"/>
      </rPr>
      <t>C</t>
    </r>
  </si>
  <si>
    <t>Maximum Ambient Temperature:</t>
  </si>
  <si>
    <t>Bridge Rectifier Thermal Resistance, Junction to Case:</t>
  </si>
  <si>
    <t>Bridge Rectifier Maximum Junction Temperature:</t>
  </si>
  <si>
    <r>
      <t>T</t>
    </r>
    <r>
      <rPr>
        <vertAlign val="subscript"/>
        <sz val="10"/>
        <rFont val="Arial"/>
        <family val="2"/>
      </rPr>
      <t>AMB(max)</t>
    </r>
  </si>
  <si>
    <r>
      <t>I</t>
    </r>
    <r>
      <rPr>
        <vertAlign val="subscript"/>
        <sz val="10"/>
        <rFont val="Arial"/>
        <family val="2"/>
      </rPr>
      <t>IN_RMS(max)</t>
    </r>
  </si>
  <si>
    <r>
      <t>I</t>
    </r>
    <r>
      <rPr>
        <vertAlign val="subscript"/>
        <sz val="10"/>
        <rFont val="Arial"/>
        <family val="2"/>
      </rPr>
      <t>IN_PEAK(max)</t>
    </r>
  </si>
  <si>
    <r>
      <t>I</t>
    </r>
    <r>
      <rPr>
        <vertAlign val="subscript"/>
        <sz val="10"/>
        <rFont val="Arial"/>
        <family val="2"/>
      </rPr>
      <t>IN_AVG(max)</t>
    </r>
  </si>
  <si>
    <r>
      <t>I</t>
    </r>
    <r>
      <rPr>
        <vertAlign val="subscript"/>
        <sz val="10"/>
        <rFont val="Arial"/>
        <family val="2"/>
      </rPr>
      <t>FUSE</t>
    </r>
  </si>
  <si>
    <t>Required Heat Sink Thermal Impedance:</t>
  </si>
  <si>
    <r>
      <t>R</t>
    </r>
    <r>
      <rPr>
        <vertAlign val="subscript"/>
        <sz val="10"/>
        <rFont val="Symbol"/>
        <family val="1"/>
      </rPr>
      <t>q</t>
    </r>
    <r>
      <rPr>
        <vertAlign val="subscript"/>
        <sz val="10"/>
        <rFont val="Arial"/>
        <family val="2"/>
      </rPr>
      <t>HS_AMB(Bridge)</t>
    </r>
  </si>
  <si>
    <r>
      <t>I</t>
    </r>
    <r>
      <rPr>
        <vertAlign val="subscript"/>
        <sz val="10"/>
        <rFont val="Arial"/>
        <family val="2"/>
      </rPr>
      <t>L_PEAK(max)</t>
    </r>
  </si>
  <si>
    <r>
      <t>DUTY</t>
    </r>
    <r>
      <rPr>
        <vertAlign val="subscript"/>
        <sz val="10"/>
        <rFont val="Arial"/>
        <family val="2"/>
      </rPr>
      <t>(max)</t>
    </r>
  </si>
  <si>
    <t>VCC</t>
  </si>
  <si>
    <r>
      <t>V</t>
    </r>
    <r>
      <rPr>
        <vertAlign val="subscript"/>
        <sz val="10"/>
        <rFont val="Arial"/>
        <family val="2"/>
      </rPr>
      <t>GS</t>
    </r>
  </si>
  <si>
    <r>
      <t>Q</t>
    </r>
    <r>
      <rPr>
        <vertAlign val="subscript"/>
        <sz val="10"/>
        <rFont val="Arial"/>
        <family val="2"/>
      </rPr>
      <t>g</t>
    </r>
  </si>
  <si>
    <t>nC</t>
  </si>
  <si>
    <r>
      <t>P</t>
    </r>
    <r>
      <rPr>
        <vertAlign val="subscript"/>
        <sz val="10"/>
        <rFont val="Arial"/>
        <family val="2"/>
      </rPr>
      <t>GATE</t>
    </r>
  </si>
  <si>
    <t>Gate-Source Voltage:</t>
  </si>
  <si>
    <r>
      <t>FET Gate Charge at V</t>
    </r>
    <r>
      <rPr>
        <vertAlign val="subscript"/>
        <sz val="10"/>
        <rFont val="Arial"/>
        <family val="2"/>
      </rPr>
      <t>GS:</t>
    </r>
  </si>
  <si>
    <r>
      <t>R</t>
    </r>
    <r>
      <rPr>
        <vertAlign val="subscript"/>
        <sz val="10"/>
        <rFont val="Arial"/>
        <family val="2"/>
      </rPr>
      <t>DSon</t>
    </r>
  </si>
  <si>
    <t>Drain-Source RMS Current:</t>
  </si>
  <si>
    <r>
      <t>I</t>
    </r>
    <r>
      <rPr>
        <vertAlign val="subscript"/>
        <sz val="10"/>
        <rFont val="Arial"/>
        <family val="2"/>
      </rPr>
      <t>DS_RMS</t>
    </r>
  </si>
  <si>
    <t>FET Conduction Losses:</t>
  </si>
  <si>
    <r>
      <t>P</t>
    </r>
    <r>
      <rPr>
        <vertAlign val="subscript"/>
        <sz val="10"/>
        <rFont val="Arial"/>
        <family val="2"/>
      </rPr>
      <t>COND</t>
    </r>
  </si>
  <si>
    <t>FET Output Capacitance:</t>
  </si>
  <si>
    <r>
      <t>C</t>
    </r>
    <r>
      <rPr>
        <vertAlign val="subscript"/>
        <sz val="10"/>
        <rFont val="Arial"/>
        <family val="2"/>
      </rPr>
      <t>OSS</t>
    </r>
  </si>
  <si>
    <t>BOOST DIODE:</t>
  </si>
  <si>
    <t>SWITCHING ELEMENT:</t>
  </si>
  <si>
    <r>
      <t>V</t>
    </r>
    <r>
      <rPr>
        <vertAlign val="subscript"/>
        <sz val="10"/>
        <rFont val="Arial"/>
        <family val="2"/>
      </rPr>
      <t>F</t>
    </r>
  </si>
  <si>
    <t>Reverse Recovery Charge:</t>
  </si>
  <si>
    <r>
      <t>Q</t>
    </r>
    <r>
      <rPr>
        <vertAlign val="subscript"/>
        <sz val="10"/>
        <rFont val="Arial"/>
        <family val="2"/>
      </rPr>
      <t>RR</t>
    </r>
  </si>
  <si>
    <r>
      <t>P</t>
    </r>
    <r>
      <rPr>
        <vertAlign val="subscript"/>
        <sz val="10"/>
        <rFont val="Arial"/>
        <family val="2"/>
      </rPr>
      <t>DIODE(cond)</t>
    </r>
  </si>
  <si>
    <r>
      <t>P</t>
    </r>
    <r>
      <rPr>
        <vertAlign val="subscript"/>
        <sz val="10"/>
        <rFont val="Arial"/>
        <family val="2"/>
      </rPr>
      <t>REVERSE</t>
    </r>
  </si>
  <si>
    <t>Boost Diode Conduction Losses:</t>
  </si>
  <si>
    <t>Total Boost Diode Losses:</t>
  </si>
  <si>
    <r>
      <t>P</t>
    </r>
    <r>
      <rPr>
        <vertAlign val="subscript"/>
        <sz val="10"/>
        <rFont val="Arial"/>
        <family val="2"/>
      </rPr>
      <t>DIODE(total)</t>
    </r>
  </si>
  <si>
    <t>Boost Diode Maximum Junction Temperature:</t>
  </si>
  <si>
    <t>Boost Diode Thermal Resistance, Junction to Case:</t>
  </si>
  <si>
    <r>
      <t>R</t>
    </r>
    <r>
      <rPr>
        <vertAlign val="subscript"/>
        <sz val="10"/>
        <rFont val="Symbol"/>
        <family val="1"/>
      </rPr>
      <t>q</t>
    </r>
    <r>
      <rPr>
        <vertAlign val="subscript"/>
        <sz val="10"/>
        <rFont val="Arial"/>
        <family val="2"/>
      </rPr>
      <t>JC(Diode)</t>
    </r>
  </si>
  <si>
    <r>
      <t>R</t>
    </r>
    <r>
      <rPr>
        <vertAlign val="subscript"/>
        <sz val="10"/>
        <rFont val="Symbol"/>
        <family val="1"/>
      </rPr>
      <t>q</t>
    </r>
    <r>
      <rPr>
        <vertAlign val="subscript"/>
        <sz val="10"/>
        <rFont val="Arial"/>
        <family val="2"/>
      </rPr>
      <t>HS_AMB(Diode)</t>
    </r>
  </si>
  <si>
    <t>Boost Diode Thermal Resistance, Case to Heatsink:</t>
  </si>
  <si>
    <t>pF</t>
  </si>
  <si>
    <t>FET Switching Losses:</t>
  </si>
  <si>
    <r>
      <t>P</t>
    </r>
    <r>
      <rPr>
        <vertAlign val="subscript"/>
        <sz val="10"/>
        <rFont val="Arial"/>
        <family val="2"/>
      </rPr>
      <t>SW</t>
    </r>
  </si>
  <si>
    <t>FET Losses, Total:</t>
  </si>
  <si>
    <r>
      <t>P</t>
    </r>
    <r>
      <rPr>
        <vertAlign val="subscript"/>
        <sz val="10"/>
        <rFont val="Arial"/>
        <family val="2"/>
      </rPr>
      <t>FET</t>
    </r>
  </si>
  <si>
    <t>BRIDGE RECTIFIER:</t>
  </si>
  <si>
    <r>
      <t>R</t>
    </r>
    <r>
      <rPr>
        <vertAlign val="subscript"/>
        <sz val="10"/>
        <rFont val="Symbol"/>
        <family val="1"/>
      </rPr>
      <t>q</t>
    </r>
    <r>
      <rPr>
        <vertAlign val="subscript"/>
        <sz val="10"/>
        <rFont val="Arial"/>
        <family val="2"/>
      </rPr>
      <t>HS_AMB(FET)</t>
    </r>
  </si>
  <si>
    <t>FET Maximum Junction Temperature:</t>
  </si>
  <si>
    <t>FET Thermal Resistance, Junction to Case:</t>
  </si>
  <si>
    <r>
      <t>R</t>
    </r>
    <r>
      <rPr>
        <vertAlign val="subscript"/>
        <sz val="10"/>
        <rFont val="Symbol"/>
        <family val="1"/>
      </rPr>
      <t>q</t>
    </r>
    <r>
      <rPr>
        <vertAlign val="subscript"/>
        <sz val="10"/>
        <rFont val="Arial"/>
        <family val="2"/>
      </rPr>
      <t>JC(FET)</t>
    </r>
  </si>
  <si>
    <t>CURRENT SENSE RESISTOR:</t>
  </si>
  <si>
    <t>Bridge Rectifier Minimum DC Blocking Voltage Rating:</t>
  </si>
  <si>
    <t>Bridge Rectifier Minimum Average Current Rating:</t>
  </si>
  <si>
    <r>
      <t>I</t>
    </r>
    <r>
      <rPr>
        <vertAlign val="subscript"/>
        <sz val="10"/>
        <rFont val="Arial"/>
        <family val="2"/>
      </rPr>
      <t>OVERCURRENT</t>
    </r>
    <r>
      <rPr>
        <sz val="10"/>
        <rFont val="Arial"/>
        <family val="2"/>
      </rPr>
      <t>_</t>
    </r>
    <r>
      <rPr>
        <vertAlign val="subscript"/>
        <sz val="10"/>
        <rFont val="Arial"/>
        <family val="2"/>
      </rPr>
      <t>SOC</t>
    </r>
  </si>
  <si>
    <r>
      <t>Power Dissipated in R</t>
    </r>
    <r>
      <rPr>
        <vertAlign val="subscript"/>
        <sz val="10"/>
        <rFont val="Arial"/>
        <family val="2"/>
      </rPr>
      <t>SENSE</t>
    </r>
    <r>
      <rPr>
        <sz val="10"/>
        <rFont val="Arial"/>
        <family val="2"/>
      </rPr>
      <t>:</t>
    </r>
  </si>
  <si>
    <r>
      <t>P</t>
    </r>
    <r>
      <rPr>
        <vertAlign val="subscript"/>
        <sz val="10"/>
        <rFont val="Arial"/>
        <family val="2"/>
      </rPr>
      <t>Rsense</t>
    </r>
  </si>
  <si>
    <r>
      <t>I</t>
    </r>
    <r>
      <rPr>
        <vertAlign val="subscript"/>
        <sz val="10"/>
        <rFont val="Arial"/>
        <family val="2"/>
      </rPr>
      <t>PCL</t>
    </r>
  </si>
  <si>
    <r>
      <t>I</t>
    </r>
    <r>
      <rPr>
        <vertAlign val="subscript"/>
        <sz val="10"/>
        <rFont val="Arial"/>
        <family val="2"/>
      </rPr>
      <t>OUT_OVERCURRENT</t>
    </r>
  </si>
  <si>
    <t>Maximum Inrush Current:</t>
  </si>
  <si>
    <r>
      <t>I</t>
    </r>
    <r>
      <rPr>
        <vertAlign val="subscript"/>
        <sz val="10"/>
        <rFont val="Arial"/>
        <family val="2"/>
      </rPr>
      <t>INRUSH</t>
    </r>
  </si>
  <si>
    <r>
      <t>R</t>
    </r>
    <r>
      <rPr>
        <vertAlign val="subscript"/>
        <sz val="10"/>
        <rFont val="Arial"/>
        <family val="2"/>
      </rPr>
      <t>THERM</t>
    </r>
  </si>
  <si>
    <t>OUTPUT CAPACITOR:</t>
  </si>
  <si>
    <t>ms</t>
  </si>
  <si>
    <t>Required Minimum Output Voltage:</t>
  </si>
  <si>
    <r>
      <t>V</t>
    </r>
    <r>
      <rPr>
        <vertAlign val="subscript"/>
        <sz val="10"/>
        <rFont val="Arial"/>
        <family val="2"/>
      </rPr>
      <t>OUT_HOLDUP(min)</t>
    </r>
  </si>
  <si>
    <t>Output Voltage Peak to Peak Ripple:</t>
  </si>
  <si>
    <r>
      <t>V</t>
    </r>
    <r>
      <rPr>
        <vertAlign val="subscript"/>
        <sz val="10"/>
        <rFont val="Arial"/>
        <family val="2"/>
      </rPr>
      <t>OUT_RIPPLEpp</t>
    </r>
  </si>
  <si>
    <r>
      <t>I</t>
    </r>
    <r>
      <rPr>
        <vertAlign val="subscript"/>
        <sz val="10"/>
        <rFont val="Arial"/>
        <family val="2"/>
      </rPr>
      <t>Cout_2fline</t>
    </r>
  </si>
  <si>
    <r>
      <t>I</t>
    </r>
    <r>
      <rPr>
        <vertAlign val="subscript"/>
        <sz val="10"/>
        <rFont val="Arial"/>
        <family val="2"/>
      </rPr>
      <t>Cout_HF</t>
    </r>
  </si>
  <si>
    <r>
      <t>A</t>
    </r>
    <r>
      <rPr>
        <vertAlign val="subscript"/>
        <sz val="10"/>
        <rFont val="Arial"/>
        <family val="2"/>
      </rPr>
      <t>RMS</t>
    </r>
  </si>
  <si>
    <t>Output Capacitor High Frequency Ripple Current:</t>
  </si>
  <si>
    <t>Output Capacitor Ripple Current at Twice Line Frequency:</t>
  </si>
  <si>
    <r>
      <t>I</t>
    </r>
    <r>
      <rPr>
        <vertAlign val="subscript"/>
        <sz val="10"/>
        <rFont val="Arial"/>
        <family val="2"/>
      </rPr>
      <t>Cout_RMS(total)</t>
    </r>
  </si>
  <si>
    <t>Actual Output Capacitor Value:</t>
  </si>
  <si>
    <t>Recommended Value for the Top Divider Resistor:</t>
  </si>
  <si>
    <r>
      <t>M</t>
    </r>
    <r>
      <rPr>
        <sz val="10"/>
        <rFont val="Symbol"/>
        <family val="1"/>
      </rPr>
      <t>W</t>
    </r>
  </si>
  <si>
    <t>Actual Value of the Top Divider Resistor:</t>
  </si>
  <si>
    <r>
      <t>k</t>
    </r>
    <r>
      <rPr>
        <sz val="10"/>
        <rFont val="Symbol"/>
        <family val="1"/>
      </rPr>
      <t>W</t>
    </r>
  </si>
  <si>
    <t>Actual Nominal Output Voltage:</t>
  </si>
  <si>
    <r>
      <t>V</t>
    </r>
    <r>
      <rPr>
        <vertAlign val="subscript"/>
        <sz val="10"/>
        <rFont val="Arial"/>
        <family val="2"/>
      </rPr>
      <t>OUT</t>
    </r>
  </si>
  <si>
    <t>OUTPUT VOLTAGE SET POINT:</t>
  </si>
  <si>
    <r>
      <t>V</t>
    </r>
    <r>
      <rPr>
        <vertAlign val="subscript"/>
        <sz val="10"/>
        <rFont val="Arial"/>
        <family val="2"/>
      </rPr>
      <t>OVP</t>
    </r>
  </si>
  <si>
    <r>
      <t>V</t>
    </r>
    <r>
      <rPr>
        <vertAlign val="subscript"/>
        <sz val="10"/>
        <rFont val="Arial"/>
        <family val="2"/>
      </rPr>
      <t>RMS</t>
    </r>
  </si>
  <si>
    <r>
      <t>FET On-Resistance at  T</t>
    </r>
    <r>
      <rPr>
        <vertAlign val="subscript"/>
        <sz val="10"/>
        <rFont val="Arial"/>
        <family val="2"/>
      </rPr>
      <t>J</t>
    </r>
    <r>
      <rPr>
        <sz val="10"/>
        <rFont val="Arial"/>
        <family val="2"/>
      </rPr>
      <t xml:space="preserve"> = 125°C: </t>
    </r>
  </si>
  <si>
    <t>FET Rise Time:</t>
  </si>
  <si>
    <r>
      <t>t</t>
    </r>
    <r>
      <rPr>
        <vertAlign val="subscript"/>
        <sz val="10"/>
        <rFont val="Arial"/>
        <family val="2"/>
      </rPr>
      <t>r</t>
    </r>
  </si>
  <si>
    <t>ns</t>
  </si>
  <si>
    <t>COMPENSATION:</t>
  </si>
  <si>
    <t>Product of the Voltage Loop Variables:</t>
  </si>
  <si>
    <t>M1M2</t>
  </si>
  <si>
    <t>VCOMP</t>
  </si>
  <si>
    <r>
      <t>M</t>
    </r>
    <r>
      <rPr>
        <vertAlign val="subscript"/>
        <sz val="10"/>
        <rFont val="Arial"/>
        <family val="2"/>
      </rPr>
      <t>1</t>
    </r>
  </si>
  <si>
    <r>
      <t>M</t>
    </r>
    <r>
      <rPr>
        <vertAlign val="subscript"/>
        <sz val="10"/>
        <rFont val="Arial"/>
        <family val="2"/>
      </rPr>
      <t>2</t>
    </r>
  </si>
  <si>
    <r>
      <t>V/</t>
    </r>
    <r>
      <rPr>
        <sz val="10"/>
        <rFont val="Symbol"/>
        <family val="1"/>
      </rPr>
      <t>m</t>
    </r>
    <r>
      <rPr>
        <sz val="10"/>
        <rFont val="Arial"/>
        <family val="2"/>
      </rPr>
      <t>s</t>
    </r>
  </si>
  <si>
    <t>M1</t>
  </si>
  <si>
    <t>M2</t>
  </si>
  <si>
    <r>
      <t>M</t>
    </r>
    <r>
      <rPr>
        <vertAlign val="subscript"/>
        <sz val="10"/>
        <rFont val="Arial"/>
        <family val="2"/>
      </rPr>
      <t>3</t>
    </r>
  </si>
  <si>
    <t>kHz</t>
  </si>
  <si>
    <t>Actual Value Used for ICOMP Capacitor:</t>
  </si>
  <si>
    <t>Data for M1M2 vs VCOMP table</t>
  </si>
  <si>
    <t>Data For Current Averaging Bode Plot</t>
  </si>
  <si>
    <t>Gain</t>
  </si>
  <si>
    <t>Log scale converter</t>
  </si>
  <si>
    <t>frequency</t>
  </si>
  <si>
    <t>w</t>
  </si>
  <si>
    <t>Phase</t>
  </si>
  <si>
    <t xml:space="preserve">Open Loop Transfer Function for Voltage Loop:  </t>
  </si>
  <si>
    <t xml:space="preserve">Open Loop Transfer Function for Current Loop:  </t>
  </si>
  <si>
    <t>PWM to Power Stage Pole:</t>
  </si>
  <si>
    <r>
      <t>f</t>
    </r>
    <r>
      <rPr>
        <vertAlign val="subscript"/>
        <sz val="10"/>
        <rFont val="Arial"/>
        <family val="2"/>
      </rPr>
      <t>PWM_PS(pole)</t>
    </r>
  </si>
  <si>
    <t>Total Output Capacitor Ripple Current:</t>
  </si>
  <si>
    <t>Data For Open Loop Voltage Bode Plot</t>
  </si>
  <si>
    <t>Maximum High Frequency Voltage Ripple Factor (i.e. 0.03 for 3%, 0.09 for 9%):</t>
  </si>
  <si>
    <t>Voltage Feedback Gain</t>
  </si>
  <si>
    <t>PWM to Power Stage Gain</t>
  </si>
  <si>
    <t>dB</t>
  </si>
  <si>
    <t>Total Open Loop Gain</t>
  </si>
  <si>
    <t>Total Open Loop Phase</t>
  </si>
  <si>
    <r>
      <t>Open Loop Voltage Gain at Desired f</t>
    </r>
    <r>
      <rPr>
        <vertAlign val="subscript"/>
        <sz val="10"/>
        <rFont val="Arial"/>
        <family val="2"/>
      </rPr>
      <t>V</t>
    </r>
    <r>
      <rPr>
        <sz val="10"/>
        <rFont val="Arial"/>
        <family val="2"/>
      </rPr>
      <t>:</t>
    </r>
  </si>
  <si>
    <r>
      <t>G</t>
    </r>
    <r>
      <rPr>
        <vertAlign val="subscript"/>
        <sz val="10"/>
        <rFont val="Arial"/>
        <family val="2"/>
      </rPr>
      <t>VLdB</t>
    </r>
    <r>
      <rPr>
        <sz val="10"/>
        <rFont val="Arial"/>
        <family val="2"/>
      </rPr>
      <t>(f</t>
    </r>
    <r>
      <rPr>
        <vertAlign val="subscript"/>
        <sz val="10"/>
        <rFont val="Arial"/>
        <family val="2"/>
      </rPr>
      <t>V</t>
    </r>
    <r>
      <rPr>
        <sz val="10"/>
        <rFont val="Arial"/>
        <family val="2"/>
      </rPr>
      <t>)</t>
    </r>
  </si>
  <si>
    <t>Resultant Actual Current Averaging Pole Frequency:</t>
  </si>
  <si>
    <r>
      <t>f</t>
    </r>
    <r>
      <rPr>
        <vertAlign val="subscript"/>
        <sz val="10"/>
        <rFont val="Arial"/>
        <family val="2"/>
      </rPr>
      <t>IAVG(actual)</t>
    </r>
  </si>
  <si>
    <t>Minimum Input Fuse Rating:</t>
  </si>
  <si>
    <r>
      <t>R</t>
    </r>
    <r>
      <rPr>
        <b/>
        <vertAlign val="subscript"/>
        <sz val="10"/>
        <rFont val="Arial"/>
        <family val="2"/>
      </rPr>
      <t>ISENSE</t>
    </r>
  </si>
  <si>
    <r>
      <t>C</t>
    </r>
    <r>
      <rPr>
        <b/>
        <vertAlign val="subscript"/>
        <sz val="10"/>
        <rFont val="Arial"/>
        <family val="2"/>
      </rPr>
      <t>ISENSE</t>
    </r>
  </si>
  <si>
    <t>Recommended Value for Filter Capacitor on VSENSE:</t>
  </si>
  <si>
    <r>
      <t>C</t>
    </r>
    <r>
      <rPr>
        <b/>
        <vertAlign val="subscript"/>
        <sz val="10"/>
        <rFont val="Arial"/>
        <family val="2"/>
      </rPr>
      <t>VSENSE</t>
    </r>
  </si>
  <si>
    <t>Recommended Value for the Voltage Compensation Capacitor:</t>
  </si>
  <si>
    <t>rad</t>
  </si>
  <si>
    <t>degrees</t>
  </si>
  <si>
    <t>V/V</t>
  </si>
  <si>
    <r>
      <t>k</t>
    </r>
    <r>
      <rPr>
        <b/>
        <sz val="10"/>
        <rFont val="Symbol"/>
        <family val="1"/>
      </rPr>
      <t>W</t>
    </r>
  </si>
  <si>
    <r>
      <t>M</t>
    </r>
    <r>
      <rPr>
        <b/>
        <sz val="10"/>
        <rFont val="Symbol"/>
        <family val="1"/>
      </rPr>
      <t>W</t>
    </r>
  </si>
  <si>
    <t>Recommended Value for the Voltage Compensation Resistor:</t>
  </si>
  <si>
    <t>Resultant Value of Voltage Compensation Zero:</t>
  </si>
  <si>
    <r>
      <t>f</t>
    </r>
    <r>
      <rPr>
        <vertAlign val="subscript"/>
        <sz val="10"/>
        <rFont val="Arial"/>
        <family val="2"/>
      </rPr>
      <t>ZERO</t>
    </r>
  </si>
  <si>
    <t>Recommended Value for the Parallel Voltage Compensation Capacitor:</t>
  </si>
  <si>
    <t>Data for Closed Loop Voltage Bode Plot</t>
  </si>
  <si>
    <t>EA Gain</t>
  </si>
  <si>
    <t>Actual Value for the Parallel Voltage Compensation Capacitor:</t>
  </si>
  <si>
    <t>1+sRVCOMPCVCOMP</t>
  </si>
  <si>
    <t>s(CVCOMP+CVCOMP_P)</t>
  </si>
  <si>
    <t>1+S(rvcompcvcompcvcomp_p/CVCOMP+CVCOMPP)</t>
  </si>
  <si>
    <t>Total Closed Voltage Loop Bode Plot</t>
  </si>
  <si>
    <t>Phase Margin</t>
  </si>
  <si>
    <t>Power Dissipated in Voltage Divider:</t>
  </si>
  <si>
    <r>
      <t>P</t>
    </r>
    <r>
      <rPr>
        <vertAlign val="subscript"/>
        <sz val="10"/>
        <rFont val="Arial"/>
        <family val="2"/>
      </rPr>
      <t>RfB1+RFB2</t>
    </r>
  </si>
  <si>
    <t>Desired Number of Line Cycles For Output Holdup Time  (typ one line cycle):</t>
  </si>
  <si>
    <r>
      <t>N</t>
    </r>
    <r>
      <rPr>
        <vertAlign val="subscript"/>
        <sz val="10"/>
        <rFont val="Arial"/>
        <family val="2"/>
      </rPr>
      <t>HOLD_UP</t>
    </r>
  </si>
  <si>
    <r>
      <t>t</t>
    </r>
    <r>
      <rPr>
        <vertAlign val="subscript"/>
        <sz val="10"/>
        <rFont val="Arial"/>
        <family val="2"/>
      </rPr>
      <t>Hold_UP(min)</t>
    </r>
  </si>
  <si>
    <r>
      <t>Target Power Factor, V</t>
    </r>
    <r>
      <rPr>
        <vertAlign val="subscript"/>
        <sz val="10"/>
        <rFont val="Arial"/>
        <family val="2"/>
      </rPr>
      <t>IN(nom)</t>
    </r>
    <r>
      <rPr>
        <sz val="10"/>
        <rFont val="Arial"/>
        <family val="2"/>
      </rPr>
      <t>, Full Load:</t>
    </r>
  </si>
  <si>
    <t>Actual Maximum Inductor Ripple Current:</t>
  </si>
  <si>
    <r>
      <t>I</t>
    </r>
    <r>
      <rPr>
        <vertAlign val="subscript"/>
        <sz val="10"/>
        <rFont val="Arial"/>
        <family val="2"/>
      </rPr>
      <t>RIPPLE(actual)</t>
    </r>
  </si>
  <si>
    <t>Actual Maximum Inductor Peak Current:</t>
  </si>
  <si>
    <r>
      <t>I</t>
    </r>
    <r>
      <rPr>
        <vertAlign val="subscript"/>
        <sz val="10"/>
        <rFont val="Arial"/>
        <family val="2"/>
      </rPr>
      <t>L_PEAK(actual)</t>
    </r>
  </si>
  <si>
    <t>Gate Drive Losses (actually dissipated in the gate drive circuitry):</t>
  </si>
  <si>
    <r>
      <t>V</t>
    </r>
    <r>
      <rPr>
        <vertAlign val="subscript"/>
        <sz val="10"/>
        <rFont val="Arial"/>
        <family val="2"/>
      </rPr>
      <t>UVD</t>
    </r>
  </si>
  <si>
    <t>Reference Designator</t>
  </si>
  <si>
    <t>Description/Comments</t>
  </si>
  <si>
    <t>Value:</t>
  </si>
  <si>
    <t>DC Blocking Voltage:</t>
  </si>
  <si>
    <t>Inductor Value:</t>
  </si>
  <si>
    <t>Volatge Rating:</t>
  </si>
  <si>
    <t>Power Dissipation:</t>
  </si>
  <si>
    <t>Voltage Rating:</t>
  </si>
  <si>
    <t>Peak Current Rating:</t>
  </si>
  <si>
    <t>Ripple Current:</t>
  </si>
  <si>
    <t>Film Capacitor, X2</t>
  </si>
  <si>
    <t>RMS Drain Current Rating:</t>
  </si>
  <si>
    <t>Resistor, Chip, 1/16W</t>
  </si>
  <si>
    <t>Capacitor, Ceramic, 100V, X7R, ±10%</t>
  </si>
  <si>
    <t xml:space="preserve">Capacitor, Aluminum, ±20% </t>
  </si>
  <si>
    <t>Resistor, Chip, 1/10W, ±1%</t>
  </si>
  <si>
    <t>Type:</t>
  </si>
  <si>
    <t>Fast Acting</t>
  </si>
  <si>
    <t>Capacitor, Ceramic, 50V, X7R, ±10%</t>
  </si>
  <si>
    <t>Capacitor, Ceramic, 10V, X5R, ±10%</t>
  </si>
  <si>
    <t>Resistor, Chip, Total Voltage Rating 400V, ±1%</t>
  </si>
  <si>
    <t>Ceramic, Low ESR/ESL, placed close to the VCC and GND pins with short traces</t>
  </si>
  <si>
    <t>Values:</t>
  </si>
  <si>
    <t>Current Rating:</t>
  </si>
  <si>
    <t>Average Current Rating:</t>
  </si>
  <si>
    <t>HF Ripple Current Rating:</t>
  </si>
  <si>
    <t>Resistor, Low Inductance</t>
  </si>
  <si>
    <t>MOSFET, Nchannel</t>
  </si>
  <si>
    <t>Diode, Low Reverse Recovery Charge, Schottky</t>
  </si>
  <si>
    <t>FET Fall Time:</t>
  </si>
  <si>
    <r>
      <t>t</t>
    </r>
    <r>
      <rPr>
        <vertAlign val="subscript"/>
        <sz val="10"/>
        <rFont val="Arial"/>
        <family val="2"/>
      </rPr>
      <t>f</t>
    </r>
  </si>
  <si>
    <t>Recommended Minimum Output Capacitor Value:</t>
  </si>
  <si>
    <r>
      <t>m</t>
    </r>
    <r>
      <rPr>
        <sz val="16"/>
        <rFont val="Arial"/>
        <family val="2"/>
      </rPr>
      <t>F</t>
    </r>
  </si>
  <si>
    <r>
      <t>V</t>
    </r>
    <r>
      <rPr>
        <vertAlign val="subscript"/>
        <sz val="16"/>
        <rFont val="Arial"/>
        <family val="2"/>
      </rPr>
      <t>RMS</t>
    </r>
  </si>
  <si>
    <r>
      <t>A</t>
    </r>
    <r>
      <rPr>
        <vertAlign val="subscript"/>
        <sz val="16"/>
        <rFont val="Arial"/>
        <family val="2"/>
      </rPr>
      <t>RMS</t>
    </r>
  </si>
  <si>
    <r>
      <t>M</t>
    </r>
    <r>
      <rPr>
        <sz val="16"/>
        <rFont val="Symbol"/>
        <family val="1"/>
      </rPr>
      <t>W</t>
    </r>
  </si>
  <si>
    <r>
      <t>k</t>
    </r>
    <r>
      <rPr>
        <sz val="16"/>
        <rFont val="Symbol"/>
        <family val="1"/>
      </rPr>
      <t>W</t>
    </r>
  </si>
  <si>
    <r>
      <t>m</t>
    </r>
    <r>
      <rPr>
        <sz val="16"/>
        <rFont val="Arial"/>
        <family val="2"/>
      </rPr>
      <t>F</t>
    </r>
  </si>
  <si>
    <r>
      <t>Output Voltage (Note: Must be &gt; V</t>
    </r>
    <r>
      <rPr>
        <vertAlign val="subscript"/>
        <sz val="10"/>
        <rFont val="Arial"/>
        <family val="2"/>
      </rPr>
      <t>IN_RECTIFIED(max)</t>
    </r>
    <r>
      <rPr>
        <sz val="10"/>
        <rFont val="Arial"/>
        <family val="2"/>
      </rPr>
      <t>):</t>
    </r>
  </si>
  <si>
    <r>
      <t>2 x f</t>
    </r>
    <r>
      <rPr>
        <vertAlign val="subscript"/>
        <sz val="16"/>
        <rFont val="Arial"/>
        <family val="2"/>
      </rPr>
      <t>LINE</t>
    </r>
    <r>
      <rPr>
        <sz val="16"/>
        <rFont val="Arial"/>
        <family val="2"/>
      </rPr>
      <t xml:space="preserve"> Ripple Current Rating:</t>
    </r>
  </si>
  <si>
    <t>Actual Value of the Bottom Divider Resistor:</t>
  </si>
  <si>
    <t>TI Literature Number:</t>
  </si>
  <si>
    <t>Disclaimer</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</si>
  <si>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</si>
  <si>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WHERE APPLICABLE, A RECOMMENDED VALUE IS GIVEN THAT WILL BE THE BEST CHOICE TO MEET THE GIVEN SPECIFICATION.  IT IS IN THE BEST INTEREST OF THE USER TO USE A VALUE AS CLOSE AS POSSIBLE TO THE SUGGESTED RECOMMENDED VALUE.  FOR ACCURATE RESULTS, THE USER MUST ENTER THE ACTUAL VALUE USED IN THE APPROPRIATE CELL.</t>
  </si>
  <si>
    <t>UCC28180 DESIGN CALCULATOR TOOL</t>
  </si>
  <si>
    <t>UCC28180 CONTINUOUS CURRENT CONDUCTION MODE PFC CONTROLLER WITH PROGRAMMABLE SWITCHING FREQUENCY</t>
  </si>
  <si>
    <t>Desired Switching Frequency:</t>
  </si>
  <si>
    <r>
      <t>Recommended Resistor value on FREQ to Set the Switching Frequency, f</t>
    </r>
    <r>
      <rPr>
        <vertAlign val="subscript"/>
        <sz val="10"/>
        <rFont val="Arial"/>
        <family val="2"/>
      </rPr>
      <t>SW</t>
    </r>
    <r>
      <rPr>
        <sz val="10"/>
        <rFont val="Arial"/>
        <family val="2"/>
      </rPr>
      <t>:</t>
    </r>
  </si>
  <si>
    <r>
      <t>M</t>
    </r>
    <r>
      <rPr>
        <vertAlign val="subscript"/>
        <sz val="10"/>
        <rFont val="Arial"/>
        <family val="2"/>
      </rPr>
      <t>1</t>
    </r>
    <r>
      <rPr>
        <sz val="10"/>
        <rFont val="Arial"/>
        <family val="2"/>
      </rPr>
      <t>M</t>
    </r>
    <r>
      <rPr>
        <vertAlign val="subscript"/>
        <sz val="10"/>
        <rFont val="Arial"/>
        <family val="2"/>
      </rPr>
      <t>2</t>
    </r>
  </si>
  <si>
    <r>
      <t xml:space="preserve">Be sure to </t>
    </r>
    <r>
      <rPr>
        <b/>
        <i/>
        <sz val="14"/>
        <rFont val="Arial"/>
        <family val="2"/>
      </rPr>
      <t>ENABLE EDITING</t>
    </r>
    <r>
      <rPr>
        <b/>
        <sz val="14"/>
        <rFont val="Arial"/>
        <family val="2"/>
      </rPr>
      <t xml:space="preserve"> before attempting to use this design calculator</t>
    </r>
  </si>
  <si>
    <t>SLUC506</t>
  </si>
  <si>
    <r>
      <t xml:space="preserve">This spreadsheet guides the user through the design process of a CONTINUOUS CONDUCTION MODE PFC BOOST CONVERTER using the </t>
    </r>
    <r>
      <rPr>
        <b/>
        <sz val="11"/>
        <color indexed="10"/>
        <rFont val="Arial"/>
        <family val="2"/>
      </rPr>
      <t>UCC28180</t>
    </r>
    <r>
      <rPr>
        <b/>
        <sz val="11"/>
        <rFont val="Arial"/>
        <family val="2"/>
      </rPr>
      <t>.  User interaction is required in order to get the best possible results.  Enter the desired specification where prompted, the highlighted cells are for user inputs; calculations for the design are based upon the inputs.</t>
    </r>
  </si>
  <si>
    <r>
      <t>V</t>
    </r>
    <r>
      <rPr>
        <vertAlign val="subscript"/>
        <sz val="10"/>
        <rFont val="Arial"/>
        <family val="2"/>
      </rPr>
      <t>IN_PEAK(min)</t>
    </r>
  </si>
  <si>
    <r>
      <t>V</t>
    </r>
    <r>
      <rPr>
        <vertAlign val="subscript"/>
        <sz val="10"/>
        <rFont val="Arial"/>
        <family val="2"/>
      </rPr>
      <t>ACIN(min)</t>
    </r>
  </si>
  <si>
    <r>
      <t>V</t>
    </r>
    <r>
      <rPr>
        <vertAlign val="subscript"/>
        <sz val="10"/>
        <rFont val="Arial"/>
        <family val="2"/>
      </rPr>
      <t>ACIN(max)</t>
    </r>
  </si>
  <si>
    <r>
      <t>V</t>
    </r>
    <r>
      <rPr>
        <vertAlign val="subscript"/>
        <sz val="10"/>
        <rFont val="Arial"/>
        <family val="2"/>
      </rPr>
      <t>IN_PEAK(max)</t>
    </r>
  </si>
  <si>
    <t>mV factor</t>
  </si>
  <si>
    <t>uF factor</t>
  </si>
  <si>
    <t>kHz factor</t>
  </si>
  <si>
    <t>mΩ factor</t>
  </si>
  <si>
    <t>ms factor</t>
  </si>
  <si>
    <t>mA factor</t>
  </si>
  <si>
    <t>us factor</t>
  </si>
  <si>
    <t>uH factor</t>
  </si>
  <si>
    <t>ns factor</t>
  </si>
  <si>
    <t>mW factor</t>
  </si>
  <si>
    <t>pF factor</t>
  </si>
  <si>
    <t>MHz factor</t>
  </si>
  <si>
    <t>uA factor</t>
  </si>
  <si>
    <r>
      <t>k</t>
    </r>
    <r>
      <rPr>
        <sz val="11"/>
        <color indexed="8"/>
        <rFont val="Calibri"/>
        <family val="2"/>
      </rPr>
      <t>Ω</t>
    </r>
    <r>
      <rPr>
        <sz val="11"/>
        <color indexed="8"/>
        <rFont val="Arial"/>
        <family val="2"/>
      </rPr>
      <t xml:space="preserve"> factor</t>
    </r>
  </si>
  <si>
    <t>nC factor</t>
  </si>
  <si>
    <t>nF factor</t>
  </si>
  <si>
    <t>uC factor</t>
  </si>
  <si>
    <t>MΩ factor</t>
  </si>
  <si>
    <r>
      <t>V</t>
    </r>
    <r>
      <rPr>
        <vertAlign val="subscript"/>
        <sz val="11"/>
        <rFont val="Arial"/>
        <family val="2"/>
      </rPr>
      <t>INnom</t>
    </r>
  </si>
  <si>
    <t>Standard E48 Resistor Values</t>
  </si>
  <si>
    <t>Standard Capacitor Values</t>
  </si>
  <si>
    <t>C values up to 10nF</t>
  </si>
  <si>
    <t>C values greater than 10nF</t>
  </si>
  <si>
    <r>
      <t>R</t>
    </r>
    <r>
      <rPr>
        <vertAlign val="subscript"/>
        <sz val="11"/>
        <rFont val="Arial"/>
        <family val="2"/>
      </rPr>
      <t>FREQ</t>
    </r>
    <r>
      <rPr>
        <sz val="11"/>
        <rFont val="Arial"/>
        <family val="2"/>
      </rPr>
      <t xml:space="preserve"> =</t>
    </r>
  </si>
  <si>
    <r>
      <t>k</t>
    </r>
    <r>
      <rPr>
        <sz val="11"/>
        <rFont val="Calibri"/>
        <family val="2"/>
      </rPr>
      <t>Ω</t>
    </r>
  </si>
  <si>
    <r>
      <t>k</t>
    </r>
    <r>
      <rPr>
        <sz val="10"/>
        <rFont val="Arial"/>
        <family val="2"/>
      </rPr>
      <t>Ω</t>
    </r>
  </si>
  <si>
    <t>Maximum Average Output Current of PFC Stage:</t>
  </si>
  <si>
    <t>Recommended Input Capacitor Value:</t>
  </si>
  <si>
    <t>Target Maximum Allowable Inductor Current Ripple:</t>
  </si>
  <si>
    <r>
      <t>I</t>
    </r>
    <r>
      <rPr>
        <vertAlign val="subscript"/>
        <sz val="10"/>
        <rFont val="Arial"/>
        <family val="2"/>
      </rPr>
      <t>RIPPLE(target)</t>
    </r>
  </si>
  <si>
    <t>Actual Value of Input Capacitor Used:</t>
  </si>
  <si>
    <r>
      <t>Actual Value For R</t>
    </r>
    <r>
      <rPr>
        <b/>
        <vertAlign val="subscript"/>
        <sz val="10"/>
        <rFont val="Arial"/>
        <family val="2"/>
      </rPr>
      <t>FREQ</t>
    </r>
    <r>
      <rPr>
        <b/>
        <sz val="10"/>
        <rFont val="Arial"/>
        <family val="2"/>
      </rPr>
      <t xml:space="preserve"> Used: </t>
    </r>
  </si>
  <si>
    <r>
      <t>m</t>
    </r>
    <r>
      <rPr>
        <sz val="10"/>
        <rFont val="Arial"/>
        <family val="2"/>
      </rPr>
      <t>F</t>
    </r>
  </si>
  <si>
    <r>
      <t>V</t>
    </r>
    <r>
      <rPr>
        <vertAlign val="subscript"/>
        <sz val="10"/>
        <rFont val="Arial"/>
        <family val="2"/>
      </rPr>
      <t>CIN(rating)</t>
    </r>
  </si>
  <si>
    <t>Line Current:</t>
  </si>
  <si>
    <r>
      <t>Required Minimum Voltage Rating for C</t>
    </r>
    <r>
      <rPr>
        <vertAlign val="subscript"/>
        <sz val="10"/>
        <rFont val="Arial"/>
        <family val="2"/>
      </rPr>
      <t>IN</t>
    </r>
    <r>
      <rPr>
        <sz val="10"/>
        <rFont val="Arial"/>
        <family val="2"/>
      </rPr>
      <t>:</t>
    </r>
  </si>
  <si>
    <t>Minimum Recommended Boost Inductor Value:</t>
  </si>
  <si>
    <r>
      <t>I</t>
    </r>
    <r>
      <rPr>
        <vertAlign val="subscript"/>
        <sz val="10"/>
        <rFont val="Arial"/>
        <family val="2"/>
      </rPr>
      <t>BRIDGE(rated)</t>
    </r>
  </si>
  <si>
    <r>
      <t>V</t>
    </r>
    <r>
      <rPr>
        <vertAlign val="subscript"/>
        <sz val="10"/>
        <rFont val="Arial"/>
        <family val="2"/>
      </rPr>
      <t>DC_BLOCKING(rated</t>
    </r>
    <r>
      <rPr>
        <sz val="10"/>
        <rFont val="Arial"/>
        <family val="2"/>
      </rPr>
      <t>)</t>
    </r>
  </si>
  <si>
    <r>
      <t>R</t>
    </r>
    <r>
      <rPr>
        <vertAlign val="subscript"/>
        <sz val="10"/>
        <rFont val="Arial"/>
        <family val="2"/>
      </rPr>
      <t>FREQ(recommended)</t>
    </r>
  </si>
  <si>
    <r>
      <t>C</t>
    </r>
    <r>
      <rPr>
        <vertAlign val="subscript"/>
        <sz val="10"/>
        <rFont val="Arial"/>
        <family val="2"/>
      </rPr>
      <t>IN(recommended)</t>
    </r>
  </si>
  <si>
    <r>
      <t>L</t>
    </r>
    <r>
      <rPr>
        <vertAlign val="subscript"/>
        <sz val="10"/>
        <rFont val="Arial"/>
        <family val="2"/>
      </rPr>
      <t>BST(recommended)</t>
    </r>
  </si>
  <si>
    <t>mH factor</t>
  </si>
  <si>
    <t>Resultant Inductor Current Ripple Factor:</t>
  </si>
  <si>
    <r>
      <t>L</t>
    </r>
    <r>
      <rPr>
        <vertAlign val="subscript"/>
        <sz val="10"/>
        <rFont val="Arial"/>
        <family val="2"/>
      </rPr>
      <t>I_ripple_factor(actual)</t>
    </r>
  </si>
  <si>
    <t>VCC Bias Voltage to the UCC28180:</t>
  </si>
  <si>
    <t>Required Diode Blocking Voltage:</t>
  </si>
  <si>
    <r>
      <t>V</t>
    </r>
    <r>
      <rPr>
        <vertAlign val="subscript"/>
        <sz val="10"/>
        <rFont val="Arial"/>
        <family val="2"/>
      </rPr>
      <t>BLOCKING</t>
    </r>
  </si>
  <si>
    <t>Case to Heatsink Thermal Resistance:</t>
  </si>
  <si>
    <r>
      <t>R</t>
    </r>
    <r>
      <rPr>
        <vertAlign val="subscript"/>
        <sz val="10"/>
        <rFont val="Symbol"/>
        <family val="1"/>
      </rPr>
      <t>q</t>
    </r>
    <r>
      <rPr>
        <vertAlign val="subscript"/>
        <sz val="10"/>
        <rFont val="Arial"/>
        <family val="2"/>
      </rPr>
      <t>CHS(Diode)</t>
    </r>
  </si>
  <si>
    <t>FET Thermal Resistance, Case to Heatsink:</t>
  </si>
  <si>
    <r>
      <t>R</t>
    </r>
    <r>
      <rPr>
        <vertAlign val="subscript"/>
        <sz val="10"/>
        <rFont val="Symbol"/>
        <family val="1"/>
      </rPr>
      <t>q</t>
    </r>
    <r>
      <rPr>
        <vertAlign val="subscript"/>
        <sz val="10"/>
        <rFont val="Arial"/>
        <family val="2"/>
      </rPr>
      <t>CHS(FET)</t>
    </r>
  </si>
  <si>
    <t>Inductor Current at Soft Over-Current Threshold:</t>
  </si>
  <si>
    <t>Theoretical Output Over-Current Inception Point:</t>
  </si>
  <si>
    <t>Maximum ISENSE Peak Current Limit Threshold:</t>
  </si>
  <si>
    <t>Standard Component Value Calculations</t>
  </si>
  <si>
    <r>
      <t>C</t>
    </r>
    <r>
      <rPr>
        <vertAlign val="subscript"/>
        <sz val="11"/>
        <rFont val="Arial"/>
        <family val="2"/>
      </rPr>
      <t>OUT</t>
    </r>
  </si>
  <si>
    <r>
      <t>K</t>
    </r>
    <r>
      <rPr>
        <vertAlign val="subscript"/>
        <sz val="11"/>
        <rFont val="Arial"/>
        <family val="2"/>
      </rPr>
      <t>1</t>
    </r>
  </si>
  <si>
    <r>
      <t>K</t>
    </r>
    <r>
      <rPr>
        <vertAlign val="subscript"/>
        <sz val="11"/>
        <rFont val="Arial"/>
        <family val="2"/>
      </rPr>
      <t>FQ</t>
    </r>
  </si>
  <si>
    <r>
      <t>R</t>
    </r>
    <r>
      <rPr>
        <vertAlign val="subscript"/>
        <sz val="11"/>
        <rFont val="Arial"/>
        <family val="2"/>
      </rPr>
      <t>FB2</t>
    </r>
    <r>
      <rPr>
        <sz val="11"/>
        <rFont val="Arial"/>
        <family val="2"/>
      </rPr>
      <t xml:space="preserve"> =</t>
    </r>
  </si>
  <si>
    <r>
      <t>VREF</t>
    </r>
    <r>
      <rPr>
        <vertAlign val="subscript"/>
        <sz val="11"/>
        <rFont val="Arial"/>
        <family val="2"/>
      </rPr>
      <t>nom</t>
    </r>
  </si>
  <si>
    <r>
      <t>VREF</t>
    </r>
    <r>
      <rPr>
        <vertAlign val="subscript"/>
        <sz val="11"/>
        <rFont val="Arial"/>
        <family val="2"/>
      </rPr>
      <t>min</t>
    </r>
  </si>
  <si>
    <r>
      <t>VREF</t>
    </r>
    <r>
      <rPr>
        <vertAlign val="subscript"/>
        <sz val="11"/>
        <rFont val="Arial"/>
        <family val="2"/>
      </rPr>
      <t>max</t>
    </r>
  </si>
  <si>
    <t>Recommended Value for the Bottom Divider Resistor (E48 Series):</t>
  </si>
  <si>
    <r>
      <rPr>
        <sz val="11"/>
        <rFont val="Calibri"/>
        <family val="2"/>
      </rPr>
      <t>µ</t>
    </r>
    <r>
      <rPr>
        <sz val="11"/>
        <rFont val="Arial"/>
        <family val="2"/>
      </rPr>
      <t>F</t>
    </r>
  </si>
  <si>
    <t>VCOMP1</t>
  </si>
  <si>
    <t>VCOMP2</t>
  </si>
  <si>
    <r>
      <t>f</t>
    </r>
    <r>
      <rPr>
        <vertAlign val="subscript"/>
        <sz val="11"/>
        <rFont val="Arial"/>
        <family val="2"/>
      </rPr>
      <t>TYP</t>
    </r>
  </si>
  <si>
    <r>
      <t>a</t>
    </r>
    <r>
      <rPr>
        <vertAlign val="subscript"/>
        <sz val="11"/>
        <rFont val="Arial"/>
        <family val="2"/>
      </rPr>
      <t>2</t>
    </r>
  </si>
  <si>
    <r>
      <t>b</t>
    </r>
    <r>
      <rPr>
        <vertAlign val="subscript"/>
        <sz val="11"/>
        <rFont val="Arial"/>
        <family val="2"/>
      </rPr>
      <t>2</t>
    </r>
  </si>
  <si>
    <r>
      <t>c</t>
    </r>
    <r>
      <rPr>
        <vertAlign val="subscript"/>
        <sz val="11"/>
        <rFont val="Arial"/>
        <family val="2"/>
      </rPr>
      <t>2</t>
    </r>
  </si>
  <si>
    <r>
      <t>d</t>
    </r>
    <r>
      <rPr>
        <vertAlign val="subscript"/>
        <sz val="11"/>
        <rFont val="Arial"/>
        <family val="2"/>
      </rPr>
      <t>2</t>
    </r>
  </si>
  <si>
    <r>
      <t>a</t>
    </r>
    <r>
      <rPr>
        <vertAlign val="subscript"/>
        <sz val="11"/>
        <rFont val="Arial"/>
        <family val="2"/>
      </rPr>
      <t>1</t>
    </r>
  </si>
  <si>
    <r>
      <t>b</t>
    </r>
    <r>
      <rPr>
        <vertAlign val="subscript"/>
        <sz val="11"/>
        <rFont val="Arial"/>
        <family val="2"/>
      </rPr>
      <t>1</t>
    </r>
  </si>
  <si>
    <r>
      <t>c</t>
    </r>
    <r>
      <rPr>
        <vertAlign val="subscript"/>
        <sz val="11"/>
        <rFont val="Arial"/>
        <family val="2"/>
      </rPr>
      <t>1</t>
    </r>
  </si>
  <si>
    <r>
      <t>d</t>
    </r>
    <r>
      <rPr>
        <vertAlign val="subscript"/>
        <sz val="11"/>
        <rFont val="Arial"/>
        <family val="2"/>
      </rPr>
      <t>1</t>
    </r>
  </si>
  <si>
    <r>
      <t>K</t>
    </r>
    <r>
      <rPr>
        <vertAlign val="subscript"/>
        <sz val="11"/>
        <rFont val="Arial"/>
        <family val="2"/>
      </rPr>
      <t>1V2</t>
    </r>
  </si>
  <si>
    <r>
      <t>K</t>
    </r>
    <r>
      <rPr>
        <vertAlign val="subscript"/>
        <sz val="11"/>
        <rFont val="Arial"/>
        <family val="2"/>
      </rPr>
      <t>2V2</t>
    </r>
  </si>
  <si>
    <r>
      <t>K</t>
    </r>
    <r>
      <rPr>
        <vertAlign val="subscript"/>
        <sz val="11"/>
        <rFont val="Arial"/>
        <family val="2"/>
      </rPr>
      <t>3V2</t>
    </r>
  </si>
  <si>
    <r>
      <t>K</t>
    </r>
    <r>
      <rPr>
        <vertAlign val="subscript"/>
        <sz val="11"/>
        <rFont val="Arial"/>
        <family val="2"/>
      </rPr>
      <t>4V2</t>
    </r>
  </si>
  <si>
    <r>
      <t>K</t>
    </r>
    <r>
      <rPr>
        <vertAlign val="subscript"/>
        <sz val="11"/>
        <rFont val="Arial"/>
        <family val="2"/>
      </rPr>
      <t>1V3</t>
    </r>
  </si>
  <si>
    <r>
      <t>K</t>
    </r>
    <r>
      <rPr>
        <vertAlign val="subscript"/>
        <sz val="11"/>
        <rFont val="Arial"/>
        <family val="2"/>
      </rPr>
      <t>2V3</t>
    </r>
  </si>
  <si>
    <r>
      <t>K</t>
    </r>
    <r>
      <rPr>
        <vertAlign val="subscript"/>
        <sz val="11"/>
        <rFont val="Arial"/>
        <family val="2"/>
      </rPr>
      <t>3V3</t>
    </r>
  </si>
  <si>
    <r>
      <t>K</t>
    </r>
    <r>
      <rPr>
        <vertAlign val="subscript"/>
        <sz val="11"/>
        <rFont val="Arial"/>
        <family val="2"/>
      </rPr>
      <t>4V3</t>
    </r>
  </si>
  <si>
    <t>VCOMP3</t>
  </si>
  <si>
    <r>
      <t>K</t>
    </r>
    <r>
      <rPr>
        <vertAlign val="subscript"/>
        <sz val="11"/>
        <rFont val="Arial"/>
        <family val="2"/>
      </rPr>
      <t>5V3</t>
    </r>
  </si>
  <si>
    <r>
      <t>a</t>
    </r>
    <r>
      <rPr>
        <vertAlign val="subscript"/>
        <sz val="11"/>
        <rFont val="Arial"/>
        <family val="2"/>
      </rPr>
      <t>3</t>
    </r>
  </si>
  <si>
    <r>
      <t>b</t>
    </r>
    <r>
      <rPr>
        <vertAlign val="subscript"/>
        <sz val="11"/>
        <rFont val="Arial"/>
        <family val="2"/>
      </rPr>
      <t>3</t>
    </r>
  </si>
  <si>
    <r>
      <t>c</t>
    </r>
    <r>
      <rPr>
        <vertAlign val="subscript"/>
        <sz val="11"/>
        <rFont val="Arial"/>
        <family val="2"/>
      </rPr>
      <t>3</t>
    </r>
  </si>
  <si>
    <t>VCOMP4</t>
  </si>
  <si>
    <r>
      <t>a</t>
    </r>
    <r>
      <rPr>
        <vertAlign val="subscript"/>
        <sz val="11"/>
        <rFont val="Arial"/>
        <family val="2"/>
      </rPr>
      <t>4</t>
    </r>
  </si>
  <si>
    <r>
      <t>b</t>
    </r>
    <r>
      <rPr>
        <vertAlign val="subscript"/>
        <sz val="10"/>
        <rFont val="Arial"/>
        <family val="2"/>
      </rPr>
      <t>4</t>
    </r>
  </si>
  <si>
    <t>VCOMP5</t>
  </si>
  <si>
    <t>VCOMP =</t>
  </si>
  <si>
    <r>
      <t>L</t>
    </r>
    <r>
      <rPr>
        <b/>
        <vertAlign val="subscript"/>
        <sz val="10"/>
        <rFont val="Arial"/>
        <family val="2"/>
      </rPr>
      <t>BST(actual)</t>
    </r>
    <r>
      <rPr>
        <b/>
        <sz val="10"/>
        <rFont val="Arial"/>
        <family val="2"/>
      </rPr>
      <t xml:space="preserve"> =</t>
    </r>
  </si>
  <si>
    <r>
      <t>V</t>
    </r>
    <r>
      <rPr>
        <b/>
        <vertAlign val="subscript"/>
        <sz val="10"/>
        <rFont val="Arial"/>
        <family val="2"/>
      </rPr>
      <t>OUT</t>
    </r>
  </si>
  <si>
    <r>
      <t>V</t>
    </r>
    <r>
      <rPr>
        <vertAlign val="subscript"/>
        <sz val="10"/>
        <rFont val="Arial"/>
        <family val="2"/>
      </rPr>
      <t>OUT(min)</t>
    </r>
  </si>
  <si>
    <r>
      <t>V</t>
    </r>
    <r>
      <rPr>
        <vertAlign val="subscript"/>
        <sz val="10"/>
        <rFont val="Arial"/>
        <family val="2"/>
      </rPr>
      <t>OUT(max)</t>
    </r>
  </si>
  <si>
    <r>
      <t>C</t>
    </r>
    <r>
      <rPr>
        <vertAlign val="subscript"/>
        <sz val="10"/>
        <rFont val="Arial"/>
        <family val="2"/>
      </rPr>
      <t>ICOMPmax(recommended)</t>
    </r>
  </si>
  <si>
    <r>
      <t>g</t>
    </r>
    <r>
      <rPr>
        <vertAlign val="subscript"/>
        <sz val="11"/>
        <rFont val="Arial"/>
        <family val="2"/>
      </rPr>
      <t>mi</t>
    </r>
  </si>
  <si>
    <r>
      <rPr>
        <sz val="11"/>
        <rFont val="Arial"/>
        <family val="2"/>
      </rPr>
      <t>C</t>
    </r>
    <r>
      <rPr>
        <vertAlign val="subscript"/>
        <sz val="11"/>
        <rFont val="Arial"/>
        <family val="2"/>
      </rPr>
      <t>ICOMPmax</t>
    </r>
  </si>
  <si>
    <r>
      <rPr>
        <sz val="11"/>
        <rFont val="Arial"/>
        <family val="2"/>
      </rPr>
      <t>C</t>
    </r>
    <r>
      <rPr>
        <vertAlign val="subscript"/>
        <sz val="11"/>
        <rFont val="Arial"/>
        <family val="2"/>
      </rPr>
      <t>ICOMPmin</t>
    </r>
  </si>
  <si>
    <r>
      <t>C</t>
    </r>
    <r>
      <rPr>
        <vertAlign val="subscript"/>
        <sz val="10"/>
        <rFont val="Arial"/>
        <family val="2"/>
      </rPr>
      <t>ICOMPmin(recommended)</t>
    </r>
  </si>
  <si>
    <r>
      <t>C</t>
    </r>
    <r>
      <rPr>
        <vertAlign val="subscript"/>
        <sz val="11"/>
        <rFont val="Arial"/>
        <family val="2"/>
      </rPr>
      <t>VCOMP</t>
    </r>
  </si>
  <si>
    <r>
      <t>R</t>
    </r>
    <r>
      <rPr>
        <vertAlign val="subscript"/>
        <sz val="11"/>
        <rFont val="Arial"/>
        <family val="2"/>
      </rPr>
      <t>VCOMP</t>
    </r>
  </si>
  <si>
    <r>
      <t>C</t>
    </r>
    <r>
      <rPr>
        <vertAlign val="subscript"/>
        <sz val="11"/>
        <rFont val="Arial"/>
        <family val="2"/>
      </rPr>
      <t>VCOMP_P</t>
    </r>
  </si>
  <si>
    <r>
      <t>g</t>
    </r>
    <r>
      <rPr>
        <vertAlign val="subscript"/>
        <sz val="11"/>
        <rFont val="Arial"/>
        <family val="2"/>
      </rPr>
      <t>mv</t>
    </r>
  </si>
  <si>
    <t>Inductor Peak-to-Peak Current Ripple Factor (i.e. 0.2 for 20%, 0.3 for 30%). Percentage of minimum input, maximum load, inductor current at 50% duty cycle operating point, not recommended to be &gt; 0.4:</t>
  </si>
  <si>
    <r>
      <t>L</t>
    </r>
    <r>
      <rPr>
        <b/>
        <vertAlign val="subscript"/>
        <sz val="10"/>
        <rFont val="Arial"/>
        <family val="2"/>
      </rPr>
      <t>I_ripple_factor(target)</t>
    </r>
  </si>
  <si>
    <r>
      <t>V</t>
    </r>
    <r>
      <rPr>
        <b/>
        <vertAlign val="subscript"/>
        <sz val="10"/>
        <rFont val="Arial"/>
        <family val="2"/>
      </rPr>
      <t>Cin_ripple_factor</t>
    </r>
  </si>
  <si>
    <r>
      <t>C</t>
    </r>
    <r>
      <rPr>
        <b/>
        <vertAlign val="subscript"/>
        <sz val="10"/>
        <rFont val="Arial"/>
        <family val="2"/>
      </rPr>
      <t>IN</t>
    </r>
  </si>
  <si>
    <r>
      <t>C</t>
    </r>
    <r>
      <rPr>
        <b/>
        <vertAlign val="subscript"/>
        <sz val="10"/>
        <rFont val="Arial"/>
        <family val="2"/>
      </rPr>
      <t>ICOMP(actual)</t>
    </r>
  </si>
  <si>
    <r>
      <t>C</t>
    </r>
    <r>
      <rPr>
        <b/>
        <vertAlign val="subscript"/>
        <sz val="10"/>
        <rFont val="Arial"/>
        <family val="2"/>
      </rPr>
      <t>VCOMP_P(actual)</t>
    </r>
  </si>
  <si>
    <r>
      <t>m</t>
    </r>
    <r>
      <rPr>
        <b/>
        <sz val="10"/>
        <rFont val="Arial"/>
        <family val="2"/>
      </rPr>
      <t>F</t>
    </r>
  </si>
  <si>
    <r>
      <t>C</t>
    </r>
    <r>
      <rPr>
        <vertAlign val="subscript"/>
        <sz val="10"/>
        <rFont val="Arial"/>
        <family val="2"/>
      </rPr>
      <t>VCOMP_P(recommended)</t>
    </r>
  </si>
  <si>
    <r>
      <t>C</t>
    </r>
    <r>
      <rPr>
        <vertAlign val="subscript"/>
        <sz val="10"/>
        <rFont val="Arial"/>
        <family val="2"/>
      </rPr>
      <t>VCOMP(recommended)</t>
    </r>
  </si>
  <si>
    <r>
      <t>Actual Value Used for C</t>
    </r>
    <r>
      <rPr>
        <b/>
        <vertAlign val="subscript"/>
        <sz val="10"/>
        <rFont val="Arial"/>
        <family val="2"/>
      </rPr>
      <t>VCOMP</t>
    </r>
    <r>
      <rPr>
        <b/>
        <sz val="10"/>
        <rFont val="Arial"/>
        <family val="2"/>
      </rPr>
      <t xml:space="preserve"> Capacitor:</t>
    </r>
  </si>
  <si>
    <r>
      <t>C</t>
    </r>
    <r>
      <rPr>
        <b/>
        <vertAlign val="subscript"/>
        <sz val="10"/>
        <rFont val="Arial"/>
        <family val="2"/>
      </rPr>
      <t>VCOMP(actual)</t>
    </r>
  </si>
  <si>
    <r>
      <t>Desired Voltage Loop Crossover Frequency ( f</t>
    </r>
    <r>
      <rPr>
        <b/>
        <vertAlign val="subscript"/>
        <sz val="10"/>
        <rFont val="Arial"/>
        <family val="2"/>
      </rPr>
      <t>V</t>
    </r>
    <r>
      <rPr>
        <b/>
        <sz val="10"/>
        <rFont val="Arial"/>
        <family val="2"/>
      </rPr>
      <t xml:space="preserve"> &lt; 20Hz):</t>
    </r>
  </si>
  <si>
    <r>
      <t>f</t>
    </r>
    <r>
      <rPr>
        <b/>
        <vertAlign val="subscript"/>
        <sz val="10"/>
        <rFont val="Arial"/>
        <family val="2"/>
      </rPr>
      <t>V</t>
    </r>
  </si>
  <si>
    <r>
      <t>R</t>
    </r>
    <r>
      <rPr>
        <vertAlign val="subscript"/>
        <sz val="10"/>
        <rFont val="Arial"/>
        <family val="2"/>
      </rPr>
      <t>VCOMP(recommended)</t>
    </r>
  </si>
  <si>
    <r>
      <t>Actual Value Used for R</t>
    </r>
    <r>
      <rPr>
        <b/>
        <vertAlign val="subscript"/>
        <sz val="10"/>
        <rFont val="Arial"/>
        <family val="2"/>
      </rPr>
      <t>VCOMP</t>
    </r>
    <r>
      <rPr>
        <b/>
        <sz val="10"/>
        <rFont val="Arial"/>
        <family val="2"/>
      </rPr>
      <t xml:space="preserve"> Resistor:</t>
    </r>
  </si>
  <si>
    <r>
      <t>R</t>
    </r>
    <r>
      <rPr>
        <b/>
        <vertAlign val="subscript"/>
        <sz val="10"/>
        <rFont val="Arial"/>
        <family val="2"/>
      </rPr>
      <t>VCOMP(actual)</t>
    </r>
  </si>
  <si>
    <r>
      <t>f</t>
    </r>
    <r>
      <rPr>
        <b/>
        <vertAlign val="subscript"/>
        <sz val="10"/>
        <rFont val="Arial"/>
        <family val="2"/>
      </rPr>
      <t>POLE</t>
    </r>
  </si>
  <si>
    <r>
      <t>Resultant Switching Frequency, f</t>
    </r>
    <r>
      <rPr>
        <vertAlign val="subscript"/>
        <sz val="10"/>
        <rFont val="Arial"/>
        <family val="2"/>
      </rPr>
      <t>SW</t>
    </r>
    <r>
      <rPr>
        <sz val="10"/>
        <rFont val="Arial"/>
        <family val="2"/>
      </rPr>
      <t>:</t>
    </r>
  </si>
  <si>
    <r>
      <t>Forward Voltage Drop, at I</t>
    </r>
    <r>
      <rPr>
        <vertAlign val="subscript"/>
        <sz val="10"/>
        <rFont val="Arial"/>
        <family val="2"/>
      </rPr>
      <t>L_PEAK(max)</t>
    </r>
    <r>
      <rPr>
        <sz val="10"/>
        <rFont val="Arial"/>
        <family val="2"/>
      </rPr>
      <t>,125</t>
    </r>
    <r>
      <rPr>
        <sz val="10"/>
        <rFont val="Symbol"/>
        <family val="1"/>
      </rPr>
      <t>°</t>
    </r>
    <r>
      <rPr>
        <sz val="10"/>
        <rFont val="Arial"/>
        <family val="2"/>
      </rPr>
      <t>C:</t>
    </r>
  </si>
  <si>
    <t>Reverse Recovery Losses:</t>
  </si>
  <si>
    <r>
      <t>Resistance of Thermistor at 25</t>
    </r>
    <r>
      <rPr>
        <sz val="10"/>
        <rFont val="Symbol"/>
        <family val="1"/>
      </rPr>
      <t>°</t>
    </r>
    <r>
      <rPr>
        <sz val="10"/>
        <rFont val="Arial"/>
        <family val="2"/>
      </rPr>
      <t>C:</t>
    </r>
  </si>
  <si>
    <r>
      <t>Bridge Rectifier Forward Voltage, at I</t>
    </r>
    <r>
      <rPr>
        <vertAlign val="subscript"/>
        <sz val="10"/>
        <rFont val="Arial"/>
        <family val="2"/>
      </rPr>
      <t>IN_PEAK(max)</t>
    </r>
    <r>
      <rPr>
        <sz val="10"/>
        <rFont val="Arial"/>
        <family val="2"/>
      </rPr>
      <t>:</t>
    </r>
  </si>
  <si>
    <r>
      <t>V</t>
    </r>
    <r>
      <rPr>
        <vertAlign val="subscript"/>
        <sz val="10"/>
        <rFont val="Arial"/>
        <family val="2"/>
      </rPr>
      <t>F_BRIDGE</t>
    </r>
  </si>
  <si>
    <r>
      <t>R</t>
    </r>
    <r>
      <rPr>
        <vertAlign val="subscript"/>
        <sz val="10"/>
        <rFont val="Symbol"/>
        <family val="1"/>
      </rPr>
      <t>q</t>
    </r>
    <r>
      <rPr>
        <vertAlign val="subscript"/>
        <sz val="10"/>
        <rFont val="Arial"/>
        <family val="2"/>
      </rPr>
      <t>JC(Bridge)</t>
    </r>
  </si>
  <si>
    <r>
      <t>°</t>
    </r>
    <r>
      <rPr>
        <sz val="10"/>
        <rFont val="Arial"/>
        <family val="2"/>
      </rPr>
      <t>C/W</t>
    </r>
  </si>
  <si>
    <r>
      <t>R</t>
    </r>
    <r>
      <rPr>
        <vertAlign val="subscript"/>
        <sz val="10"/>
        <rFont val="Arial"/>
        <family val="2"/>
      </rPr>
      <t>θCHS(Bridge)</t>
    </r>
  </si>
  <si>
    <r>
      <t>°</t>
    </r>
    <r>
      <rPr>
        <sz val="10"/>
        <rFont val="Arial"/>
        <family val="2"/>
      </rPr>
      <t>C</t>
    </r>
  </si>
  <si>
    <r>
      <t>f</t>
    </r>
    <r>
      <rPr>
        <b/>
        <vertAlign val="subscript"/>
        <sz val="10"/>
        <rFont val="Arial"/>
        <family val="2"/>
      </rPr>
      <t>SW(target)</t>
    </r>
  </si>
  <si>
    <t>kΩ</t>
  </si>
  <si>
    <r>
      <t>R</t>
    </r>
    <r>
      <rPr>
        <b/>
        <vertAlign val="subscript"/>
        <sz val="10"/>
        <rFont val="Arial"/>
        <family val="2"/>
      </rPr>
      <t>FREQ</t>
    </r>
    <r>
      <rPr>
        <b/>
        <sz val="10"/>
        <rFont val="Arial"/>
        <family val="2"/>
      </rPr>
      <t xml:space="preserve"> =</t>
    </r>
  </si>
  <si>
    <r>
      <t>f</t>
    </r>
    <r>
      <rPr>
        <vertAlign val="subscript"/>
        <sz val="10"/>
        <rFont val="Arial"/>
        <family val="2"/>
      </rPr>
      <t>SW</t>
    </r>
  </si>
  <si>
    <r>
      <t>I</t>
    </r>
    <r>
      <rPr>
        <vertAlign val="subscript"/>
        <sz val="10"/>
        <rFont val="Arial"/>
        <family val="2"/>
      </rPr>
      <t>OUT</t>
    </r>
  </si>
  <si>
    <r>
      <t>Ideal Value for R</t>
    </r>
    <r>
      <rPr>
        <vertAlign val="subscript"/>
        <sz val="10"/>
        <rFont val="Arial"/>
        <family val="2"/>
      </rPr>
      <t>SENSE</t>
    </r>
    <r>
      <rPr>
        <sz val="10"/>
        <rFont val="Arial"/>
        <family val="2"/>
      </rPr>
      <t>, for 110% Inductor SOC Threshold:</t>
    </r>
  </si>
  <si>
    <r>
      <t>R</t>
    </r>
    <r>
      <rPr>
        <vertAlign val="subscript"/>
        <sz val="10"/>
        <rFont val="Arial"/>
        <family val="2"/>
      </rPr>
      <t>SENSE(ideal)</t>
    </r>
  </si>
  <si>
    <r>
      <t>Actual Value for R</t>
    </r>
    <r>
      <rPr>
        <b/>
        <vertAlign val="subscript"/>
        <sz val="10"/>
        <rFont val="Arial"/>
        <family val="2"/>
      </rPr>
      <t>SENSE</t>
    </r>
    <r>
      <rPr>
        <b/>
        <sz val="10"/>
        <rFont val="Arial"/>
        <family val="2"/>
      </rPr>
      <t>: Current Sense Resistor:</t>
    </r>
  </si>
  <si>
    <r>
      <t>R</t>
    </r>
    <r>
      <rPr>
        <b/>
        <vertAlign val="subscript"/>
        <sz val="10"/>
        <rFont val="Arial"/>
        <family val="2"/>
      </rPr>
      <t>SENSE</t>
    </r>
  </si>
  <si>
    <r>
      <t>C</t>
    </r>
    <r>
      <rPr>
        <b/>
        <vertAlign val="subscript"/>
        <sz val="10"/>
        <rFont val="Arial"/>
        <family val="2"/>
      </rPr>
      <t>OUT</t>
    </r>
  </si>
  <si>
    <r>
      <t>C</t>
    </r>
    <r>
      <rPr>
        <vertAlign val="subscript"/>
        <sz val="10"/>
        <rFont val="Arial"/>
        <family val="2"/>
      </rPr>
      <t>OUT(recommended)</t>
    </r>
  </si>
  <si>
    <r>
      <t>R</t>
    </r>
    <r>
      <rPr>
        <vertAlign val="subscript"/>
        <sz val="10"/>
        <rFont val="Arial"/>
        <family val="2"/>
      </rPr>
      <t>FB1(recommended)</t>
    </r>
  </si>
  <si>
    <r>
      <t>R</t>
    </r>
    <r>
      <rPr>
        <b/>
        <vertAlign val="subscript"/>
        <sz val="10"/>
        <rFont val="Arial"/>
        <family val="2"/>
      </rPr>
      <t>FB1(actual)</t>
    </r>
  </si>
  <si>
    <r>
      <t>R</t>
    </r>
    <r>
      <rPr>
        <vertAlign val="subscript"/>
        <sz val="10"/>
        <rFont val="Arial"/>
        <family val="2"/>
      </rPr>
      <t>FB2(recommended)</t>
    </r>
  </si>
  <si>
    <r>
      <t>R</t>
    </r>
    <r>
      <rPr>
        <b/>
        <vertAlign val="subscript"/>
        <sz val="10"/>
        <rFont val="Arial"/>
        <family val="2"/>
      </rPr>
      <t>FB2(actual)</t>
    </r>
  </si>
  <si>
    <t>Minimum Output Voltage Holdup Time:</t>
  </si>
  <si>
    <r>
      <t>Minimum Output Voltage with respect to V</t>
    </r>
    <r>
      <rPr>
        <vertAlign val="subscript"/>
        <sz val="10"/>
        <rFont val="Arial"/>
        <family val="2"/>
      </rPr>
      <t>REF:</t>
    </r>
  </si>
  <si>
    <r>
      <t>Maximum Output Voltage with respect to V</t>
    </r>
    <r>
      <rPr>
        <vertAlign val="subscript"/>
        <sz val="10"/>
        <rFont val="Arial"/>
        <family val="2"/>
      </rPr>
      <t>REF:</t>
    </r>
  </si>
  <si>
    <t>OVP Set Point: Typical DC Output Voltage to Trigger OVP:</t>
  </si>
  <si>
    <t>UVD Set Point: Typical DC Output Voltage to Trigger UVD:</t>
  </si>
  <si>
    <r>
      <t>Internal Current Loop Gain Factor M</t>
    </r>
    <r>
      <rPr>
        <vertAlign val="subscript"/>
        <sz val="10"/>
        <rFont val="Arial"/>
        <family val="2"/>
      </rPr>
      <t>1</t>
    </r>
    <r>
      <rPr>
        <sz val="10"/>
        <rFont val="Arial"/>
        <family val="2"/>
      </rPr>
      <t>:</t>
    </r>
  </si>
  <si>
    <r>
      <t>Internal Voltage Loop PWM Ramp Slope M</t>
    </r>
    <r>
      <rPr>
        <vertAlign val="subscript"/>
        <sz val="10"/>
        <rFont val="Arial"/>
        <family val="2"/>
      </rPr>
      <t>2</t>
    </r>
    <r>
      <rPr>
        <sz val="10"/>
        <rFont val="Arial"/>
        <family val="2"/>
      </rPr>
      <t>:</t>
    </r>
  </si>
  <si>
    <r>
      <t>Non-Linear Gain Voltage Loop Variable M</t>
    </r>
    <r>
      <rPr>
        <vertAlign val="subscript"/>
        <sz val="10"/>
        <rFont val="Arial"/>
        <family val="2"/>
      </rPr>
      <t>3</t>
    </r>
    <r>
      <rPr>
        <sz val="10"/>
        <rFont val="Arial"/>
        <family val="2"/>
      </rPr>
      <t>:</t>
    </r>
  </si>
  <si>
    <t>Maximum Recommended ICOMP Capacitor Value:</t>
  </si>
  <si>
    <t>Minimum Recommended ICOMP Capacitor Value:</t>
  </si>
  <si>
    <r>
      <t>Desired Voltage Compensation Pole (f</t>
    </r>
    <r>
      <rPr>
        <b/>
        <vertAlign val="subscript"/>
        <sz val="10"/>
        <rFont val="Arial"/>
        <family val="2"/>
      </rPr>
      <t>Pole</t>
    </r>
    <r>
      <rPr>
        <b/>
        <sz val="10"/>
        <rFont val="Arial"/>
        <family val="2"/>
      </rPr>
      <t xml:space="preserve"> &lt; 50Hz):</t>
    </r>
  </si>
  <si>
    <t>Typical Schematic for a PFC Continuous Conduction Mode Boost Converter Using the UCC28180</t>
  </si>
  <si>
    <t>CIN</t>
  </si>
  <si>
    <t>FUSE</t>
  </si>
  <si>
    <t>BRIDGE</t>
  </si>
  <si>
    <r>
      <t>C</t>
    </r>
    <r>
      <rPr>
        <vertAlign val="subscript"/>
        <sz val="11"/>
        <rFont val="Arial"/>
        <family val="2"/>
      </rPr>
      <t>IN</t>
    </r>
  </si>
  <si>
    <t>LBST</t>
  </si>
  <si>
    <t>DBOOST</t>
  </si>
  <si>
    <t>QFET</t>
  </si>
  <si>
    <t>RECOMMENDED BILL OF MATERIALS</t>
  </si>
  <si>
    <t>RSENSE</t>
  </si>
  <si>
    <t>RISENSE</t>
  </si>
  <si>
    <t>CISENSE</t>
  </si>
  <si>
    <t>COUT</t>
  </si>
  <si>
    <r>
      <t>C</t>
    </r>
    <r>
      <rPr>
        <vertAlign val="subscript"/>
        <sz val="11"/>
        <rFont val="Arial"/>
        <family val="2"/>
      </rPr>
      <t>ISENSE</t>
    </r>
  </si>
  <si>
    <t>Recommended ISENSE Series Resistor:</t>
  </si>
  <si>
    <t>Recommended ISENSE Filter Capacitor:</t>
  </si>
  <si>
    <t>RFB1</t>
  </si>
  <si>
    <t>RFB2</t>
  </si>
  <si>
    <t>CVSENSE</t>
  </si>
  <si>
    <t>CICOMP</t>
  </si>
  <si>
    <t>CVCOMP</t>
  </si>
  <si>
    <t>RVCOMP</t>
  </si>
  <si>
    <t>CVCOMP_P</t>
  </si>
  <si>
    <t>RFREQ</t>
  </si>
  <si>
    <t>CVCC</t>
  </si>
  <si>
    <r>
      <t>m</t>
    </r>
    <r>
      <rPr>
        <sz val="16"/>
        <rFont val="Arial"/>
        <family val="2"/>
      </rPr>
      <t>F min</t>
    </r>
  </si>
  <si>
    <r>
      <t>m</t>
    </r>
    <r>
      <rPr>
        <sz val="16"/>
        <rFont val="Arial"/>
        <family val="2"/>
      </rPr>
      <t>F max</t>
    </r>
  </si>
  <si>
    <t>pF min</t>
  </si>
  <si>
    <t>Recommended Values:</t>
  </si>
  <si>
    <t>DSTART</t>
  </si>
  <si>
    <t>Diode, Switching</t>
  </si>
  <si>
    <t>DTURNOFF</t>
  </si>
  <si>
    <t>Diode, Schottky</t>
  </si>
  <si>
    <t>RGATE</t>
  </si>
  <si>
    <t>As Needed</t>
  </si>
  <si>
    <t>RGATE2</t>
  </si>
  <si>
    <r>
      <t>k</t>
    </r>
    <r>
      <rPr>
        <sz val="16"/>
        <rFont val="Calibri"/>
        <family val="2"/>
      </rPr>
      <t>Ω</t>
    </r>
  </si>
  <si>
    <t>VLINE</t>
  </si>
  <si>
    <t>VCOMP as a function of Line voltage at full load</t>
  </si>
  <si>
    <r>
      <t>K</t>
    </r>
    <r>
      <rPr>
        <b/>
        <vertAlign val="subscript"/>
        <sz val="11"/>
        <rFont val="Arial"/>
        <family val="2"/>
      </rPr>
      <t>1V2</t>
    </r>
  </si>
  <si>
    <r>
      <t>K</t>
    </r>
    <r>
      <rPr>
        <b/>
        <vertAlign val="subscript"/>
        <sz val="11"/>
        <rFont val="Arial"/>
        <family val="2"/>
      </rPr>
      <t>2V2</t>
    </r>
  </si>
  <si>
    <r>
      <t>K</t>
    </r>
    <r>
      <rPr>
        <b/>
        <vertAlign val="subscript"/>
        <sz val="11"/>
        <rFont val="Arial"/>
        <family val="2"/>
      </rPr>
      <t>3V2</t>
    </r>
  </si>
  <si>
    <r>
      <t>K</t>
    </r>
    <r>
      <rPr>
        <b/>
        <vertAlign val="subscript"/>
        <sz val="11"/>
        <rFont val="Arial"/>
        <family val="2"/>
      </rPr>
      <t>4V2</t>
    </r>
  </si>
  <si>
    <r>
      <t>K</t>
    </r>
    <r>
      <rPr>
        <b/>
        <vertAlign val="subscript"/>
        <sz val="11"/>
        <rFont val="Arial"/>
        <family val="2"/>
      </rPr>
      <t>1V3</t>
    </r>
  </si>
  <si>
    <r>
      <t>K</t>
    </r>
    <r>
      <rPr>
        <b/>
        <vertAlign val="subscript"/>
        <sz val="11"/>
        <rFont val="Arial"/>
        <family val="2"/>
      </rPr>
      <t>2V3</t>
    </r>
  </si>
  <si>
    <r>
      <t>K</t>
    </r>
    <r>
      <rPr>
        <b/>
        <vertAlign val="subscript"/>
        <sz val="11"/>
        <rFont val="Arial"/>
        <family val="2"/>
      </rPr>
      <t>3V3</t>
    </r>
  </si>
  <si>
    <r>
      <t>K</t>
    </r>
    <r>
      <rPr>
        <b/>
        <vertAlign val="subscript"/>
        <sz val="11"/>
        <rFont val="Arial"/>
        <family val="2"/>
      </rPr>
      <t>4V3</t>
    </r>
  </si>
  <si>
    <r>
      <t>K</t>
    </r>
    <r>
      <rPr>
        <b/>
        <vertAlign val="subscript"/>
        <sz val="11"/>
        <rFont val="Arial"/>
        <family val="2"/>
      </rPr>
      <t>5V3</t>
    </r>
  </si>
  <si>
    <t>Line Voltage for Optimized Loop Design:</t>
  </si>
  <si>
    <r>
      <t>VCOMP Voltage at V</t>
    </r>
    <r>
      <rPr>
        <b/>
        <vertAlign val="subscript"/>
        <sz val="10"/>
        <rFont val="Arial"/>
        <family val="2"/>
      </rPr>
      <t>INnom</t>
    </r>
    <r>
      <rPr>
        <b/>
        <sz val="10"/>
        <rFont val="Arial"/>
        <family val="2"/>
      </rPr>
      <t>:</t>
    </r>
  </si>
  <si>
    <t>Resultant VCOMP at Full Load</t>
  </si>
  <si>
    <r>
      <t>V</t>
    </r>
    <r>
      <rPr>
        <vertAlign val="subscript"/>
        <sz val="10"/>
        <rFont val="Arial"/>
        <family val="2"/>
      </rPr>
      <t>LINE</t>
    </r>
  </si>
  <si>
    <r>
      <t>VCOMP at V</t>
    </r>
    <r>
      <rPr>
        <vertAlign val="subscript"/>
        <sz val="10"/>
        <rFont val="Arial"/>
        <family val="2"/>
      </rPr>
      <t>LINE</t>
    </r>
  </si>
  <si>
    <t xml:space="preserve">To Calculate VCOMP </t>
  </si>
  <si>
    <t>At User Selectable Line Voltage, Full Load</t>
  </si>
  <si>
    <t>Percent Load</t>
  </si>
  <si>
    <t>Enter Line Voltage for VCOMP calculation</t>
  </si>
  <si>
    <t>Percentage of Full Load for VCOMP Calculation:</t>
  </si>
  <si>
    <t>% of Full Load:</t>
  </si>
  <si>
    <t>%</t>
  </si>
  <si>
    <t>Resultant VCOMP at Selected Load</t>
  </si>
  <si>
    <t>VCOMP at %load selected</t>
  </si>
  <si>
    <t>To Determine VCOMP for a Specific Line Voltage at Full Load:</t>
  </si>
  <si>
    <t>To Determine VCOMP at Selected Line Voltage and at a Specific Load, enter a value from 1 to 100 for 1% to 100% load:</t>
  </si>
  <si>
    <t>VCOMP as a function of Load at Given line voltage</t>
  </si>
  <si>
    <t>%Full Load</t>
  </si>
  <si>
    <t>The Loop will be Optimized at a Selected Specific Line Voltage.  For a Wide Input Range, Optimization is Recommended at the Mean of Min and Max Input.  For a Design with a Specific Nominal Line Voltage, Optimize at that Nominal Voltage. VCOMP at Any Line Voltage or as a Function of Load is Shown at Right</t>
  </si>
  <si>
    <t>At User Selectable Line Voltage, % of Load</t>
  </si>
  <si>
    <t>IAC RMS</t>
  </si>
  <si>
    <t>ISENSE_Pk</t>
  </si>
  <si>
    <t>ICOMP</t>
  </si>
  <si>
    <t>ICOMP =</t>
  </si>
  <si>
    <t>Resultant ICOMP at Full Load</t>
  </si>
  <si>
    <t xml:space="preserve">ICOMP </t>
  </si>
  <si>
    <t>ICOMP Voltage at Vin_Min, ICOMP to be &lt;5.7V to avoid ICOMP amp saturation</t>
  </si>
  <si>
    <t>Rev B</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</si>
</sst>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quot;Yes&quot;;&quot;Yes&quot;;&quot;No&quot;"/>
    <numFmt numFmtId="194" formatCode="&quot;True&quot;;&quot;True&quot;;&quot;False&quot;"/>
    <numFmt numFmtId="195" formatCode="&quot;On&quot;;&quot;On&quot;;&quot;Off&quot;"/>
    <numFmt numFmtId="196" formatCode="[$€-2]\ #,##0.00_);[Red]\([$€-2]\ #,##0.00\)"/>
    <numFmt numFmtId="197" formatCode="&quot;$&quot;#,##0.00"/>
    <numFmt numFmtId="198" formatCode="0E+00"/>
  </numFmts>
  <fonts count="100">
    <font>
      <sz val="10"/>
      <name val="Arial"/>
      <family val="2"/>
    </font>
    <font>
      <vertAlign val="subscript"/>
      <sz val="10"/>
      <name val="Arial"/>
      <family val="2"/>
    </font>
    <font>
      <sz val="10"/>
      <color indexed="10"/>
      <name val="Arial"/>
      <family val="2"/>
    </font>
    <font>
      <b/>
      <sz val="12"/>
      <name val="Arial"/>
      <family val="2"/>
    </font>
    <font>
      <sz val="8"/>
      <name val="Arial"/>
      <family val="2"/>
    </font>
    <font>
      <sz val="10"/>
      <name val="Symbol"/>
      <family val="1"/>
    </font>
    <font>
      <b/>
      <sz val="12"/>
      <color indexed="10"/>
      <name val="Arial"/>
      <family val="2"/>
    </font>
    <font>
      <vertAlign val="subscript"/>
      <sz val="10"/>
      <name val="Symbol"/>
      <family val="1"/>
    </font>
    <font>
      <sz val="12"/>
      <name val="Arial"/>
      <family val="2"/>
    </font>
    <font>
      <b/>
      <sz val="10"/>
      <name val="Arial"/>
      <family val="2"/>
    </font>
    <font>
      <b/>
      <vertAlign val="subscript"/>
      <sz val="10"/>
      <name val="Arial"/>
      <family val="2"/>
    </font>
    <font>
      <b/>
      <sz val="11"/>
      <name val="Arial"/>
      <family val="2"/>
    </font>
    <font>
      <b/>
      <sz val="10"/>
      <color indexed="10"/>
      <name val="Arial"/>
      <family val="2"/>
    </font>
    <font>
      <u val="single"/>
      <sz val="10"/>
      <color indexed="12"/>
      <name val="Arial"/>
      <family val="2"/>
    </font>
    <font>
      <u val="single"/>
      <sz val="10"/>
      <color indexed="36"/>
      <name val="Arial"/>
      <family val="2"/>
    </font>
    <font>
      <b/>
      <sz val="14"/>
      <color indexed="10"/>
      <name val="Arial"/>
      <family val="2"/>
    </font>
    <font>
      <b/>
      <sz val="10"/>
      <name val="Symbol"/>
      <family val="1"/>
    </font>
    <font>
      <b/>
      <sz val="16"/>
      <name val="Arial"/>
      <family val="2"/>
    </font>
    <font>
      <b/>
      <sz val="14"/>
      <name val="Arial"/>
      <family val="2"/>
    </font>
    <font>
      <sz val="16"/>
      <color indexed="10"/>
      <name val="Arial"/>
      <family val="2"/>
    </font>
    <font>
      <sz val="16"/>
      <name val="Arial"/>
      <family val="2"/>
    </font>
    <font>
      <sz val="16"/>
      <name val="Symbol"/>
      <family val="1"/>
    </font>
    <font>
      <vertAlign val="subscript"/>
      <sz val="16"/>
      <name val="Arial"/>
      <family val="2"/>
    </font>
    <font>
      <b/>
      <sz val="24"/>
      <color indexed="9"/>
      <name val="Arial"/>
      <family val="2"/>
    </font>
    <font>
      <b/>
      <sz val="9"/>
      <name val="Arial"/>
      <family val="2"/>
    </font>
    <font>
      <b/>
      <i/>
      <sz val="14"/>
      <name val="Arial"/>
      <family val="2"/>
    </font>
    <font>
      <b/>
      <sz val="11"/>
      <color indexed="10"/>
      <name val="Arial"/>
      <family val="2"/>
    </font>
    <font>
      <sz val="11"/>
      <color indexed="8"/>
      <name val="Arial"/>
      <family val="2"/>
    </font>
    <font>
      <sz val="11"/>
      <color indexed="8"/>
      <name val="Calibri"/>
      <family val="2"/>
    </font>
    <font>
      <sz val="11"/>
      <name val="Arial"/>
      <family val="2"/>
    </font>
    <font>
      <vertAlign val="subscript"/>
      <sz val="11"/>
      <name val="Arial"/>
      <family val="2"/>
    </font>
    <font>
      <sz val="11"/>
      <name val="Symbol"/>
      <family val="1"/>
    </font>
    <font>
      <sz val="11"/>
      <name val="Calibri"/>
      <family val="2"/>
    </font>
    <font>
      <b/>
      <sz val="22"/>
      <color indexed="9"/>
      <name val="Arial"/>
      <family val="2"/>
    </font>
    <font>
      <sz val="16"/>
      <name val="Calibri"/>
      <family val="2"/>
    </font>
    <font>
      <b/>
      <vertAlign val="subscript"/>
      <sz val="11"/>
      <name val="Arial"/>
      <family val="2"/>
    </font>
    <font>
      <sz val="9.25"/>
      <color indexed="8"/>
      <name val="Arial"/>
      <family val="2"/>
    </font>
    <font>
      <sz val="10.75"/>
      <color indexed="8"/>
      <name val="Arial"/>
      <family val="2"/>
    </font>
    <font>
      <sz val="7.6"/>
      <color indexed="8"/>
      <name val="Arial"/>
      <family val="2"/>
    </font>
    <font>
      <sz val="10.5"/>
      <color indexed="8"/>
      <name val="Arial"/>
      <family val="2"/>
    </font>
    <font>
      <sz val="7.45"/>
      <color indexed="8"/>
      <name val="Arial"/>
      <family val="2"/>
    </font>
    <font>
      <sz val="11.5"/>
      <color indexed="8"/>
      <name val="Arial"/>
      <family val="2"/>
    </font>
    <font>
      <sz val="8.15"/>
      <color indexed="8"/>
      <name val="Arial"/>
      <family val="2"/>
    </font>
    <font>
      <sz val="9.85"/>
      <color indexed="8"/>
      <name val="Arial"/>
      <family val="2"/>
    </font>
    <font>
      <sz val="9"/>
      <name val="宋体"/>
      <family val="0"/>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b/>
      <sz val="8"/>
      <color indexed="10"/>
      <name val="Arial"/>
      <family val="2"/>
    </font>
    <font>
      <b/>
      <sz val="10"/>
      <color indexed="8"/>
      <name val="Arial"/>
      <family val="2"/>
    </font>
    <font>
      <sz val="10"/>
      <color indexed="8"/>
      <name val="Arial"/>
      <family val="2"/>
    </font>
    <font>
      <b/>
      <sz val="11"/>
      <color indexed="8"/>
      <name val="Arial"/>
      <family val="2"/>
    </font>
    <font>
      <b/>
      <sz val="14"/>
      <color indexed="9"/>
      <name val="Arial"/>
      <family val="2"/>
    </font>
    <font>
      <b/>
      <sz val="9.25"/>
      <color indexed="8"/>
      <name val="Arial"/>
      <family val="2"/>
    </font>
    <font>
      <b/>
      <vertAlign val="subscript"/>
      <sz val="9.25"/>
      <color indexed="8"/>
      <name val="Arial"/>
      <family val="2"/>
    </font>
    <font>
      <vertAlign val="subscript"/>
      <sz val="9.25"/>
      <color indexed="8"/>
      <name val="Arial"/>
      <family val="2"/>
    </font>
    <font>
      <b/>
      <sz val="10.75"/>
      <color indexed="8"/>
      <name val="Arial"/>
      <family val="2"/>
    </font>
    <font>
      <b/>
      <sz val="11.5"/>
      <color indexed="8"/>
      <name val="Arial"/>
      <family val="2"/>
    </font>
    <font>
      <b/>
      <sz val="10.5"/>
      <color indexed="8"/>
      <name val="Arial"/>
      <family val="2"/>
    </font>
    <font>
      <b/>
      <sz val="12"/>
      <color indexed="8"/>
      <name val="Arial"/>
      <family val="2"/>
    </font>
    <font>
      <b/>
      <sz val="11.25"/>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FF0000"/>
      <name val="Arial"/>
      <family val="2"/>
    </font>
    <font>
      <sz val="11"/>
      <color theme="1"/>
      <name val="Arial"/>
      <family val="2"/>
    </font>
    <font>
      <sz val="10"/>
      <color rgb="FFFF0000"/>
      <name val="Arial"/>
      <family val="2"/>
    </font>
    <font>
      <b/>
      <sz val="8"/>
      <color rgb="FFFF0000"/>
      <name val="Arial"/>
      <family val="2"/>
    </font>
    <font>
      <b/>
      <sz val="10"/>
      <color theme="1"/>
      <name val="Arial"/>
      <family val="2"/>
    </font>
    <font>
      <sz val="10"/>
      <color theme="1"/>
      <name val="Arial"/>
      <family val="2"/>
    </font>
    <font>
      <b/>
      <sz val="11"/>
      <color theme="1"/>
      <name val="Arial"/>
      <family val="2"/>
    </font>
    <font>
      <b/>
      <sz val="14"/>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81" fillId="20" borderId="0" applyNumberFormat="0" applyBorder="0" applyAlignment="0" applyProtection="0"/>
    <xf numFmtId="0" fontId="13" fillId="0" borderId="0" applyNumberFormat="0" applyFill="0" applyBorder="0" applyAlignment="0" applyProtection="0"/>
    <xf numFmtId="0" fontId="82" fillId="21" borderId="0" applyNumberFormat="0" applyBorder="0" applyAlignment="0" applyProtection="0"/>
    <xf numFmtId="0" fontId="83"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84" fillId="22" borderId="5" applyNumberFormat="0" applyAlignment="0" applyProtection="0"/>
    <xf numFmtId="0" fontId="85" fillId="23"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89" fillId="24" borderId="0" applyNumberFormat="0" applyBorder="0" applyAlignment="0" applyProtection="0"/>
    <xf numFmtId="0" fontId="90" fillId="22" borderId="8" applyNumberFormat="0" applyAlignment="0" applyProtection="0"/>
    <xf numFmtId="0" fontId="91" fillId="25" borderId="5" applyNumberFormat="0" applyAlignment="0" applyProtection="0"/>
    <xf numFmtId="0" fontId="14" fillId="0" borderId="0" applyNumberFormat="0" applyFill="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0" fillId="32" borderId="9" applyNumberFormat="0" applyFont="0" applyAlignment="0" applyProtection="0"/>
  </cellStyleXfs>
  <cellXfs count="277">
    <xf numFmtId="0" fontId="0" fillId="0" borderId="0" xfId="0" applyAlignment="1">
      <alignment/>
    </xf>
    <xf numFmtId="0" fontId="0" fillId="33" borderId="0" xfId="0" applyFill="1" applyBorder="1" applyAlignment="1" applyProtection="1">
      <alignment vertical="center"/>
      <protection/>
    </xf>
    <xf numFmtId="0" fontId="17" fillId="33" borderId="0" xfId="0" applyFont="1" applyFill="1" applyAlignment="1" applyProtection="1">
      <alignment vertical="center"/>
      <protection locked="0"/>
    </xf>
    <xf numFmtId="0" fontId="0" fillId="33" borderId="0" xfId="0" applyFill="1" applyAlignment="1">
      <alignment vertical="center"/>
    </xf>
    <xf numFmtId="0" fontId="17" fillId="33" borderId="10" xfId="0" applyFont="1" applyFill="1" applyBorder="1" applyAlignment="1">
      <alignment vertical="center" wrapText="1"/>
    </xf>
    <xf numFmtId="0" fontId="20" fillId="33" borderId="11" xfId="0" applyFont="1" applyFill="1" applyBorder="1" applyAlignment="1">
      <alignment vertical="center"/>
    </xf>
    <xf numFmtId="0" fontId="20" fillId="33" borderId="0" xfId="0" applyFont="1" applyFill="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xf>
    <xf numFmtId="2" fontId="20" fillId="33" borderId="13" xfId="0" applyNumberFormat="1" applyFont="1" applyFill="1" applyBorder="1" applyAlignment="1">
      <alignment vertical="center"/>
    </xf>
    <xf numFmtId="0" fontId="20" fillId="33" borderId="14" xfId="0" applyFont="1" applyFill="1" applyBorder="1" applyAlignment="1">
      <alignment vertical="center"/>
    </xf>
    <xf numFmtId="1" fontId="20" fillId="33" borderId="11" xfId="0" applyNumberFormat="1" applyFont="1" applyFill="1" applyBorder="1" applyAlignment="1">
      <alignment vertical="center"/>
    </xf>
    <xf numFmtId="0" fontId="20" fillId="33" borderId="15" xfId="0" applyFont="1" applyFill="1" applyBorder="1" applyAlignment="1">
      <alignment vertical="center"/>
    </xf>
    <xf numFmtId="2" fontId="20" fillId="33" borderId="0" xfId="0" applyNumberFormat="1" applyFont="1" applyFill="1" applyBorder="1" applyAlignment="1">
      <alignment vertical="center"/>
    </xf>
    <xf numFmtId="0" fontId="21" fillId="33" borderId="12" xfId="0" applyFont="1" applyFill="1" applyBorder="1" applyAlignment="1">
      <alignment vertical="center"/>
    </xf>
    <xf numFmtId="1" fontId="20" fillId="33" borderId="0" xfId="0" applyNumberFormat="1" applyFont="1" applyFill="1" applyBorder="1" applyAlignment="1">
      <alignment vertical="center"/>
    </xf>
    <xf numFmtId="0" fontId="20" fillId="33" borderId="12" xfId="0" applyFont="1" applyFill="1" applyBorder="1" applyAlignment="1">
      <alignment vertical="center"/>
    </xf>
    <xf numFmtId="2" fontId="20" fillId="33" borderId="11" xfId="0" applyNumberFormat="1" applyFont="1" applyFill="1" applyBorder="1" applyAlignment="1">
      <alignment vertical="center"/>
    </xf>
    <xf numFmtId="192" fontId="20" fillId="33" borderId="13" xfId="0" applyNumberFormat="1" applyFont="1" applyFill="1" applyBorder="1" applyAlignment="1">
      <alignment vertical="center"/>
    </xf>
    <xf numFmtId="4" fontId="20" fillId="33" borderId="13" xfId="0" applyNumberFormat="1" applyFont="1" applyFill="1" applyBorder="1" applyAlignment="1">
      <alignment vertical="center"/>
    </xf>
    <xf numFmtId="0" fontId="21" fillId="33" borderId="14" xfId="0" applyFont="1" applyFill="1" applyBorder="1" applyAlignment="1">
      <alignment vertical="center"/>
    </xf>
    <xf numFmtId="1" fontId="20" fillId="33" borderId="13" xfId="0" applyNumberFormat="1" applyFont="1" applyFill="1" applyBorder="1" applyAlignment="1">
      <alignment vertical="center"/>
    </xf>
    <xf numFmtId="192" fontId="20" fillId="33" borderId="0" xfId="0" applyNumberFormat="1" applyFont="1" applyFill="1" applyBorder="1" applyAlignment="1">
      <alignment vertical="center"/>
    </xf>
    <xf numFmtId="0" fontId="0" fillId="33" borderId="0" xfId="0" applyFill="1" applyAlignment="1">
      <alignment/>
    </xf>
    <xf numFmtId="0" fontId="0" fillId="33" borderId="0" xfId="0" applyFill="1" applyAlignment="1" applyProtection="1">
      <alignment vertical="center"/>
      <protection/>
    </xf>
    <xf numFmtId="0" fontId="92" fillId="33" borderId="0" xfId="0" applyFont="1" applyFill="1" applyAlignment="1" applyProtection="1">
      <alignment vertical="center" wrapText="1"/>
      <protection/>
    </xf>
    <xf numFmtId="0" fontId="92" fillId="33" borderId="0" xfId="0" applyFont="1" applyFill="1" applyAlignment="1" applyProtection="1">
      <alignment vertical="center"/>
      <protection/>
    </xf>
    <xf numFmtId="0" fontId="0" fillId="33" borderId="0" xfId="0" applyFont="1" applyFill="1" applyBorder="1" applyAlignment="1" applyProtection="1">
      <alignment vertical="center"/>
      <protection hidden="1"/>
    </xf>
    <xf numFmtId="192" fontId="0" fillId="33" borderId="0" xfId="0" applyNumberFormat="1" applyFont="1" applyFill="1" applyBorder="1" applyAlignment="1" applyProtection="1">
      <alignment horizontal="right" vertical="center" shrinkToFit="1"/>
      <protection hidden="1"/>
    </xf>
    <xf numFmtId="192" fontId="0" fillId="33" borderId="0" xfId="0" applyNumberFormat="1" applyFill="1" applyAlignment="1" applyProtection="1">
      <alignment vertical="center"/>
      <protection/>
    </xf>
    <xf numFmtId="0" fontId="0" fillId="33" borderId="0" xfId="0" applyFill="1" applyAlignment="1" applyProtection="1">
      <alignment/>
      <protection/>
    </xf>
    <xf numFmtId="192" fontId="92"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9" fillId="33" borderId="0" xfId="0" applyFont="1" applyFill="1" applyAlignment="1">
      <alignment horizontal="right" vertical="center" wrapText="1"/>
    </xf>
    <xf numFmtId="0" fontId="9" fillId="33" borderId="0" xfId="0" applyFont="1" applyFill="1" applyAlignment="1">
      <alignment horizontal="center" vertical="center" wrapText="1"/>
    </xf>
    <xf numFmtId="0" fontId="24" fillId="33" borderId="0" xfId="0" applyFont="1" applyFill="1" applyAlignment="1">
      <alignment horizontal="right" vertical="center" wrapText="1"/>
    </xf>
    <xf numFmtId="0" fontId="24" fillId="33" borderId="0" xfId="0" applyFont="1" applyFill="1" applyAlignment="1">
      <alignment horizontal="left" vertical="center" wrapText="1"/>
    </xf>
    <xf numFmtId="0" fontId="23" fillId="33" borderId="0" xfId="0" applyFont="1" applyFill="1" applyAlignment="1">
      <alignment horizontal="center" vertical="center" wrapText="1"/>
    </xf>
    <xf numFmtId="0" fontId="0" fillId="33" borderId="17"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192" fontId="2" fillId="33" borderId="18" xfId="0" applyNumberFormat="1" applyFont="1" applyFill="1" applyBorder="1" applyAlignment="1" applyProtection="1">
      <alignment vertical="center"/>
      <protection/>
    </xf>
    <xf numFmtId="0" fontId="0" fillId="33" borderId="20" xfId="0" applyFill="1" applyBorder="1" applyAlignment="1" applyProtection="1">
      <alignment vertical="center"/>
      <protection/>
    </xf>
    <xf numFmtId="0" fontId="0" fillId="33" borderId="21" xfId="0" applyFill="1" applyBorder="1" applyAlignment="1" applyProtection="1">
      <alignment vertical="center"/>
      <protection/>
    </xf>
    <xf numFmtId="192" fontId="2" fillId="33" borderId="21"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2"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33" borderId="18" xfId="0" applyFont="1" applyFill="1" applyBorder="1" applyAlignment="1" applyProtection="1">
      <alignment vertical="center"/>
      <protection/>
    </xf>
    <xf numFmtId="192" fontId="12" fillId="33" borderId="18" xfId="0" applyNumberFormat="1"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9" fillId="33" borderId="17" xfId="0" applyFont="1" applyFill="1" applyBorder="1" applyAlignment="1" applyProtection="1">
      <alignment vertical="center"/>
      <protection/>
    </xf>
    <xf numFmtId="0" fontId="16" fillId="33" borderId="19" xfId="0" applyFont="1" applyFill="1" applyBorder="1" applyAlignment="1" applyProtection="1">
      <alignment vertical="center"/>
      <protection/>
    </xf>
    <xf numFmtId="0" fontId="12" fillId="33" borderId="18" xfId="0" applyNumberFormat="1" applyFont="1" applyFill="1" applyBorder="1" applyAlignment="1" applyProtection="1">
      <alignment vertical="center"/>
      <protection/>
    </xf>
    <xf numFmtId="0" fontId="9" fillId="33" borderId="21" xfId="0" applyFont="1" applyFill="1" applyBorder="1" applyAlignment="1" applyProtection="1">
      <alignment vertical="center"/>
      <protection/>
    </xf>
    <xf numFmtId="1" fontId="12" fillId="33" borderId="21" xfId="0" applyNumberFormat="1" applyFont="1" applyFill="1" applyBorder="1" applyAlignment="1" applyProtection="1">
      <alignment vertical="center"/>
      <protection/>
    </xf>
    <xf numFmtId="0" fontId="9" fillId="33" borderId="22"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192" fontId="2" fillId="33" borderId="21" xfId="0" applyNumberFormat="1"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16" xfId="0" applyFill="1" applyBorder="1" applyAlignment="1" applyProtection="1">
      <alignment/>
      <protection/>
    </xf>
    <xf numFmtId="0" fontId="0" fillId="33" borderId="0" xfId="0" applyFill="1" applyBorder="1" applyAlignment="1" applyProtection="1">
      <alignment/>
      <protection/>
    </xf>
    <xf numFmtId="0" fontId="0" fillId="33" borderId="12" xfId="0" applyFill="1" applyBorder="1" applyAlignment="1" applyProtection="1">
      <alignment/>
      <protection/>
    </xf>
    <xf numFmtId="0" fontId="8" fillId="33" borderId="12" xfId="0" applyFont="1" applyFill="1" applyBorder="1" applyAlignment="1" applyProtection="1">
      <alignment horizontal="left" vertical="center"/>
      <protection/>
    </xf>
    <xf numFmtId="0" fontId="0" fillId="33" borderId="19" xfId="0" applyFont="1" applyFill="1" applyBorder="1" applyAlignment="1" applyProtection="1">
      <alignment horizontal="left" vertical="center"/>
      <protection/>
    </xf>
    <xf numFmtId="0" fontId="0" fillId="33" borderId="17" xfId="0" applyFont="1" applyFill="1" applyBorder="1" applyAlignment="1" applyProtection="1">
      <alignment vertical="center"/>
      <protection/>
    </xf>
    <xf numFmtId="192" fontId="2" fillId="33" borderId="18" xfId="0" applyNumberFormat="1" applyFont="1" applyFill="1" applyBorder="1" applyAlignment="1" applyProtection="1">
      <alignment horizontal="right" vertical="center" shrinkToFit="1"/>
      <protection/>
    </xf>
    <xf numFmtId="192" fontId="2" fillId="33" borderId="19" xfId="0" applyNumberFormat="1" applyFont="1" applyFill="1" applyBorder="1" applyAlignment="1" applyProtection="1">
      <alignment horizontal="center" vertical="center"/>
      <protection/>
    </xf>
    <xf numFmtId="192" fontId="2" fillId="33" borderId="18" xfId="0" applyNumberFormat="1" applyFont="1" applyFill="1" applyBorder="1" applyAlignment="1" applyProtection="1">
      <alignment horizontal="right" vertical="center"/>
      <protection/>
    </xf>
    <xf numFmtId="192" fontId="12" fillId="33" borderId="18" xfId="0" applyNumberFormat="1" applyFont="1" applyFill="1" applyBorder="1" applyAlignment="1" applyProtection="1">
      <alignment horizontal="right" vertical="center" shrinkToFit="1"/>
      <protection/>
    </xf>
    <xf numFmtId="192" fontId="0" fillId="33" borderId="0" xfId="0" applyNumberFormat="1" applyFill="1" applyBorder="1" applyAlignment="1" applyProtection="1">
      <alignment vertical="center"/>
      <protection/>
    </xf>
    <xf numFmtId="0" fontId="0" fillId="33" borderId="23"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14" xfId="0" applyFill="1" applyBorder="1" applyAlignment="1" applyProtection="1">
      <alignment vertical="center"/>
      <protection/>
    </xf>
    <xf numFmtId="0" fontId="0" fillId="33" borderId="0" xfId="0" applyFill="1" applyBorder="1" applyAlignment="1" applyProtection="1">
      <alignment horizontal="left" vertical="center" wrapText="1"/>
      <protection/>
    </xf>
    <xf numFmtId="0" fontId="0" fillId="34" borderId="18" xfId="0" applyFill="1" applyBorder="1" applyAlignment="1" applyProtection="1">
      <alignment vertical="center"/>
      <protection locked="0"/>
    </xf>
    <xf numFmtId="0" fontId="93" fillId="33" borderId="18" xfId="0" applyFont="1" applyFill="1" applyBorder="1" applyAlignment="1" applyProtection="1">
      <alignment/>
      <protection/>
    </xf>
    <xf numFmtId="198" fontId="93" fillId="33" borderId="18" xfId="0" applyNumberFormat="1" applyFont="1" applyFill="1" applyBorder="1" applyAlignment="1" applyProtection="1">
      <alignment/>
      <protection/>
    </xf>
    <xf numFmtId="0" fontId="29" fillId="0" borderId="18" xfId="0" applyFont="1" applyBorder="1" applyAlignment="1" applyProtection="1">
      <alignment vertical="center"/>
      <protection hidden="1"/>
    </xf>
    <xf numFmtId="0" fontId="12" fillId="33" borderId="0" xfId="0" applyFont="1" applyFill="1" applyBorder="1" applyAlignment="1" applyProtection="1">
      <alignment horizontal="center" wrapText="1"/>
      <protection/>
    </xf>
    <xf numFmtId="0" fontId="93" fillId="33" borderId="0" xfId="0" applyFont="1" applyFill="1" applyAlignment="1" applyProtection="1">
      <alignment/>
      <protection/>
    </xf>
    <xf numFmtId="0" fontId="92" fillId="33" borderId="0" xfId="0" applyFont="1" applyFill="1" applyBorder="1" applyAlignment="1" applyProtection="1">
      <alignment vertical="center" wrapText="1"/>
      <protection/>
    </xf>
    <xf numFmtId="0" fontId="0" fillId="33" borderId="21" xfId="0" applyFont="1" applyFill="1" applyBorder="1" applyAlignment="1" applyProtection="1">
      <alignment horizontal="left" vertical="center"/>
      <protection/>
    </xf>
    <xf numFmtId="0" fontId="0" fillId="33" borderId="18"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0" fontId="3" fillId="33" borderId="24" xfId="0" applyFont="1" applyFill="1" applyBorder="1" applyAlignment="1" applyProtection="1">
      <alignment horizontal="right" vertical="center"/>
      <protection/>
    </xf>
    <xf numFmtId="0" fontId="3" fillId="34" borderId="11" xfId="0" applyFont="1" applyFill="1" applyBorder="1" applyAlignment="1" applyProtection="1">
      <alignment horizontal="center" vertical="center"/>
      <protection/>
    </xf>
    <xf numFmtId="0" fontId="9" fillId="33" borderId="23" xfId="0" applyFont="1" applyFill="1" applyBorder="1" applyAlignment="1" applyProtection="1">
      <alignment horizontal="right" vertical="center"/>
      <protection/>
    </xf>
    <xf numFmtId="0" fontId="9" fillId="33" borderId="0" xfId="0" applyFont="1" applyFill="1" applyBorder="1" applyAlignment="1" applyProtection="1">
      <alignment vertical="center"/>
      <protection/>
    </xf>
    <xf numFmtId="0" fontId="20" fillId="33" borderId="12" xfId="0" applyFont="1" applyFill="1" applyBorder="1" applyAlignment="1">
      <alignment horizontal="left" vertical="center" wrapText="1"/>
    </xf>
    <xf numFmtId="192" fontId="94" fillId="33" borderId="18" xfId="0" applyNumberFormat="1" applyFont="1" applyFill="1" applyBorder="1" applyAlignment="1" applyProtection="1">
      <alignment horizontal="right" vertical="center"/>
      <protection/>
    </xf>
    <xf numFmtId="0" fontId="9" fillId="33" borderId="17" xfId="0" applyFont="1" applyFill="1" applyBorder="1" applyAlignment="1" applyProtection="1">
      <alignment vertical="center" wrapText="1"/>
      <protection/>
    </xf>
    <xf numFmtId="192" fontId="2" fillId="33" borderId="18" xfId="0" applyNumberFormat="1" applyFont="1" applyFill="1" applyBorder="1" applyAlignment="1" applyProtection="1">
      <alignment horizontal="right" vertical="center" shrinkToFit="1"/>
      <protection/>
    </xf>
    <xf numFmtId="0" fontId="9" fillId="34" borderId="18" xfId="0" applyFont="1" applyFill="1" applyBorder="1" applyAlignment="1" applyProtection="1">
      <alignment vertical="center"/>
      <protection locked="0"/>
    </xf>
    <xf numFmtId="0" fontId="0" fillId="34" borderId="18" xfId="0" applyFont="1" applyFill="1" applyBorder="1" applyAlignment="1" applyProtection="1">
      <alignment vertical="center"/>
      <protection locked="0"/>
    </xf>
    <xf numFmtId="192" fontId="94" fillId="33" borderId="21" xfId="0" applyNumberFormat="1" applyFont="1" applyFill="1" applyBorder="1" applyAlignment="1" applyProtection="1">
      <alignment vertical="center"/>
      <protection/>
    </xf>
    <xf numFmtId="0" fontId="95" fillId="33" borderId="19" xfId="0" applyFont="1" applyFill="1" applyBorder="1" applyAlignment="1" applyProtection="1">
      <alignment vertical="center" wrapText="1"/>
      <protection/>
    </xf>
    <xf numFmtId="192" fontId="9" fillId="34" borderId="18" xfId="0" applyNumberFormat="1" applyFont="1" applyFill="1" applyBorder="1" applyAlignment="1" applyProtection="1">
      <alignment vertical="center"/>
      <protection locked="0"/>
    </xf>
    <xf numFmtId="1" fontId="9" fillId="34" borderId="18" xfId="0" applyNumberFormat="1" applyFont="1" applyFill="1" applyBorder="1" applyAlignment="1" applyProtection="1">
      <alignment vertical="center"/>
      <protection locked="0"/>
    </xf>
    <xf numFmtId="0" fontId="9" fillId="34" borderId="25" xfId="0" applyFont="1" applyFill="1" applyBorder="1" applyAlignment="1" applyProtection="1">
      <alignment vertical="center"/>
      <protection locked="0"/>
    </xf>
    <xf numFmtId="0" fontId="20" fillId="33" borderId="0" xfId="0" applyFont="1" applyFill="1" applyBorder="1" applyAlignment="1">
      <alignment horizontal="right" vertical="center" wrapText="1"/>
    </xf>
    <xf numFmtId="192" fontId="20" fillId="33" borderId="0" xfId="0" applyNumberFormat="1" applyFont="1" applyFill="1" applyBorder="1" applyAlignment="1">
      <alignment horizontal="right" vertical="center" wrapText="1"/>
    </xf>
    <xf numFmtId="0" fontId="20" fillId="33" borderId="13" xfId="0" applyFont="1" applyFill="1" applyBorder="1" applyAlignment="1">
      <alignment vertical="center" wrapText="1"/>
    </xf>
    <xf numFmtId="0" fontId="20" fillId="33" borderId="14" xfId="0" applyFont="1" applyFill="1" applyBorder="1" applyAlignment="1">
      <alignment vertical="center" wrapText="1"/>
    </xf>
    <xf numFmtId="0" fontId="8" fillId="33" borderId="18" xfId="0" applyFont="1" applyFill="1" applyBorder="1" applyAlignment="1" applyProtection="1">
      <alignment horizontal="left" vertical="center"/>
      <protection/>
    </xf>
    <xf numFmtId="0" fontId="9" fillId="33" borderId="18" xfId="0" applyFont="1" applyFill="1" applyBorder="1" applyAlignment="1" applyProtection="1">
      <alignment/>
      <protection/>
    </xf>
    <xf numFmtId="0" fontId="0" fillId="33" borderId="0" xfId="0" applyFont="1" applyFill="1" applyAlignment="1">
      <alignment/>
    </xf>
    <xf numFmtId="0" fontId="0" fillId="33" borderId="18" xfId="0" applyFont="1" applyFill="1" applyBorder="1" applyAlignment="1" applyProtection="1">
      <alignment horizontal="left" vertical="center"/>
      <protection hidden="1"/>
    </xf>
    <xf numFmtId="192" fontId="0" fillId="33" borderId="18" xfId="0" applyNumberFormat="1" applyFont="1" applyFill="1" applyBorder="1" applyAlignment="1" applyProtection="1">
      <alignment horizontal="left" vertical="center" shrinkToFit="1"/>
      <protection hidden="1"/>
    </xf>
    <xf numFmtId="192" fontId="94" fillId="33" borderId="18" xfId="0" applyNumberFormat="1" applyFont="1" applyFill="1" applyBorder="1" applyAlignment="1" applyProtection="1">
      <alignment horizontal="right" vertical="center" shrinkToFit="1"/>
      <protection hidden="1"/>
    </xf>
    <xf numFmtId="0" fontId="9" fillId="33" borderId="0" xfId="0" applyFont="1" applyFill="1" applyAlignment="1" applyProtection="1">
      <alignment vertical="center" wrapText="1"/>
      <protection/>
    </xf>
    <xf numFmtId="192" fontId="0" fillId="33" borderId="18" xfId="0" applyNumberFormat="1" applyFont="1" applyFill="1" applyBorder="1" applyAlignment="1" applyProtection="1">
      <alignment horizontal="right" vertical="center" shrinkToFit="1"/>
      <protection hidden="1"/>
    </xf>
    <xf numFmtId="192" fontId="94" fillId="33" borderId="18" xfId="0" applyNumberFormat="1" applyFont="1" applyFill="1" applyBorder="1" applyAlignment="1" applyProtection="1">
      <alignment vertical="center"/>
      <protection/>
    </xf>
    <xf numFmtId="0" fontId="9" fillId="33" borderId="26" xfId="0" applyFont="1" applyFill="1" applyBorder="1" applyAlignment="1">
      <alignment vertical="center"/>
    </xf>
    <xf numFmtId="0" fontId="9" fillId="33" borderId="27" xfId="0" applyFont="1" applyFill="1" applyBorder="1" applyAlignment="1">
      <alignment vertical="center"/>
    </xf>
    <xf numFmtId="0" fontId="29" fillId="0" borderId="18" xfId="0" applyFont="1" applyBorder="1" applyAlignment="1" applyProtection="1">
      <alignment horizontal="center" vertical="center"/>
      <protection/>
    </xf>
    <xf numFmtId="0" fontId="29" fillId="0" borderId="0" xfId="0" applyFont="1" applyBorder="1" applyAlignment="1" applyProtection="1">
      <alignment vertical="center"/>
      <protection/>
    </xf>
    <xf numFmtId="0" fontId="29" fillId="0" borderId="18" xfId="0" applyFont="1" applyBorder="1" applyAlignment="1" applyProtection="1">
      <alignment vertical="center"/>
      <protection/>
    </xf>
    <xf numFmtId="192" fontId="29" fillId="0" borderId="18" xfId="0" applyNumberFormat="1" applyFont="1" applyBorder="1" applyAlignment="1" applyProtection="1">
      <alignment horizontal="center" vertical="center" shrinkToFit="1"/>
      <protection/>
    </xf>
    <xf numFmtId="192" fontId="29" fillId="0" borderId="18"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19" xfId="0" applyFont="1" applyBorder="1" applyAlignment="1" applyProtection="1">
      <alignment vertical="center"/>
      <protection/>
    </xf>
    <xf numFmtId="0" fontId="31" fillId="0" borderId="18" xfId="0" applyFont="1" applyBorder="1" applyAlignment="1" applyProtection="1">
      <alignment vertical="center"/>
      <protection/>
    </xf>
    <xf numFmtId="0" fontId="29" fillId="0" borderId="17" xfId="0" applyFont="1" applyBorder="1" applyAlignment="1" applyProtection="1">
      <alignment vertical="center"/>
      <protection/>
    </xf>
    <xf numFmtId="0" fontId="29" fillId="0" borderId="18" xfId="0" applyFont="1" applyFill="1" applyBorder="1" applyAlignment="1" applyProtection="1">
      <alignment vertical="center"/>
      <protection/>
    </xf>
    <xf numFmtId="0" fontId="29" fillId="0" borderId="25" xfId="0" applyFont="1" applyBorder="1" applyAlignment="1" applyProtection="1">
      <alignment vertical="center"/>
      <protection/>
    </xf>
    <xf numFmtId="0" fontId="29" fillId="0" borderId="28" xfId="0" applyFont="1" applyBorder="1" applyAlignment="1" applyProtection="1">
      <alignment vertical="center"/>
      <protection/>
    </xf>
    <xf numFmtId="192" fontId="29" fillId="0" borderId="18" xfId="0" applyNumberFormat="1" applyFont="1" applyBorder="1" applyAlignment="1" applyProtection="1">
      <alignment vertical="center"/>
      <protection/>
    </xf>
    <xf numFmtId="0" fontId="29" fillId="0" borderId="28" xfId="0" applyFont="1" applyFill="1" applyBorder="1" applyAlignment="1" applyProtection="1">
      <alignment vertical="center"/>
      <protection/>
    </xf>
    <xf numFmtId="192" fontId="29" fillId="0" borderId="18" xfId="0" applyNumberFormat="1" applyFont="1" applyFill="1" applyBorder="1" applyAlignment="1" applyProtection="1">
      <alignment vertical="center"/>
      <protection/>
    </xf>
    <xf numFmtId="0" fontId="29" fillId="0" borderId="20" xfId="0" applyFont="1" applyBorder="1" applyAlignment="1" applyProtection="1">
      <alignment vertical="center"/>
      <protection/>
    </xf>
    <xf numFmtId="0" fontId="29" fillId="0" borderId="21" xfId="0" applyFont="1" applyBorder="1" applyAlignment="1" applyProtection="1">
      <alignment vertical="center"/>
      <protection/>
    </xf>
    <xf numFmtId="0" fontId="29" fillId="0" borderId="22" xfId="0" applyFont="1" applyBorder="1" applyAlignment="1" applyProtection="1">
      <alignment vertical="center"/>
      <protection/>
    </xf>
    <xf numFmtId="0" fontId="11"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29" fillId="0" borderId="0" xfId="0" applyFont="1" applyBorder="1" applyAlignment="1" applyProtection="1">
      <alignment horizontal="right"/>
      <protection/>
    </xf>
    <xf numFmtId="0" fontId="0" fillId="0" borderId="0" xfId="0" applyAlignment="1" applyProtection="1">
      <alignment/>
      <protection/>
    </xf>
    <xf numFmtId="0" fontId="0" fillId="0" borderId="0" xfId="0" applyFont="1" applyAlignment="1" applyProtection="1">
      <alignment/>
      <protection/>
    </xf>
    <xf numFmtId="0" fontId="9" fillId="0" borderId="18" xfId="0" applyFont="1" applyBorder="1" applyAlignment="1" applyProtection="1">
      <alignment horizontal="center"/>
      <protection/>
    </xf>
    <xf numFmtId="0" fontId="11" fillId="0" borderId="18" xfId="0" applyFont="1" applyBorder="1" applyAlignment="1" applyProtection="1">
      <alignment horizontal="center" vertical="center"/>
      <protection/>
    </xf>
    <xf numFmtId="0" fontId="9" fillId="0" borderId="18" xfId="0" applyFont="1" applyFill="1" applyBorder="1" applyAlignment="1" applyProtection="1">
      <alignment horizontal="center"/>
      <protection/>
    </xf>
    <xf numFmtId="0" fontId="11" fillId="0" borderId="18" xfId="0" applyFont="1" applyFill="1" applyBorder="1" applyAlignment="1" applyProtection="1">
      <alignment horizontal="center" vertical="center"/>
      <protection/>
    </xf>
    <xf numFmtId="0" fontId="0" fillId="16" borderId="18" xfId="0" applyFill="1" applyBorder="1" applyAlignment="1" applyProtection="1">
      <alignment/>
      <protection/>
    </xf>
    <xf numFmtId="0" fontId="0" fillId="0" borderId="18" xfId="0" applyBorder="1" applyAlignment="1" applyProtection="1">
      <alignment/>
      <protection/>
    </xf>
    <xf numFmtId="0" fontId="0" fillId="0" borderId="18" xfId="0" applyFill="1" applyBorder="1" applyAlignment="1" applyProtection="1">
      <alignment/>
      <protection/>
    </xf>
    <xf numFmtId="0" fontId="0" fillId="0" borderId="0" xfId="0" applyFill="1" applyAlignment="1" applyProtection="1">
      <alignment/>
      <protection/>
    </xf>
    <xf numFmtId="0" fontId="95" fillId="33" borderId="0" xfId="0" applyFont="1" applyFill="1" applyAlignment="1" applyProtection="1">
      <alignment vertical="center" wrapText="1"/>
      <protection/>
    </xf>
    <xf numFmtId="0" fontId="95" fillId="33" borderId="0" xfId="0" applyFont="1" applyFill="1" applyAlignment="1" applyProtection="1">
      <alignment vertical="center"/>
      <protection/>
    </xf>
    <xf numFmtId="0" fontId="11" fillId="34" borderId="18" xfId="0" applyFont="1" applyFill="1" applyBorder="1" applyAlignment="1" applyProtection="1">
      <alignment vertical="center"/>
      <protection hidden="1" locked="0"/>
    </xf>
    <xf numFmtId="192" fontId="9" fillId="34" borderId="18" xfId="0" applyNumberFormat="1" applyFont="1" applyFill="1" applyBorder="1" applyAlignment="1" applyProtection="1">
      <alignment horizontal="right" vertical="center" shrinkToFit="1"/>
      <protection hidden="1" locked="0"/>
    </xf>
    <xf numFmtId="0" fontId="96" fillId="0" borderId="18" xfId="0" applyFont="1" applyBorder="1" applyAlignment="1">
      <alignment horizontal="center"/>
    </xf>
    <xf numFmtId="192" fontId="96" fillId="0" borderId="18" xfId="0" applyNumberFormat="1" applyFont="1" applyBorder="1" applyAlignment="1">
      <alignment horizontal="center"/>
    </xf>
    <xf numFmtId="0" fontId="97" fillId="16" borderId="18" xfId="0" applyFont="1" applyFill="1" applyBorder="1" applyAlignment="1">
      <alignment/>
    </xf>
    <xf numFmtId="192" fontId="97" fillId="16" borderId="18" xfId="0" applyNumberFormat="1" applyFont="1" applyFill="1" applyBorder="1" applyAlignment="1">
      <alignment/>
    </xf>
    <xf numFmtId="0" fontId="97" fillId="0" borderId="18" xfId="0" applyFont="1" applyBorder="1" applyAlignment="1">
      <alignment/>
    </xf>
    <xf numFmtId="192" fontId="97" fillId="0" borderId="18" xfId="0" applyNumberFormat="1" applyFont="1" applyBorder="1" applyAlignment="1">
      <alignment/>
    </xf>
    <xf numFmtId="0" fontId="98" fillId="0" borderId="18" xfId="0" applyFont="1" applyBorder="1" applyAlignment="1">
      <alignment horizontal="center"/>
    </xf>
    <xf numFmtId="192" fontId="98" fillId="0" borderId="18" xfId="0" applyNumberFormat="1" applyFont="1" applyBorder="1" applyAlignment="1">
      <alignment horizontal="center"/>
    </xf>
    <xf numFmtId="192" fontId="0" fillId="16" borderId="0" xfId="0" applyNumberFormat="1" applyFill="1" applyBorder="1" applyAlignment="1" applyProtection="1">
      <alignment horizontal="center"/>
      <protection/>
    </xf>
    <xf numFmtId="192" fontId="97" fillId="16" borderId="18" xfId="0" applyNumberFormat="1" applyFont="1" applyFill="1" applyBorder="1" applyAlignment="1">
      <alignment/>
    </xf>
    <xf numFmtId="192" fontId="0" fillId="0" borderId="0" xfId="0" applyNumberFormat="1" applyFill="1" applyBorder="1" applyAlignment="1" applyProtection="1">
      <alignment horizontal="center"/>
      <protection/>
    </xf>
    <xf numFmtId="192" fontId="97" fillId="0" borderId="18" xfId="0" applyNumberFormat="1" applyFont="1" applyBorder="1" applyAlignment="1">
      <alignment/>
    </xf>
    <xf numFmtId="0" fontId="29" fillId="0" borderId="29" xfId="0" applyFont="1" applyFill="1" applyBorder="1" applyAlignment="1" applyProtection="1">
      <alignment vertical="center"/>
      <protection/>
    </xf>
    <xf numFmtId="0" fontId="29" fillId="0" borderId="0" xfId="0" applyFont="1" applyAlignment="1" applyProtection="1">
      <alignment/>
      <protection/>
    </xf>
    <xf numFmtId="192" fontId="0" fillId="33" borderId="18" xfId="0" applyNumberFormat="1" applyFont="1" applyFill="1" applyBorder="1" applyAlignment="1" applyProtection="1">
      <alignment vertical="center"/>
      <protection locked="0"/>
    </xf>
    <xf numFmtId="0" fontId="11" fillId="33" borderId="16"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3" borderId="12" xfId="0" applyFont="1" applyFill="1" applyBorder="1" applyAlignment="1" applyProtection="1">
      <alignment horizontal="left" vertical="center"/>
      <protection/>
    </xf>
    <xf numFmtId="0" fontId="11" fillId="33" borderId="30" xfId="0" applyFont="1" applyFill="1" applyBorder="1" applyAlignment="1" applyProtection="1">
      <alignment horizontal="left" vertical="center"/>
      <protection/>
    </xf>
    <xf numFmtId="0" fontId="11" fillId="33" borderId="31" xfId="0" applyFont="1" applyFill="1" applyBorder="1" applyAlignment="1" applyProtection="1">
      <alignment horizontal="left" vertical="center"/>
      <protection/>
    </xf>
    <xf numFmtId="0" fontId="11" fillId="33" borderId="32" xfId="0" applyFont="1" applyFill="1" applyBorder="1" applyAlignment="1" applyProtection="1">
      <alignment horizontal="left" vertical="center"/>
      <protection/>
    </xf>
    <xf numFmtId="0" fontId="9" fillId="33" borderId="0" xfId="0" applyFont="1" applyFill="1" applyAlignment="1" applyProtection="1">
      <alignment horizontal="left" vertical="center" wrapText="1"/>
      <protection/>
    </xf>
    <xf numFmtId="0" fontId="95" fillId="33" borderId="16" xfId="0" applyFont="1" applyFill="1" applyBorder="1" applyAlignment="1" applyProtection="1">
      <alignment horizontal="left" vertical="center" wrapText="1"/>
      <protection/>
    </xf>
    <xf numFmtId="0" fontId="95" fillId="33" borderId="0" xfId="0" applyFont="1" applyFill="1" applyAlignment="1" applyProtection="1">
      <alignment horizontal="left" vertical="center" wrapText="1"/>
      <protection/>
    </xf>
    <xf numFmtId="0" fontId="9" fillId="33" borderId="25" xfId="0" applyFont="1" applyFill="1" applyBorder="1" applyAlignment="1" applyProtection="1">
      <alignment horizontal="left" vertical="center" wrapText="1"/>
      <protection/>
    </xf>
    <xf numFmtId="0" fontId="9" fillId="33" borderId="31" xfId="0" applyFont="1" applyFill="1" applyBorder="1" applyAlignment="1" applyProtection="1">
      <alignment horizontal="left" vertical="center" wrapText="1"/>
      <protection/>
    </xf>
    <xf numFmtId="0" fontId="9" fillId="33" borderId="28" xfId="0" applyFont="1" applyFill="1" applyBorder="1" applyAlignment="1" applyProtection="1">
      <alignment horizontal="left" vertical="center" wrapText="1"/>
      <protection/>
    </xf>
    <xf numFmtId="192" fontId="12" fillId="33" borderId="30" xfId="0" applyNumberFormat="1" applyFont="1" applyFill="1" applyBorder="1" applyAlignment="1" applyProtection="1">
      <alignment horizontal="right" vertical="center"/>
      <protection/>
    </xf>
    <xf numFmtId="192" fontId="12" fillId="33" borderId="31" xfId="0" applyNumberFormat="1" applyFont="1" applyFill="1" applyBorder="1" applyAlignment="1" applyProtection="1">
      <alignment horizontal="right" vertical="center"/>
      <protection/>
    </xf>
    <xf numFmtId="192" fontId="12" fillId="33" borderId="32" xfId="0" applyNumberFormat="1" applyFont="1" applyFill="1" applyBorder="1" applyAlignment="1" applyProtection="1">
      <alignment horizontal="right" vertical="center"/>
      <protection/>
    </xf>
    <xf numFmtId="0" fontId="0" fillId="33" borderId="1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5" xfId="0" applyFont="1" applyFill="1" applyBorder="1" applyAlignment="1" applyProtection="1">
      <alignment horizontal="left" vertical="center"/>
      <protection/>
    </xf>
    <xf numFmtId="0" fontId="0" fillId="33" borderId="28" xfId="0" applyFont="1" applyFill="1" applyBorder="1" applyAlignment="1" applyProtection="1">
      <alignment horizontal="left" vertical="center"/>
      <protection/>
    </xf>
    <xf numFmtId="0" fontId="0" fillId="33" borderId="25" xfId="0" applyFont="1" applyFill="1" applyBorder="1" applyAlignment="1" applyProtection="1">
      <alignment horizontal="left" vertical="center"/>
      <protection hidden="1"/>
    </xf>
    <xf numFmtId="0" fontId="0" fillId="33" borderId="28" xfId="0" applyFont="1" applyFill="1" applyBorder="1" applyAlignment="1" applyProtection="1">
      <alignment horizontal="left" vertical="center"/>
      <protection hidden="1"/>
    </xf>
    <xf numFmtId="0" fontId="9" fillId="33" borderId="0" xfId="0" applyFont="1" applyFill="1" applyAlignment="1" applyProtection="1">
      <alignment horizontal="left" vertical="center"/>
      <protection/>
    </xf>
    <xf numFmtId="0" fontId="3" fillId="33" borderId="33" xfId="0" applyFont="1" applyFill="1" applyBorder="1" applyAlignment="1" applyProtection="1">
      <alignment horizontal="left" vertical="center"/>
      <protection/>
    </xf>
    <xf numFmtId="0" fontId="3" fillId="33" borderId="34" xfId="0" applyFont="1" applyFill="1" applyBorder="1" applyAlignment="1" applyProtection="1">
      <alignment horizontal="left" vertical="center"/>
      <protection/>
    </xf>
    <xf numFmtId="0" fontId="3" fillId="33" borderId="35" xfId="0" applyFont="1" applyFill="1" applyBorder="1" applyAlignment="1" applyProtection="1">
      <alignment horizontal="left" vertical="center"/>
      <protection/>
    </xf>
    <xf numFmtId="0" fontId="9" fillId="33" borderId="24"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0" fillId="33" borderId="0" xfId="0" applyFill="1" applyBorder="1" applyAlignment="1" applyProtection="1">
      <alignment horizontal="center" vertical="center"/>
      <protection/>
    </xf>
    <xf numFmtId="0" fontId="92" fillId="33" borderId="11" xfId="0" applyFont="1" applyFill="1" applyBorder="1" applyAlignment="1" applyProtection="1">
      <alignment horizontal="center" vertical="center"/>
      <protection/>
    </xf>
    <xf numFmtId="0" fontId="92" fillId="33" borderId="13" xfId="0" applyFont="1" applyFill="1" applyBorder="1" applyAlignment="1" applyProtection="1">
      <alignment horizontal="center" vertical="center"/>
      <protection/>
    </xf>
    <xf numFmtId="0" fontId="92" fillId="33" borderId="0" xfId="0" applyFont="1" applyFill="1" applyBorder="1" applyAlignment="1" applyProtection="1">
      <alignment horizontal="center" vertical="center" wrapText="1"/>
      <protection/>
    </xf>
    <xf numFmtId="0" fontId="92" fillId="33" borderId="11" xfId="0" applyFont="1" applyFill="1" applyBorder="1" applyAlignment="1" applyProtection="1">
      <alignment horizontal="center" vertical="center" wrapText="1"/>
      <protection/>
    </xf>
    <xf numFmtId="0" fontId="92" fillId="33" borderId="13" xfId="0" applyFont="1" applyFill="1" applyBorder="1" applyAlignment="1" applyProtection="1">
      <alignment horizontal="center" vertical="center" wrapText="1"/>
      <protection/>
    </xf>
    <xf numFmtId="0" fontId="33" fillId="35" borderId="36" xfId="0" applyFont="1" applyFill="1" applyBorder="1" applyAlignment="1">
      <alignment horizontal="center" vertical="center"/>
    </xf>
    <xf numFmtId="0" fontId="33" fillId="35" borderId="26" xfId="0" applyFont="1" applyFill="1" applyBorder="1" applyAlignment="1">
      <alignment horizontal="center" vertical="center"/>
    </xf>
    <xf numFmtId="0" fontId="33" fillId="35" borderId="27" xfId="0" applyFont="1" applyFill="1" applyBorder="1" applyAlignment="1">
      <alignment horizontal="center" vertical="center"/>
    </xf>
    <xf numFmtId="0" fontId="99" fillId="35" borderId="36" xfId="0" applyFont="1" applyFill="1" applyBorder="1" applyAlignment="1" applyProtection="1">
      <alignment horizontal="center" vertical="center" wrapText="1"/>
      <protection/>
    </xf>
    <xf numFmtId="0" fontId="99" fillId="35" borderId="26" xfId="0" applyFont="1" applyFill="1" applyBorder="1" applyAlignment="1" applyProtection="1">
      <alignment horizontal="center" vertical="center" wrapText="1"/>
      <protection/>
    </xf>
    <xf numFmtId="0" fontId="99" fillId="35" borderId="27"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3" fillId="33" borderId="16"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4" fillId="33" borderId="16"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4" fillId="33" borderId="14" xfId="0" applyFont="1" applyFill="1" applyBorder="1" applyAlignment="1" applyProtection="1">
      <alignment horizontal="left" vertical="center" wrapText="1"/>
      <protection/>
    </xf>
    <xf numFmtId="0" fontId="18" fillId="33" borderId="16"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9" fillId="33" borderId="24" xfId="0" applyFont="1" applyFill="1" applyBorder="1" applyAlignment="1">
      <alignment horizontal="center" vertical="center"/>
    </xf>
    <xf numFmtId="0" fontId="19" fillId="33" borderId="16" xfId="0" applyFont="1" applyFill="1" applyBorder="1" applyAlignment="1">
      <alignment horizontal="center" vertical="center"/>
    </xf>
    <xf numFmtId="0" fontId="19" fillId="33" borderId="23" xfId="0" applyFont="1" applyFill="1" applyBorder="1" applyAlignment="1">
      <alignment horizontal="center" vertical="center"/>
    </xf>
    <xf numFmtId="0" fontId="20" fillId="33" borderId="11"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0"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0" xfId="0" applyFont="1" applyFill="1" applyBorder="1" applyAlignment="1">
      <alignment horizontal="left" vertical="center"/>
    </xf>
    <xf numFmtId="0" fontId="20" fillId="33" borderId="13" xfId="0" applyFont="1" applyFill="1" applyBorder="1" applyAlignment="1">
      <alignment horizontal="left" vertical="center"/>
    </xf>
    <xf numFmtId="0" fontId="18" fillId="34" borderId="24"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5" xfId="0" applyFont="1" applyFill="1" applyBorder="1" applyAlignment="1">
      <alignment horizontal="center" vertical="center"/>
    </xf>
    <xf numFmtId="0" fontId="20" fillId="33" borderId="11" xfId="0" applyFont="1" applyFill="1" applyBorder="1" applyAlignment="1">
      <alignment horizontal="left" vertical="center"/>
    </xf>
    <xf numFmtId="0" fontId="20" fillId="33" borderId="15" xfId="0" applyFont="1" applyFill="1" applyBorder="1" applyAlignment="1">
      <alignment horizontal="left" vertical="center"/>
    </xf>
    <xf numFmtId="0" fontId="17" fillId="33" borderId="37" xfId="0" applyFont="1" applyFill="1" applyBorder="1" applyAlignment="1">
      <alignment horizontal="left" vertical="center"/>
    </xf>
    <xf numFmtId="0" fontId="17" fillId="33" borderId="38" xfId="0" applyFont="1" applyFill="1" applyBorder="1" applyAlignment="1">
      <alignment horizontal="left" vertical="center"/>
    </xf>
    <xf numFmtId="0" fontId="20" fillId="33" borderId="13"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17" fillId="33" borderId="0" xfId="0" applyFont="1" applyFill="1" applyAlignment="1" applyProtection="1">
      <alignment horizontal="center" vertical="center"/>
      <protection locked="0"/>
    </xf>
    <xf numFmtId="0" fontId="29" fillId="0" borderId="25" xfId="0" applyFont="1" applyBorder="1" applyAlignment="1" applyProtection="1">
      <alignment horizontal="center" vertical="center"/>
      <protection/>
    </xf>
    <xf numFmtId="0" fontId="29" fillId="0" borderId="28" xfId="0" applyFont="1" applyBorder="1" applyAlignment="1" applyProtection="1">
      <alignment horizontal="center" vertical="center"/>
      <protection/>
    </xf>
    <xf numFmtId="0" fontId="98" fillId="33" borderId="0" xfId="0" applyFont="1" applyFill="1" applyAlignment="1" applyProtection="1">
      <alignment horizontal="left"/>
      <protection/>
    </xf>
    <xf numFmtId="0" fontId="93" fillId="33" borderId="0" xfId="0" applyFont="1" applyFill="1" applyAlignment="1" applyProtection="1">
      <alignment horizontal="center"/>
      <protection/>
    </xf>
    <xf numFmtId="0" fontId="29" fillId="0" borderId="33" xfId="0" applyFont="1" applyBorder="1" applyAlignment="1" applyProtection="1">
      <alignment horizontal="center" vertical="center"/>
      <protection/>
    </xf>
    <xf numFmtId="0" fontId="29" fillId="0" borderId="34" xfId="0" applyFont="1" applyBorder="1" applyAlignment="1" applyProtection="1">
      <alignment horizontal="center" vertical="center"/>
      <protection/>
    </xf>
    <xf numFmtId="0" fontId="29" fillId="0" borderId="35"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9" fillId="0" borderId="18" xfId="0"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17" xfId="0" applyFont="1" applyBorder="1" applyAlignment="1" applyProtection="1">
      <alignment vertical="center" wrapText="1"/>
      <protection/>
    </xf>
    <xf numFmtId="0" fontId="29" fillId="0" borderId="28"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0" fillId="0" borderId="0" xfId="0" applyFont="1" applyAlignment="1" applyProtection="1">
      <alignment horizontal="center" wrapText="1"/>
      <protection/>
    </xf>
    <xf numFmtId="0" fontId="11" fillId="0" borderId="0" xfId="0" applyFont="1" applyBorder="1" applyAlignment="1" applyProtection="1">
      <alignment horizontal="center" vertical="center"/>
      <protection/>
    </xf>
    <xf numFmtId="0" fontId="0" fillId="0" borderId="0" xfId="0" applyFont="1" applyAlignment="1" applyProtection="1">
      <alignment horizontal="center" vertic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latin typeface="Arial"/>
                <a:ea typeface="Arial"/>
                <a:cs typeface="Arial"/>
              </a:rPr>
              <a:t>M</a:t>
            </a:r>
            <a:r>
              <a:rPr lang="en-US" cap="none" sz="925" b="0" i="0" u="none" baseline="-25000">
                <a:solidFill>
                  <a:srgbClr val="000000"/>
                </a:solidFill>
                <a:latin typeface="Arial"/>
                <a:ea typeface="Arial"/>
                <a:cs typeface="Arial"/>
              </a:rPr>
              <a:t>1</a:t>
            </a:r>
            <a:r>
              <a:rPr lang="en-US" cap="none" sz="925" b="0" i="0" u="none" baseline="0">
                <a:solidFill>
                  <a:srgbClr val="000000"/>
                </a:solidFill>
                <a:latin typeface="Arial"/>
                <a:ea typeface="Arial"/>
                <a:cs typeface="Arial"/>
              </a:rPr>
              <a:t>M</a:t>
            </a:r>
            <a:r>
              <a:rPr lang="en-US" cap="none" sz="925" b="0" i="0" u="none" baseline="-25000">
                <a:solidFill>
                  <a:srgbClr val="000000"/>
                </a:solidFill>
                <a:latin typeface="Arial"/>
                <a:ea typeface="Arial"/>
                <a:cs typeface="Arial"/>
              </a:rPr>
              <a:t>2</a:t>
            </a:r>
            <a:r>
              <a:rPr lang="en-US" cap="none" sz="925" b="0" i="0" u="none" baseline="0">
                <a:solidFill>
                  <a:srgbClr val="000000"/>
                </a:solidFill>
                <a:latin typeface="Arial"/>
                <a:ea typeface="Arial"/>
                <a:cs typeface="Arial"/>
              </a:rPr>
              <a:t> vs VCOMP</a:t>
            </a:r>
          </a:p>
        </c:rich>
      </c:tx>
      <c:layout>
        <c:manualLayout>
          <c:xMode val="factor"/>
          <c:yMode val="factor"/>
          <c:x val="-0.008"/>
          <c:y val="-0.00175"/>
        </c:manualLayout>
      </c:layout>
      <c:spPr>
        <a:noFill/>
        <a:ln>
          <a:noFill/>
        </a:ln>
      </c:spPr>
    </c:title>
    <c:plotArea>
      <c:layout>
        <c:manualLayout>
          <c:xMode val="edge"/>
          <c:yMode val="edge"/>
          <c:x val="0.05125"/>
          <c:y val="0.111"/>
          <c:w val="0.7505"/>
          <c:h val="0.77575"/>
        </c:manualLayout>
      </c:layout>
      <c:scatterChart>
        <c:scatterStyle val="line"/>
        <c:varyColors val="0"/>
        <c:ser>
          <c:idx val="0"/>
          <c:order val="0"/>
          <c:tx>
            <c:v>M1M2 vs VCOMP</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data!$A$5:$A$105</c:f>
              <c:numCache>
                <c:ptCount val="1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1.800000000000001</c:v>
                </c:pt>
                <c:pt idx="37">
                  <c:v>1.850000000000001</c:v>
                </c:pt>
                <c:pt idx="38">
                  <c:v>1.900000000000001</c:v>
                </c:pt>
                <c:pt idx="39">
                  <c:v>1.950000000000001</c:v>
                </c:pt>
                <c:pt idx="40">
                  <c:v>2.000000000000001</c:v>
                </c:pt>
                <c:pt idx="41">
                  <c:v>2.0500000000000007</c:v>
                </c:pt>
                <c:pt idx="42">
                  <c:v>2.1000000000000005</c:v>
                </c:pt>
                <c:pt idx="43">
                  <c:v>2.1500000000000004</c:v>
                </c:pt>
                <c:pt idx="44">
                  <c:v>2.2</c:v>
                </c:pt>
                <c:pt idx="45">
                  <c:v>2.25</c:v>
                </c:pt>
                <c:pt idx="46">
                  <c:v>2.3</c:v>
                </c:pt>
                <c:pt idx="47">
                  <c:v>2.3499999999999996</c:v>
                </c:pt>
                <c:pt idx="48">
                  <c:v>2.3999999999999995</c:v>
                </c:pt>
                <c:pt idx="49">
                  <c:v>2.4499999999999993</c:v>
                </c:pt>
                <c:pt idx="50">
                  <c:v>2.499999999999999</c:v>
                </c:pt>
                <c:pt idx="51">
                  <c:v>2.549999999999999</c:v>
                </c:pt>
                <c:pt idx="52">
                  <c:v>2.5999999999999988</c:v>
                </c:pt>
                <c:pt idx="53">
                  <c:v>2.6499999999999986</c:v>
                </c:pt>
                <c:pt idx="54">
                  <c:v>2.6999999999999984</c:v>
                </c:pt>
                <c:pt idx="55">
                  <c:v>2.7499999999999982</c:v>
                </c:pt>
                <c:pt idx="56">
                  <c:v>2.799999999999998</c:v>
                </c:pt>
                <c:pt idx="57">
                  <c:v>2.849999999999998</c:v>
                </c:pt>
                <c:pt idx="58">
                  <c:v>2.8999999999999977</c:v>
                </c:pt>
                <c:pt idx="59">
                  <c:v>2.9499999999999975</c:v>
                </c:pt>
                <c:pt idx="60">
                  <c:v>2.9999999999999973</c:v>
                </c:pt>
                <c:pt idx="61">
                  <c:v>3.049999999999997</c:v>
                </c:pt>
                <c:pt idx="62">
                  <c:v>3.099999999999997</c:v>
                </c:pt>
                <c:pt idx="63">
                  <c:v>3.149999999999997</c:v>
                </c:pt>
                <c:pt idx="64">
                  <c:v>3.1999999999999966</c:v>
                </c:pt>
                <c:pt idx="65">
                  <c:v>3.2499999999999964</c:v>
                </c:pt>
                <c:pt idx="66">
                  <c:v>3.2999999999999963</c:v>
                </c:pt>
                <c:pt idx="67">
                  <c:v>3.349999999999996</c:v>
                </c:pt>
                <c:pt idx="68">
                  <c:v>3.399999999999996</c:v>
                </c:pt>
                <c:pt idx="69">
                  <c:v>3.4499999999999957</c:v>
                </c:pt>
                <c:pt idx="70">
                  <c:v>3.4999999999999956</c:v>
                </c:pt>
                <c:pt idx="71">
                  <c:v>3.5499999999999954</c:v>
                </c:pt>
                <c:pt idx="72">
                  <c:v>3.599999999999995</c:v>
                </c:pt>
                <c:pt idx="73">
                  <c:v>3.649999999999995</c:v>
                </c:pt>
                <c:pt idx="74">
                  <c:v>3.699999999999995</c:v>
                </c:pt>
                <c:pt idx="75">
                  <c:v>3.7499999999999947</c:v>
                </c:pt>
                <c:pt idx="76">
                  <c:v>3.7999999999999945</c:v>
                </c:pt>
                <c:pt idx="77">
                  <c:v>3.8499999999999943</c:v>
                </c:pt>
                <c:pt idx="78">
                  <c:v>3.899999999999994</c:v>
                </c:pt>
                <c:pt idx="79">
                  <c:v>3.949999999999994</c:v>
                </c:pt>
                <c:pt idx="80">
                  <c:v>3.999999999999994</c:v>
                </c:pt>
                <c:pt idx="81">
                  <c:v>4.049999999999994</c:v>
                </c:pt>
                <c:pt idx="82">
                  <c:v>4.099999999999993</c:v>
                </c:pt>
                <c:pt idx="83">
                  <c:v>4.149999999999993</c:v>
                </c:pt>
                <c:pt idx="84">
                  <c:v>4.199999999999993</c:v>
                </c:pt>
                <c:pt idx="85">
                  <c:v>4.249999999999993</c:v>
                </c:pt>
                <c:pt idx="86">
                  <c:v>4.299999999999993</c:v>
                </c:pt>
                <c:pt idx="87">
                  <c:v>4.3499999999999925</c:v>
                </c:pt>
                <c:pt idx="88">
                  <c:v>4.399999999999992</c:v>
                </c:pt>
                <c:pt idx="89">
                  <c:v>4.449999999999992</c:v>
                </c:pt>
                <c:pt idx="90">
                  <c:v>4.499999999999992</c:v>
                </c:pt>
                <c:pt idx="91">
                  <c:v>4.549999999999992</c:v>
                </c:pt>
                <c:pt idx="92">
                  <c:v>4.599999999999992</c:v>
                </c:pt>
                <c:pt idx="93">
                  <c:v>4.6499999999999915</c:v>
                </c:pt>
                <c:pt idx="94">
                  <c:v>4.699999999999991</c:v>
                </c:pt>
                <c:pt idx="95">
                  <c:v>4.749999999999991</c:v>
                </c:pt>
                <c:pt idx="96">
                  <c:v>4.799999999999991</c:v>
                </c:pt>
                <c:pt idx="97">
                  <c:v>4.849999999999991</c:v>
                </c:pt>
                <c:pt idx="98">
                  <c:v>4.899999999999991</c:v>
                </c:pt>
                <c:pt idx="99">
                  <c:v>4.94999999999999</c:v>
                </c:pt>
                <c:pt idx="100">
                  <c:v>4.99999999999999</c:v>
                </c:pt>
              </c:numCache>
            </c:numRef>
          </c:xVal>
          <c:yVal>
            <c:numRef>
              <c:f>data!$D$5:$D$105</c:f>
              <c:numCache>
                <c:ptCount val="101"/>
                <c:pt idx="0">
                  <c:v>0</c:v>
                </c:pt>
                <c:pt idx="1">
                  <c:v>0</c:v>
                </c:pt>
                <c:pt idx="2">
                  <c:v>0</c:v>
                </c:pt>
                <c:pt idx="3">
                  <c:v>0</c:v>
                </c:pt>
                <c:pt idx="4">
                  <c:v>0</c:v>
                </c:pt>
                <c:pt idx="5">
                  <c:v>0</c:v>
                </c:pt>
                <c:pt idx="6">
                  <c:v>0</c:v>
                </c:pt>
                <c:pt idx="7">
                  <c:v>0</c:v>
                </c:pt>
                <c:pt idx="8">
                  <c:v>0</c:v>
                </c:pt>
                <c:pt idx="9">
                  <c:v>0</c:v>
                </c:pt>
                <c:pt idx="10">
                  <c:v>0</c:v>
                </c:pt>
                <c:pt idx="11">
                  <c:v>4.4780615384615276E-05</c:v>
                </c:pt>
                <c:pt idx="12">
                  <c:v>0.00017912246153846146</c:v>
                </c:pt>
                <c:pt idx="13">
                  <c:v>0.00040302553846153854</c:v>
                </c:pt>
                <c:pt idx="14">
                  <c:v>0.0007164898461538467</c:v>
                </c:pt>
                <c:pt idx="15">
                  <c:v>0.0011195153846153855</c:v>
                </c:pt>
                <c:pt idx="16">
                  <c:v>0.0016121021538461557</c:v>
                </c:pt>
                <c:pt idx="17">
                  <c:v>0.0021942501538461563</c:v>
                </c:pt>
                <c:pt idx="18">
                  <c:v>0.0028659593846153885</c:v>
                </c:pt>
                <c:pt idx="19">
                  <c:v>0.003627229846153851</c:v>
                </c:pt>
                <c:pt idx="20">
                  <c:v>0.004478061538461545</c:v>
                </c:pt>
                <c:pt idx="21">
                  <c:v>0.006039983061538469</c:v>
                </c:pt>
                <c:pt idx="22">
                  <c:v>0.007927749415384629</c:v>
                </c:pt>
                <c:pt idx="23">
                  <c:v>0.01017218020000002</c:v>
                </c:pt>
                <c:pt idx="24">
                  <c:v>0.012804095015384638</c:v>
                </c:pt>
                <c:pt idx="25">
                  <c:v>0.01585431346153849</c:v>
                </c:pt>
                <c:pt idx="26">
                  <c:v>0.019353655138461573</c:v>
                </c:pt>
                <c:pt idx="27">
                  <c:v>0.02333293964615389</c:v>
                </c:pt>
                <c:pt idx="28">
                  <c:v>0.02782298658461544</c:v>
                </c:pt>
                <c:pt idx="29">
                  <c:v>0.03285461555384622</c:v>
                </c:pt>
                <c:pt idx="30">
                  <c:v>0.03845864615384623</c:v>
                </c:pt>
                <c:pt idx="31">
                  <c:v>0.044665897984615476</c:v>
                </c:pt>
                <c:pt idx="32">
                  <c:v>0.05150719064615396</c:v>
                </c:pt>
                <c:pt idx="33">
                  <c:v>0.05901334373846166</c:v>
                </c:pt>
                <c:pt idx="34">
                  <c:v>0.06721517686153862</c:v>
                </c:pt>
                <c:pt idx="35">
                  <c:v>0.07614350961538478</c:v>
                </c:pt>
                <c:pt idx="36">
                  <c:v>0.08582916160000019</c:v>
                </c:pt>
                <c:pt idx="37">
                  <c:v>0.09630295241538482</c:v>
                </c:pt>
                <c:pt idx="38">
                  <c:v>0.10759570166153871</c:v>
                </c:pt>
                <c:pt idx="39">
                  <c:v>0.11973822893846181</c:v>
                </c:pt>
                <c:pt idx="40">
                  <c:v>0.1333540384615388</c:v>
                </c:pt>
                <c:pt idx="41">
                  <c:v>0.15229666681923104</c:v>
                </c:pt>
                <c:pt idx="42">
                  <c:v>0.17283420947692335</c:v>
                </c:pt>
                <c:pt idx="43">
                  <c:v>0.19502850319615403</c:v>
                </c:pt>
                <c:pt idx="44">
                  <c:v>0.21894138473846164</c:v>
                </c:pt>
                <c:pt idx="45">
                  <c:v>0.24463469086538464</c:v>
                </c:pt>
                <c:pt idx="46">
                  <c:v>0.2721702583384614</c:v>
                </c:pt>
                <c:pt idx="47">
                  <c:v>0.3016099239192305</c:v>
                </c:pt>
                <c:pt idx="48">
                  <c:v>0.33301552436923043</c:v>
                </c:pt>
                <c:pt idx="49">
                  <c:v>0.3664488964499995</c:v>
                </c:pt>
                <c:pt idx="50">
                  <c:v>0.4019718769230763</c:v>
                </c:pt>
                <c:pt idx="51">
                  <c:v>0.43964630254999915</c:v>
                </c:pt>
                <c:pt idx="52">
                  <c:v>0.4795340100923067</c:v>
                </c:pt>
                <c:pt idx="53">
                  <c:v>0.5216968363115372</c:v>
                </c:pt>
                <c:pt idx="54">
                  <c:v>0.5661966179692293</c:v>
                </c:pt>
                <c:pt idx="55">
                  <c:v>0.6130951918269213</c:v>
                </c:pt>
                <c:pt idx="56">
                  <c:v>0.6624543946461519</c:v>
                </c:pt>
                <c:pt idx="57">
                  <c:v>0.7143360631884592</c:v>
                </c:pt>
                <c:pt idx="58">
                  <c:v>0.7688020342153821</c:v>
                </c:pt>
                <c:pt idx="59">
                  <c:v>0.8259141444884586</c:v>
                </c:pt>
                <c:pt idx="60">
                  <c:v>0.8857342307692275</c:v>
                </c:pt>
                <c:pt idx="61">
                  <c:v>0.948324129819227</c:v>
                </c:pt>
                <c:pt idx="62">
                  <c:v>1.0137456783999959</c:v>
                </c:pt>
                <c:pt idx="63">
                  <c:v>1.0820607132730724</c:v>
                </c:pt>
                <c:pt idx="64">
                  <c:v>1.153331071199995</c:v>
                </c:pt>
                <c:pt idx="65">
                  <c:v>1.2276185889423021</c:v>
                </c:pt>
                <c:pt idx="66">
                  <c:v>1.3049851032615327</c:v>
                </c:pt>
                <c:pt idx="67">
                  <c:v>1.3854924509192243</c:v>
                </c:pt>
                <c:pt idx="68">
                  <c:v>1.469202468676916</c:v>
                </c:pt>
                <c:pt idx="69">
                  <c:v>1.5561769932961462</c:v>
                </c:pt>
                <c:pt idx="70">
                  <c:v>1.6464778615384532</c:v>
                </c:pt>
                <c:pt idx="71">
                  <c:v>1.7401669101653754</c:v>
                </c:pt>
                <c:pt idx="72">
                  <c:v>1.837305975938452</c:v>
                </c:pt>
                <c:pt idx="73">
                  <c:v>1.9379568956192206</c:v>
                </c:pt>
                <c:pt idx="74">
                  <c:v>2.042181505969219</c:v>
                </c:pt>
                <c:pt idx="75">
                  <c:v>2.150041643749988</c:v>
                </c:pt>
                <c:pt idx="76">
                  <c:v>2.261599145723064</c:v>
                </c:pt>
                <c:pt idx="77">
                  <c:v>2.376915848649986</c:v>
                </c:pt>
                <c:pt idx="78">
                  <c:v>2.496053589292293</c:v>
                </c:pt>
                <c:pt idx="79">
                  <c:v>2.619074204411523</c:v>
                </c:pt>
                <c:pt idx="80">
                  <c:v>2.7460395307692145</c:v>
                </c:pt>
                <c:pt idx="81">
                  <c:v>2.877011405126906</c:v>
                </c:pt>
                <c:pt idx="82">
                  <c:v>3.0120516642461355</c:v>
                </c:pt>
                <c:pt idx="83">
                  <c:v>3.151222144888442</c:v>
                </c:pt>
                <c:pt idx="84">
                  <c:v>3.294584683815364</c:v>
                </c:pt>
                <c:pt idx="85">
                  <c:v>3.4422011177884397</c:v>
                </c:pt>
                <c:pt idx="86">
                  <c:v>3.5941332835692075</c:v>
                </c:pt>
                <c:pt idx="87">
                  <c:v>3.7504430179192068</c:v>
                </c:pt>
                <c:pt idx="88">
                  <c:v>3.911192157599975</c:v>
                </c:pt>
                <c:pt idx="89">
                  <c:v>4.07644253937305</c:v>
                </c:pt>
                <c:pt idx="90">
                  <c:v>4.246255999999972</c:v>
                </c:pt>
                <c:pt idx="91">
                  <c:v>4.350915542076905</c:v>
                </c:pt>
                <c:pt idx="92">
                  <c:v>4.459008703692289</c:v>
                </c:pt>
                <c:pt idx="93">
                  <c:v>4.459305846153845</c:v>
                </c:pt>
                <c:pt idx="94">
                  <c:v>4.459305846153845</c:v>
                </c:pt>
                <c:pt idx="95">
                  <c:v>4.459305846153845</c:v>
                </c:pt>
                <c:pt idx="96">
                  <c:v>4.459305846153845</c:v>
                </c:pt>
                <c:pt idx="97">
                  <c:v>4.459305846153845</c:v>
                </c:pt>
                <c:pt idx="98">
                  <c:v>4.459305846153845</c:v>
                </c:pt>
                <c:pt idx="99">
                  <c:v>4.459305846153845</c:v>
                </c:pt>
                <c:pt idx="100">
                  <c:v>4.459305846153845</c:v>
                </c:pt>
              </c:numCache>
            </c:numRef>
          </c:yVal>
          <c:smooth val="0"/>
        </c:ser>
        <c:axId val="35441564"/>
        <c:axId val="50538621"/>
      </c:scatterChart>
      <c:valAx>
        <c:axId val="35441564"/>
        <c:scaling>
          <c:orientation val="minMax"/>
          <c:max val="5"/>
          <c:min val="0"/>
        </c:scaling>
        <c:axPos val="b"/>
        <c:title>
          <c:tx>
            <c:rich>
              <a:bodyPr vert="horz" rot="0" anchor="ctr"/>
              <a:lstStyle/>
              <a:p>
                <a:pPr algn="ctr">
                  <a:defRPr/>
                </a:pPr>
                <a:r>
                  <a:rPr lang="en-US" cap="none" sz="925" b="1" i="0" u="none" baseline="0">
                    <a:solidFill>
                      <a:srgbClr val="000000"/>
                    </a:solidFill>
                    <a:latin typeface="Arial"/>
                    <a:ea typeface="Arial"/>
                    <a:cs typeface="Arial"/>
                  </a:rPr>
                  <a:t>VCOMP</a:t>
                </a:r>
              </a:p>
            </c:rich>
          </c:tx>
          <c:layout>
            <c:manualLayout>
              <c:xMode val="factor"/>
              <c:yMode val="factor"/>
              <c:x val="-0.00925"/>
              <c:y val="-0.00025"/>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General" sourceLinked="0"/>
        <c:majorTickMark val="out"/>
        <c:minorTickMark val="in"/>
        <c:tickLblPos val="nextTo"/>
        <c:spPr>
          <a:ln w="3175">
            <a:solidFill>
              <a:srgbClr val="000000"/>
            </a:solidFill>
          </a:ln>
        </c:spPr>
        <c:crossAx val="50538621"/>
        <c:crosses val="autoZero"/>
        <c:crossBetween val="midCat"/>
        <c:dispUnits/>
        <c:majorUnit val="0.5"/>
        <c:minorUnit val="0.1"/>
      </c:valAx>
      <c:valAx>
        <c:axId val="50538621"/>
        <c:scaling>
          <c:orientation val="minMax"/>
          <c:max val="4"/>
          <c:min val="0"/>
        </c:scaling>
        <c:axPos val="l"/>
        <c:title>
          <c:tx>
            <c:rich>
              <a:bodyPr vert="horz" rot="-5400000" anchor="ctr"/>
              <a:lstStyle/>
              <a:p>
                <a:pPr algn="ctr">
                  <a:defRPr/>
                </a:pPr>
                <a:r>
                  <a:rPr lang="en-US" cap="none" sz="925" b="1" i="0" u="none" baseline="0">
                    <a:solidFill>
                      <a:srgbClr val="000000"/>
                    </a:solidFill>
                    <a:latin typeface="Arial"/>
                    <a:ea typeface="Arial"/>
                    <a:cs typeface="Arial"/>
                  </a:rPr>
                  <a:t>M</a:t>
                </a:r>
                <a:r>
                  <a:rPr lang="en-US" cap="none" sz="925" b="1" i="0" u="none" baseline="-25000">
                    <a:solidFill>
                      <a:srgbClr val="000000"/>
                    </a:solidFill>
                    <a:latin typeface="Arial"/>
                    <a:ea typeface="Arial"/>
                    <a:cs typeface="Arial"/>
                  </a:rPr>
                  <a:t>1</a:t>
                </a:r>
                <a:r>
                  <a:rPr lang="en-US" cap="none" sz="925" b="1" i="0" u="none" baseline="0">
                    <a:solidFill>
                      <a:srgbClr val="000000"/>
                    </a:solidFill>
                    <a:latin typeface="Arial"/>
                    <a:ea typeface="Arial"/>
                    <a:cs typeface="Arial"/>
                  </a:rPr>
                  <a:t>M</a:t>
                </a:r>
                <a:r>
                  <a:rPr lang="en-US" cap="none" sz="925" b="1" i="0" u="none" baseline="-25000">
                    <a:solidFill>
                      <a:srgbClr val="000000"/>
                    </a:solidFill>
                    <a:latin typeface="Arial"/>
                    <a:ea typeface="Arial"/>
                    <a:cs typeface="Arial"/>
                  </a:rPr>
                  <a:t>2</a:t>
                </a:r>
              </a:p>
            </c:rich>
          </c:tx>
          <c:layout>
            <c:manualLayout>
              <c:xMode val="factor"/>
              <c:yMode val="factor"/>
              <c:x val="-0.00975"/>
              <c:y val="0"/>
            </c:manualLayout>
          </c:layout>
          <c:overlay val="0"/>
          <c:spPr>
            <a:noFill/>
            <a:ln>
              <a:noFill/>
            </a:ln>
          </c:spPr>
        </c:title>
        <c:majorGridlines>
          <c:spPr>
            <a:ln w="12700">
              <a:solidFill>
                <a:srgbClr val="000000"/>
              </a:solidFill>
            </a:ln>
          </c:spPr>
        </c:majorGridlines>
        <c:minorGridlines>
          <c:spPr>
            <a:ln w="3175">
              <a:solidFill>
                <a:srgbClr val="FF6600"/>
              </a:solidFill>
            </a:ln>
          </c:spPr>
        </c:minorGridlines>
        <c:delete val="0"/>
        <c:numFmt formatCode="General" sourceLinked="0"/>
        <c:majorTickMark val="out"/>
        <c:minorTickMark val="in"/>
        <c:tickLblPos val="nextTo"/>
        <c:spPr>
          <a:ln w="3175">
            <a:solidFill>
              <a:srgbClr val="000000"/>
            </a:solidFill>
          </a:ln>
        </c:spPr>
        <c:crossAx val="35441564"/>
        <c:crosses val="autoZero"/>
        <c:crossBetween val="midCat"/>
        <c:dispUnits/>
        <c:majorUnit val="0.5"/>
        <c:minorUnit val="0.1"/>
      </c:valAx>
      <c:spPr>
        <a:solidFill>
          <a:srgbClr val="FFFFFF"/>
        </a:solidFill>
        <a:ln w="3175">
          <a:noFill/>
        </a:ln>
      </c:spPr>
    </c:plotArea>
    <c:plotVisOnly val="1"/>
    <c:dispBlanksAs val="gap"/>
    <c:showDLblsOverMax val="0"/>
  </c:chart>
  <c:spPr>
    <a:no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Current Averaging Transfer Function</a:t>
            </a:r>
          </a:p>
        </c:rich>
      </c:tx>
      <c:layout>
        <c:manualLayout>
          <c:xMode val="factor"/>
          <c:yMode val="factor"/>
          <c:x val="0.02575"/>
          <c:y val="-0.0015"/>
        </c:manualLayout>
      </c:layout>
      <c:spPr>
        <a:noFill/>
        <a:ln>
          <a:noFill/>
        </a:ln>
      </c:spPr>
    </c:title>
    <c:plotArea>
      <c:layout>
        <c:manualLayout>
          <c:xMode val="edge"/>
          <c:yMode val="edge"/>
          <c:x val="0.0455"/>
          <c:y val="0.1025"/>
          <c:w val="0.908"/>
          <c:h val="0.77425"/>
        </c:manualLayout>
      </c:layout>
      <c:scatterChart>
        <c:scatterStyle val="smoothMarker"/>
        <c:varyColors val="0"/>
        <c:ser>
          <c:idx val="0"/>
          <c:order val="0"/>
          <c:tx>
            <c:v>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data!$B$114:$B$164</c:f>
              <c:numCache>
                <c:ptCount val="51"/>
                <c:pt idx="0">
                  <c:v>10</c:v>
                </c:pt>
                <c:pt idx="1">
                  <c:v>12.58925411794168</c:v>
                </c:pt>
                <c:pt idx="2">
                  <c:v>15.848931924611136</c:v>
                </c:pt>
                <c:pt idx="3">
                  <c:v>19.952623149688804</c:v>
                </c:pt>
                <c:pt idx="4">
                  <c:v>25.1188643150958</c:v>
                </c:pt>
                <c:pt idx="5">
                  <c:v>31.622776601683803</c:v>
                </c:pt>
                <c:pt idx="6">
                  <c:v>39.810717055349755</c:v>
                </c:pt>
                <c:pt idx="7">
                  <c:v>50.11872336272724</c:v>
                </c:pt>
                <c:pt idx="8">
                  <c:v>63.095734448019364</c:v>
                </c:pt>
                <c:pt idx="9">
                  <c:v>79.4328234724282</c:v>
                </c:pt>
                <c:pt idx="10">
                  <c:v>100</c:v>
                </c:pt>
                <c:pt idx="11">
                  <c:v>125.89254117941677</c:v>
                </c:pt>
                <c:pt idx="12">
                  <c:v>158.48931924611153</c:v>
                </c:pt>
                <c:pt idx="13">
                  <c:v>199.52623149688802</c:v>
                </c:pt>
                <c:pt idx="14">
                  <c:v>251.18864315095806</c:v>
                </c:pt>
                <c:pt idx="15">
                  <c:v>316.22776601683825</c:v>
                </c:pt>
                <c:pt idx="16">
                  <c:v>398.1071705534976</c:v>
                </c:pt>
                <c:pt idx="17">
                  <c:v>501.1872336272727</c:v>
                </c:pt>
                <c:pt idx="18">
                  <c:v>630.9573444801932</c:v>
                </c:pt>
                <c:pt idx="19">
                  <c:v>794.3282347242821</c:v>
                </c:pt>
                <c:pt idx="20">
                  <c:v>1000</c:v>
                </c:pt>
                <c:pt idx="21">
                  <c:v>1258.925411794168</c:v>
                </c:pt>
                <c:pt idx="22">
                  <c:v>1584.8931924611156</c:v>
                </c:pt>
                <c:pt idx="23">
                  <c:v>1995.2623149688804</c:v>
                </c:pt>
                <c:pt idx="24">
                  <c:v>2511.886431509581</c:v>
                </c:pt>
                <c:pt idx="25">
                  <c:v>3162.2776601683804</c:v>
                </c:pt>
                <c:pt idx="26">
                  <c:v>3981.071705534977</c:v>
                </c:pt>
                <c:pt idx="27">
                  <c:v>5011.872336272732</c:v>
                </c:pt>
                <c:pt idx="28">
                  <c:v>6309.573444801938</c:v>
                </c:pt>
                <c:pt idx="29">
                  <c:v>7943.282347242815</c:v>
                </c:pt>
                <c:pt idx="30">
                  <c:v>10000</c:v>
                </c:pt>
                <c:pt idx="31">
                  <c:v>12589.254117941671</c:v>
                </c:pt>
                <c:pt idx="32">
                  <c:v>15848.931924611146</c:v>
                </c:pt>
                <c:pt idx="33">
                  <c:v>19952.623149688792</c:v>
                </c:pt>
                <c:pt idx="34">
                  <c:v>25118.86431509586</c:v>
                </c:pt>
                <c:pt idx="35">
                  <c:v>31622.77660168384</c:v>
                </c:pt>
                <c:pt idx="36">
                  <c:v>39810.71705534974</c:v>
                </c:pt>
                <c:pt idx="37">
                  <c:v>50118.723362727294</c:v>
                </c:pt>
                <c:pt idx="38">
                  <c:v>63095.73444801934</c:v>
                </c:pt>
                <c:pt idx="39">
                  <c:v>79432.82347242824</c:v>
                </c:pt>
                <c:pt idx="40">
                  <c:v>100000</c:v>
                </c:pt>
                <c:pt idx="41">
                  <c:v>125892.54117941685</c:v>
                </c:pt>
                <c:pt idx="42">
                  <c:v>158489.31924611164</c:v>
                </c:pt>
                <c:pt idx="43">
                  <c:v>199526.23149688813</c:v>
                </c:pt>
                <c:pt idx="44">
                  <c:v>251188.64315095844</c:v>
                </c:pt>
                <c:pt idx="45">
                  <c:v>316227.7660168382</c:v>
                </c:pt>
                <c:pt idx="46">
                  <c:v>398107.17055349716</c:v>
                </c:pt>
                <c:pt idx="47">
                  <c:v>501187.23362727347</c:v>
                </c:pt>
                <c:pt idx="48">
                  <c:v>630957.3444801942</c:v>
                </c:pt>
                <c:pt idx="49">
                  <c:v>794328.2347242833</c:v>
                </c:pt>
                <c:pt idx="50">
                  <c:v>1000000</c:v>
                </c:pt>
              </c:numCache>
            </c:numRef>
          </c:xVal>
          <c:yVal>
            <c:numRef>
              <c:f>data!$E$114:$E$164</c:f>
              <c:numCache>
                <c:ptCount val="51"/>
                <c:pt idx="0">
                  <c:v>65.50497253073532</c:v>
                </c:pt>
                <c:pt idx="1">
                  <c:v>63.50495019200739</c:v>
                </c:pt>
                <c:pt idx="2">
                  <c:v>61.504914787744916</c:v>
                </c:pt>
                <c:pt idx="3">
                  <c:v>59.50485867636157</c:v>
                </c:pt>
                <c:pt idx="4">
                  <c:v>57.50476974729703</c:v>
                </c:pt>
                <c:pt idx="5">
                  <c:v>55.50462880795804</c:v>
                </c:pt>
                <c:pt idx="6">
                  <c:v>53.50440544352765</c:v>
                </c:pt>
                <c:pt idx="7">
                  <c:v>51.50405145829267</c:v>
                </c:pt>
                <c:pt idx="8">
                  <c:v>49.50349048859836</c:v>
                </c:pt>
                <c:pt idx="9">
                  <c:v>47.502601559946996</c:v>
                </c:pt>
                <c:pt idx="10">
                  <c:v>45.5011930755752</c:v>
                </c:pt>
                <c:pt idx="11">
                  <c:v>43.498961713551914</c:v>
                </c:pt>
                <c:pt idx="12">
                  <c:v>41.495427589775545</c:v>
                </c:pt>
                <c:pt idx="13">
                  <c:v>39.489832265443965</c:v>
                </c:pt>
                <c:pt idx="14">
                  <c:v>37.480979014152965</c:v>
                </c:pt>
                <c:pt idx="15">
                  <c:v>35.46698442070382</c:v>
                </c:pt>
                <c:pt idx="16">
                  <c:v>33.44489644693118</c:v>
                </c:pt>
                <c:pt idx="17">
                  <c:v>31.41011786597573</c:v>
                </c:pt>
                <c:pt idx="18">
                  <c:v>29.355561752003865</c:v>
                </c:pt>
                <c:pt idx="19">
                  <c:v>27.270475921824552</c:v>
                </c:pt>
                <c:pt idx="20">
                  <c:v>25.138948315244324</c:v>
                </c:pt>
                <c:pt idx="21">
                  <c:v>22.938322313722207</c:v>
                </c:pt>
                <c:pt idx="22">
                  <c:v>20.638197517060117</c:v>
                </c:pt>
                <c:pt idx="23">
                  <c:v>18.201324417809975</c:v>
                </c:pt>
                <c:pt idx="24">
                  <c:v>15.588029725251412</c:v>
                </c:pt>
                <c:pt idx="25">
                  <c:v>12.764743464047445</c:v>
                </c:pt>
                <c:pt idx="26">
                  <c:v>9.714120237586542</c:v>
                </c:pt>
                <c:pt idx="27">
                  <c:v>6.44126687265099</c:v>
                </c:pt>
                <c:pt idx="28">
                  <c:v>2.9718398068013574</c:v>
                </c:pt>
                <c:pt idx="29">
                  <c:v>-0.6566355743248156</c:v>
                </c:pt>
                <c:pt idx="30">
                  <c:v>-4.404734257974075</c:v>
                </c:pt>
                <c:pt idx="31">
                  <c:v>-8.237932832417306</c:v>
                </c:pt>
                <c:pt idx="32">
                  <c:v>-12.129293480408345</c:v>
                </c:pt>
                <c:pt idx="33">
                  <c:v>-16.05932146859538</c:v>
                </c:pt>
                <c:pt idx="34">
                  <c:v>-20.01458491061915</c:v>
                </c:pt>
                <c:pt idx="35">
                  <c:v>-23.986119082117394</c:v>
                </c:pt>
                <c:pt idx="36">
                  <c:v>-27.968061880606534</c:v>
                </c:pt>
                <c:pt idx="37">
                  <c:v>-31.956629804791916</c:v>
                </c:pt>
                <c:pt idx="38">
                  <c:v>-35.94940113796556</c:v>
                </c:pt>
                <c:pt idx="39">
                  <c:v>-39.9448339589907</c:v>
                </c:pt>
                <c:pt idx="40">
                  <c:v>-43.94194979061807</c:v>
                </c:pt>
                <c:pt idx="41">
                  <c:v>-47.94012901737772</c:v>
                </c:pt>
                <c:pt idx="42">
                  <c:v>-51.93897979423336</c:v>
                </c:pt>
                <c:pt idx="43">
                  <c:v>-55.93825452694656</c:v>
                </c:pt>
                <c:pt idx="44">
                  <c:v>-59.937796851897886</c:v>
                </c:pt>
                <c:pt idx="45">
                  <c:v>-63.9375080536459</c:v>
                </c:pt>
                <c:pt idx="46">
                  <c:v>-67.93732582438585</c:v>
                </c:pt>
                <c:pt idx="47">
                  <c:v>-71.93721084156151</c:v>
                </c:pt>
                <c:pt idx="48">
                  <c:v>-75.93713829073751</c:v>
                </c:pt>
                <c:pt idx="49">
                  <c:v>-79.93709251363879</c:v>
                </c:pt>
                <c:pt idx="50">
                  <c:v>-83.93706362999367</c:v>
                </c:pt>
              </c:numCache>
            </c:numRef>
          </c:yVal>
          <c:smooth val="1"/>
        </c:ser>
        <c:axId val="52194406"/>
        <c:axId val="67096471"/>
      </c:scatterChart>
      <c:scatterChart>
        <c:scatterStyle val="lineMarker"/>
        <c:varyColors val="0"/>
        <c:ser>
          <c:idx val="1"/>
          <c:order val="1"/>
          <c:tx>
            <c:v>Phase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data!$B$114:$B$164</c:f>
              <c:numCache>
                <c:ptCount val="51"/>
                <c:pt idx="0">
                  <c:v>10</c:v>
                </c:pt>
                <c:pt idx="1">
                  <c:v>12.58925411794168</c:v>
                </c:pt>
                <c:pt idx="2">
                  <c:v>15.848931924611136</c:v>
                </c:pt>
                <c:pt idx="3">
                  <c:v>19.952623149688804</c:v>
                </c:pt>
                <c:pt idx="4">
                  <c:v>25.1188643150958</c:v>
                </c:pt>
                <c:pt idx="5">
                  <c:v>31.622776601683803</c:v>
                </c:pt>
                <c:pt idx="6">
                  <c:v>39.810717055349755</c:v>
                </c:pt>
                <c:pt idx="7">
                  <c:v>50.11872336272724</c:v>
                </c:pt>
                <c:pt idx="8">
                  <c:v>63.095734448019364</c:v>
                </c:pt>
                <c:pt idx="9">
                  <c:v>79.4328234724282</c:v>
                </c:pt>
                <c:pt idx="10">
                  <c:v>100</c:v>
                </c:pt>
                <c:pt idx="11">
                  <c:v>125.89254117941677</c:v>
                </c:pt>
                <c:pt idx="12">
                  <c:v>158.48931924611153</c:v>
                </c:pt>
                <c:pt idx="13">
                  <c:v>199.52623149688802</c:v>
                </c:pt>
                <c:pt idx="14">
                  <c:v>251.18864315095806</c:v>
                </c:pt>
                <c:pt idx="15">
                  <c:v>316.22776601683825</c:v>
                </c:pt>
                <c:pt idx="16">
                  <c:v>398.1071705534976</c:v>
                </c:pt>
                <c:pt idx="17">
                  <c:v>501.1872336272727</c:v>
                </c:pt>
                <c:pt idx="18">
                  <c:v>630.9573444801932</c:v>
                </c:pt>
                <c:pt idx="19">
                  <c:v>794.3282347242821</c:v>
                </c:pt>
                <c:pt idx="20">
                  <c:v>1000</c:v>
                </c:pt>
                <c:pt idx="21">
                  <c:v>1258.925411794168</c:v>
                </c:pt>
                <c:pt idx="22">
                  <c:v>1584.8931924611156</c:v>
                </c:pt>
                <c:pt idx="23">
                  <c:v>1995.2623149688804</c:v>
                </c:pt>
                <c:pt idx="24">
                  <c:v>2511.886431509581</c:v>
                </c:pt>
                <c:pt idx="25">
                  <c:v>3162.2776601683804</c:v>
                </c:pt>
                <c:pt idx="26">
                  <c:v>3981.071705534977</c:v>
                </c:pt>
                <c:pt idx="27">
                  <c:v>5011.872336272732</c:v>
                </c:pt>
                <c:pt idx="28">
                  <c:v>6309.573444801938</c:v>
                </c:pt>
                <c:pt idx="29">
                  <c:v>7943.282347242815</c:v>
                </c:pt>
                <c:pt idx="30">
                  <c:v>10000</c:v>
                </c:pt>
                <c:pt idx="31">
                  <c:v>12589.254117941671</c:v>
                </c:pt>
                <c:pt idx="32">
                  <c:v>15848.931924611146</c:v>
                </c:pt>
                <c:pt idx="33">
                  <c:v>19952.623149688792</c:v>
                </c:pt>
                <c:pt idx="34">
                  <c:v>25118.86431509586</c:v>
                </c:pt>
                <c:pt idx="35">
                  <c:v>31622.77660168384</c:v>
                </c:pt>
                <c:pt idx="36">
                  <c:v>39810.71705534974</c:v>
                </c:pt>
                <c:pt idx="37">
                  <c:v>50118.723362727294</c:v>
                </c:pt>
                <c:pt idx="38">
                  <c:v>63095.73444801934</c:v>
                </c:pt>
                <c:pt idx="39">
                  <c:v>79432.82347242824</c:v>
                </c:pt>
                <c:pt idx="40">
                  <c:v>100000</c:v>
                </c:pt>
                <c:pt idx="41">
                  <c:v>125892.54117941685</c:v>
                </c:pt>
                <c:pt idx="42">
                  <c:v>158489.31924611164</c:v>
                </c:pt>
                <c:pt idx="43">
                  <c:v>199526.23149688813</c:v>
                </c:pt>
                <c:pt idx="44">
                  <c:v>251188.64315095844</c:v>
                </c:pt>
                <c:pt idx="45">
                  <c:v>316227.7660168382</c:v>
                </c:pt>
                <c:pt idx="46">
                  <c:v>398107.17055349716</c:v>
                </c:pt>
                <c:pt idx="47">
                  <c:v>501187.23362727347</c:v>
                </c:pt>
                <c:pt idx="48">
                  <c:v>630957.3444801942</c:v>
                </c:pt>
                <c:pt idx="49">
                  <c:v>794328.2347242833</c:v>
                </c:pt>
                <c:pt idx="50">
                  <c:v>1000000</c:v>
                </c:pt>
              </c:numCache>
            </c:numRef>
          </c:xVal>
          <c:yVal>
            <c:numRef>
              <c:f>data!$F$114:$F$164</c:f>
              <c:numCache>
                <c:ptCount val="51"/>
                <c:pt idx="0">
                  <c:v>-90.16991143502574</c:v>
                </c:pt>
                <c:pt idx="1">
                  <c:v>-90.21390545655355</c:v>
                </c:pt>
                <c:pt idx="2">
                  <c:v>-90.26929028321055</c:v>
                </c:pt>
                <c:pt idx="3">
                  <c:v>-90.33901492063612</c:v>
                </c:pt>
                <c:pt idx="4">
                  <c:v>-90.42679158544797</c:v>
                </c:pt>
                <c:pt idx="5">
                  <c:v>-90.53729296020998</c:v>
                </c:pt>
                <c:pt idx="6">
                  <c:v>-90.67640016480593</c:v>
                </c:pt>
                <c:pt idx="7">
                  <c:v>-90.8515142200404</c:v>
                </c:pt>
                <c:pt idx="8">
                  <c:v>-91.07194673360772</c:v>
                </c:pt>
                <c:pt idx="9">
                  <c:v>-91.3494089071392</c:v>
                </c:pt>
                <c:pt idx="10">
                  <c:v>-91.69862150685127</c:v>
                </c:pt>
                <c:pt idx="11">
                  <c:v>-92.13807151984739</c:v>
                </c:pt>
                <c:pt idx="12">
                  <c:v>-92.69094236542155</c:v>
                </c:pt>
                <c:pt idx="13">
                  <c:v>-93.38624061544526</c:v>
                </c:pt>
                <c:pt idx="14">
                  <c:v>-94.26012682617721</c:v>
                </c:pt>
                <c:pt idx="15">
                  <c:v>-95.35741880433946</c:v>
                </c:pt>
                <c:pt idx="16">
                  <c:v>-96.73314896608217</c:v>
                </c:pt>
                <c:pt idx="17">
                  <c:v>-98.45388196354364</c:v>
                </c:pt>
                <c:pt idx="18">
                  <c:v>-100.5981686547546</c:v>
                </c:pt>
                <c:pt idx="19">
                  <c:v>-103.2549450904983</c:v>
                </c:pt>
                <c:pt idx="20">
                  <c:v>-106.5178428487292</c:v>
                </c:pt>
                <c:pt idx="21">
                  <c:v>-110.47247320800012</c:v>
                </c:pt>
                <c:pt idx="22">
                  <c:v>-115.17369672450646</c:v>
                </c:pt>
                <c:pt idx="23">
                  <c:v>-120.61278447879047</c:v>
                </c:pt>
                <c:pt idx="24">
                  <c:v>-126.68263290261996</c:v>
                </c:pt>
                <c:pt idx="25">
                  <c:v>-133.1609455001971</c:v>
                </c:pt>
                <c:pt idx="26">
                  <c:v>-139.73440255448773</c:v>
                </c:pt>
                <c:pt idx="27">
                  <c:v>-146.0665537686638</c:v>
                </c:pt>
                <c:pt idx="28">
                  <c:v>-151.878181362341</c:v>
                </c:pt>
                <c:pt idx="29">
                  <c:v>-156.99777815703135</c:v>
                </c:pt>
                <c:pt idx="30">
                  <c:v>-161.36544688648004</c:v>
                </c:pt>
                <c:pt idx="31">
                  <c:v>-165.00506860514886</c:v>
                </c:pt>
                <c:pt idx="32">
                  <c:v>-167.98861266503243</c:v>
                </c:pt>
                <c:pt idx="33">
                  <c:v>-170.4073891694487</c:v>
                </c:pt>
                <c:pt idx="34">
                  <c:v>-172.35402951807163</c:v>
                </c:pt>
                <c:pt idx="35">
                  <c:v>-173.91328002036468</c:v>
                </c:pt>
                <c:pt idx="36">
                  <c:v>-175.15843273966783</c:v>
                </c:pt>
                <c:pt idx="37">
                  <c:v>-176.15082784818728</c:v>
                </c:pt>
                <c:pt idx="38">
                  <c:v>-176.9407962074527</c:v>
                </c:pt>
                <c:pt idx="39">
                  <c:v>-177.5691358122213</c:v>
                </c:pt>
                <c:pt idx="40">
                  <c:v>-178.06866836927503</c:v>
                </c:pt>
                <c:pt idx="41">
                  <c:v>-178.46567432232507</c:v>
                </c:pt>
                <c:pt idx="42">
                  <c:v>-178.7811342778826</c:v>
                </c:pt>
                <c:pt idx="43">
                  <c:v>-179.03176664344323</c:v>
                </c:pt>
                <c:pt idx="44">
                  <c:v>-179.23087788910826</c:v>
                </c:pt>
                <c:pt idx="45">
                  <c:v>-179.38905104890634</c:v>
                </c:pt>
                <c:pt idx="46">
                  <c:v>-179.51469921042056</c:v>
                </c:pt>
                <c:pt idx="47">
                  <c:v>-179.61450847842943</c:v>
                </c:pt>
                <c:pt idx="48">
                  <c:v>-179.69379149504962</c:v>
                </c:pt>
                <c:pt idx="49">
                  <c:v>-179.75676908420684</c:v>
                </c:pt>
                <c:pt idx="50">
                  <c:v>-179.80679438770943</c:v>
                </c:pt>
              </c:numCache>
            </c:numRef>
          </c:yVal>
          <c:smooth val="1"/>
        </c:ser>
        <c:axId val="66997328"/>
        <c:axId val="66105041"/>
      </c:scatterChart>
      <c:valAx>
        <c:axId val="52194406"/>
        <c:scaling>
          <c:logBase val="10"/>
          <c:orientation val="minMax"/>
          <c:max val="1000000"/>
          <c:min val="10"/>
        </c:scaling>
        <c:axPos val="b"/>
        <c:title>
          <c:tx>
            <c:rich>
              <a:bodyPr vert="horz" rot="0" anchor="ctr"/>
              <a:lstStyle/>
              <a:p>
                <a:pPr algn="ctr">
                  <a:defRPr/>
                </a:pPr>
                <a:r>
                  <a:rPr lang="en-US" cap="none" sz="1075" b="1" i="0" u="none" baseline="0">
                    <a:solidFill>
                      <a:srgbClr val="000000"/>
                    </a:solidFill>
                    <a:latin typeface="Arial"/>
                    <a:ea typeface="Arial"/>
                    <a:cs typeface="Arial"/>
                  </a:rPr>
                  <a:t>Frequency (Hz)</a:t>
                </a:r>
              </a:p>
            </c:rich>
          </c:tx>
          <c:layout>
            <c:manualLayout>
              <c:xMode val="factor"/>
              <c:yMode val="factor"/>
              <c:x val="-0.009"/>
              <c:y val="-0.002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67096471"/>
        <c:crossesAt val="-100"/>
        <c:crossBetween val="midCat"/>
        <c:dispUnits/>
        <c:majorUnit val="10"/>
        <c:minorUnit val="10"/>
      </c:valAx>
      <c:valAx>
        <c:axId val="67096471"/>
        <c:scaling>
          <c:orientation val="minMax"/>
          <c:max val="100"/>
          <c:min val="-100"/>
        </c:scaling>
        <c:axPos val="l"/>
        <c:title>
          <c:tx>
            <c:rich>
              <a:bodyPr vert="horz" rot="-5400000" anchor="ctr"/>
              <a:lstStyle/>
              <a:p>
                <a:pPr algn="ctr">
                  <a:defRPr/>
                </a:pPr>
                <a:r>
                  <a:rPr lang="en-US" cap="none" sz="1075" b="1" i="0" u="none" baseline="0">
                    <a:solidFill>
                      <a:srgbClr val="000000"/>
                    </a:solidFill>
                    <a:latin typeface="Arial"/>
                    <a:ea typeface="Arial"/>
                    <a:cs typeface="Arial"/>
                  </a:rPr>
                  <a:t>Gain (dB)</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2194406"/>
        <c:crossesAt val="10"/>
        <c:crossBetween val="midCat"/>
        <c:dispUnits/>
        <c:majorUnit val="20"/>
        <c:minorUnit val="10"/>
      </c:valAx>
      <c:valAx>
        <c:axId val="66997328"/>
        <c:scaling>
          <c:logBase val="10"/>
          <c:orientation val="minMax"/>
        </c:scaling>
        <c:axPos val="b"/>
        <c:delete val="1"/>
        <c:majorTickMark val="out"/>
        <c:minorTickMark val="none"/>
        <c:tickLblPos val="nextTo"/>
        <c:crossAx val="66105041"/>
        <c:crossesAt val="-180"/>
        <c:crossBetween val="midCat"/>
        <c:dispUnits/>
      </c:valAx>
      <c:valAx>
        <c:axId val="66105041"/>
        <c:scaling>
          <c:orientation val="minMax"/>
          <c:max val="-80"/>
          <c:min val="-180"/>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(degrees)</a:t>
                </a:r>
              </a:p>
            </c:rich>
          </c:tx>
          <c:layout>
            <c:manualLayout>
              <c:xMode val="factor"/>
              <c:yMode val="factor"/>
              <c:x val="-0.0087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6997328"/>
        <c:crosses val="max"/>
        <c:crossBetween val="midCat"/>
        <c:dispUnits/>
        <c:minorUnit val="10"/>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4035"/>
          <c:y val="0.9435"/>
          <c:w val="0.1855"/>
          <c:h val="0.04625"/>
        </c:manualLayout>
      </c:layout>
      <c:overlay val="0"/>
      <c:spPr>
        <a:solidFill>
          <a:srgbClr val="FFFFFF"/>
        </a:solidFill>
        <a:ln w="3175">
          <a:solidFill>
            <a:srgbClr val="000000"/>
          </a:solidFill>
        </a:ln>
      </c:spPr>
      <c:txPr>
        <a:bodyPr vert="horz" rot="0"/>
        <a:lstStyle/>
        <a:p>
          <a:pPr>
            <a:defRPr lang="en-US" cap="none" sz="7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Loop Transfer Function</a:t>
            </a:r>
          </a:p>
        </c:rich>
      </c:tx>
      <c:layout>
        <c:manualLayout>
          <c:xMode val="factor"/>
          <c:yMode val="factor"/>
          <c:x val="-0.0095"/>
          <c:y val="-0.0015"/>
        </c:manualLayout>
      </c:layout>
      <c:spPr>
        <a:noFill/>
        <a:ln>
          <a:noFill/>
        </a:ln>
      </c:spPr>
    </c:title>
    <c:plotArea>
      <c:layout>
        <c:manualLayout>
          <c:xMode val="edge"/>
          <c:yMode val="edge"/>
          <c:x val="0.0475"/>
          <c:y val="0.1105"/>
          <c:w val="0.907"/>
          <c:h val="0.7655"/>
        </c:manualLayout>
      </c:layout>
      <c:scatterChart>
        <c:scatterStyle val="smoothMarker"/>
        <c:varyColors val="0"/>
        <c:ser>
          <c:idx val="0"/>
          <c:order val="0"/>
          <c:tx>
            <c:v>Total Open Loop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data!$N$114:$N$164</c:f>
              <c:numCache>
                <c:ptCount val="51"/>
                <c:pt idx="0">
                  <c:v>19.89502241142946</c:v>
                </c:pt>
                <c:pt idx="1">
                  <c:v>19.894918112166383</c:v>
                </c:pt>
                <c:pt idx="2">
                  <c:v>19.894752814105043</c:v>
                </c:pt>
                <c:pt idx="3">
                  <c:v>19.89449084721959</c:v>
                </c:pt>
                <c:pt idx="4">
                  <c:v>19.89407569005184</c:v>
                </c:pt>
                <c:pt idx="5">
                  <c:v>19.893417791565128</c:v>
                </c:pt>
                <c:pt idx="6">
                  <c:v>19.892375296837656</c:v>
                </c:pt>
                <c:pt idx="7">
                  <c:v>19.890723566466924</c:v>
                </c:pt>
                <c:pt idx="8">
                  <c:v>19.88810703635356</c:v>
                </c:pt>
                <c:pt idx="9">
                  <c:v>19.88396334197466</c:v>
                </c:pt>
                <c:pt idx="10">
                  <c:v>19.877404116721692</c:v>
                </c:pt>
                <c:pt idx="11">
                  <c:v>19.867028695169097</c:v>
                </c:pt>
                <c:pt idx="12">
                  <c:v>19.850635366013492</c:v>
                </c:pt>
                <c:pt idx="13">
                  <c:v>19.82477978330881</c:v>
                </c:pt>
                <c:pt idx="14">
                  <c:v>19.784114170161352</c:v>
                </c:pt>
                <c:pt idx="15">
                  <c:v>19.720433488137704</c:v>
                </c:pt>
                <c:pt idx="16">
                  <c:v>19.621380969366438</c:v>
                </c:pt>
                <c:pt idx="17">
                  <c:v>19.468879190629234</c:v>
                </c:pt>
                <c:pt idx="18">
                  <c:v>19.23764133117766</c:v>
                </c:pt>
                <c:pt idx="19">
                  <c:v>18.89464789309309</c:v>
                </c:pt>
                <c:pt idx="20">
                  <c:v>18.40109073034639</c:v>
                </c:pt>
                <c:pt idx="21">
                  <c:v>17.71827243673767</c:v>
                </c:pt>
                <c:pt idx="22">
                  <c:v>16.81716358548482</c:v>
                </c:pt>
                <c:pt idx="23">
                  <c:v>15.687855848515355</c:v>
                </c:pt>
                <c:pt idx="24">
                  <c:v>14.343219876285504</c:v>
                </c:pt>
                <c:pt idx="25">
                  <c:v>12.814195900039937</c:v>
                </c:pt>
                <c:pt idx="26">
                  <c:v>11.139993938133841</c:v>
                </c:pt>
                <c:pt idx="27">
                  <c:v>9.358890559861058</c:v>
                </c:pt>
                <c:pt idx="28">
                  <c:v>7.502906565628841</c:v>
                </c:pt>
                <c:pt idx="29">
                  <c:v>5.596294873997836</c:v>
                </c:pt>
                <c:pt idx="30">
                  <c:v>3.6562692251429385</c:v>
                </c:pt>
                <c:pt idx="31">
                  <c:v>1.6945411156780386</c:v>
                </c:pt>
                <c:pt idx="32">
                  <c:v>-0.28113625734082426</c:v>
                </c:pt>
                <c:pt idx="33">
                  <c:v>-2.2657193310296373</c:v>
                </c:pt>
                <c:pt idx="34">
                  <c:v>-4.255963673130635</c:v>
                </c:pt>
                <c:pt idx="35">
                  <c:v>-6.249796974352075</c:v>
                </c:pt>
                <c:pt idx="36">
                  <c:v>-8.245901540233431</c:v>
                </c:pt>
                <c:pt idx="37">
                  <c:v>-10.243441888455216</c:v>
                </c:pt>
                <c:pt idx="38">
                  <c:v>-12.241889236031776</c:v>
                </c:pt>
                <c:pt idx="39">
                  <c:v>-14.24090929289251</c:v>
                </c:pt>
                <c:pt idx="40">
                  <c:v>-16.24029087678168</c:v>
                </c:pt>
                <c:pt idx="41">
                  <c:v>-18.239900637280176</c:v>
                </c:pt>
                <c:pt idx="42">
                  <c:v>-20.239654394757153</c:v>
                </c:pt>
                <c:pt idx="43">
                  <c:v>-22.239499019044548</c:v>
                </c:pt>
                <c:pt idx="44">
                  <c:v>-24.239400980737305</c:v>
                </c:pt>
                <c:pt idx="45">
                  <c:v>-26.23933912160853</c:v>
                </c:pt>
                <c:pt idx="46">
                  <c:v>-28.23930009068356</c:v>
                </c:pt>
                <c:pt idx="47">
                  <c:v>-30.239275463654295</c:v>
                </c:pt>
                <c:pt idx="48">
                  <c:v>-32.239259924977475</c:v>
                </c:pt>
                <c:pt idx="49">
                  <c:v>-34.2392501207066</c:v>
                </c:pt>
                <c:pt idx="50">
                  <c:v>-36.23924393461844</c:v>
                </c:pt>
              </c:numCache>
            </c:numRef>
          </c:yVal>
          <c:smooth val="1"/>
        </c:ser>
        <c:ser>
          <c:idx val="1"/>
          <c:order val="1"/>
          <c:tx>
            <c:v>PWM_PS Gain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data!$L$114:$L$164</c:f>
              <c:numCache>
                <c:ptCount val="51"/>
                <c:pt idx="0">
                  <c:v>57.64217402570108</c:v>
                </c:pt>
                <c:pt idx="1">
                  <c:v>57.64206972643801</c:v>
                </c:pt>
                <c:pt idx="2">
                  <c:v>57.64190442837667</c:v>
                </c:pt>
                <c:pt idx="3">
                  <c:v>57.641642461491216</c:v>
                </c:pt>
                <c:pt idx="4">
                  <c:v>57.641227304323465</c:v>
                </c:pt>
                <c:pt idx="5">
                  <c:v>57.64056940583675</c:v>
                </c:pt>
                <c:pt idx="6">
                  <c:v>57.639526911109286</c:v>
                </c:pt>
                <c:pt idx="7">
                  <c:v>57.637875180738554</c:v>
                </c:pt>
                <c:pt idx="8">
                  <c:v>57.63525865062519</c:v>
                </c:pt>
                <c:pt idx="9">
                  <c:v>57.631114956246286</c:v>
                </c:pt>
                <c:pt idx="10">
                  <c:v>57.624555730993315</c:v>
                </c:pt>
                <c:pt idx="11">
                  <c:v>57.61418030944072</c:v>
                </c:pt>
                <c:pt idx="12">
                  <c:v>57.59778698028512</c:v>
                </c:pt>
                <c:pt idx="13">
                  <c:v>57.571931397580435</c:v>
                </c:pt>
                <c:pt idx="14">
                  <c:v>57.53126578443299</c:v>
                </c:pt>
                <c:pt idx="15">
                  <c:v>57.46758510240933</c:v>
                </c:pt>
                <c:pt idx="16">
                  <c:v>57.36853258363807</c:v>
                </c:pt>
                <c:pt idx="17">
                  <c:v>57.21603080490085</c:v>
                </c:pt>
                <c:pt idx="18">
                  <c:v>56.98479294544928</c:v>
                </c:pt>
                <c:pt idx="19">
                  <c:v>56.641799507364716</c:v>
                </c:pt>
                <c:pt idx="20">
                  <c:v>56.14824234461801</c:v>
                </c:pt>
                <c:pt idx="21">
                  <c:v>55.4654240510093</c:v>
                </c:pt>
                <c:pt idx="22">
                  <c:v>54.56431519975645</c:v>
                </c:pt>
                <c:pt idx="23">
                  <c:v>53.435007462786984</c:v>
                </c:pt>
                <c:pt idx="24">
                  <c:v>52.09037149055713</c:v>
                </c:pt>
                <c:pt idx="25">
                  <c:v>50.561347514311564</c:v>
                </c:pt>
                <c:pt idx="26">
                  <c:v>48.887145552405464</c:v>
                </c:pt>
                <c:pt idx="27">
                  <c:v>47.10604217413269</c:v>
                </c:pt>
                <c:pt idx="28">
                  <c:v>45.25005817990046</c:v>
                </c:pt>
                <c:pt idx="29">
                  <c:v>43.343446488269436</c:v>
                </c:pt>
                <c:pt idx="30">
                  <c:v>41.403420839414565</c:v>
                </c:pt>
                <c:pt idx="31">
                  <c:v>39.44169272994968</c:v>
                </c:pt>
                <c:pt idx="32">
                  <c:v>37.4660153569308</c:v>
                </c:pt>
                <c:pt idx="33">
                  <c:v>35.481432283241986</c:v>
                </c:pt>
                <c:pt idx="34">
                  <c:v>33.49118794114099</c:v>
                </c:pt>
                <c:pt idx="35">
                  <c:v>31.49735463991955</c:v>
                </c:pt>
                <c:pt idx="36">
                  <c:v>29.5012500740382</c:v>
                </c:pt>
                <c:pt idx="37">
                  <c:v>27.503709725816414</c:v>
                </c:pt>
                <c:pt idx="38">
                  <c:v>25.50526237823986</c:v>
                </c:pt>
                <c:pt idx="39">
                  <c:v>23.5062423213791</c:v>
                </c:pt>
                <c:pt idx="40">
                  <c:v>21.506860737489966</c:v>
                </c:pt>
                <c:pt idx="41">
                  <c:v>19.50725097699147</c:v>
                </c:pt>
                <c:pt idx="42">
                  <c:v>17.507497219514477</c:v>
                </c:pt>
                <c:pt idx="43">
                  <c:v>15.507652595227077</c:v>
                </c:pt>
                <c:pt idx="44">
                  <c:v>13.507750633534322</c:v>
                </c:pt>
                <c:pt idx="45">
                  <c:v>11.507812492663103</c:v>
                </c:pt>
                <c:pt idx="46">
                  <c:v>9.507851523588059</c:v>
                </c:pt>
                <c:pt idx="47">
                  <c:v>7.507876150617322</c:v>
                </c:pt>
                <c:pt idx="48">
                  <c:v>5.507891689294136</c:v>
                </c:pt>
                <c:pt idx="49">
                  <c:v>3.5079014935650203</c:v>
                </c:pt>
                <c:pt idx="50">
                  <c:v>1.5079076796531707</c:v>
                </c:pt>
              </c:numCache>
            </c:numRef>
          </c:yVal>
          <c:smooth val="1"/>
        </c:ser>
        <c:axId val="58074458"/>
        <c:axId val="52908075"/>
      </c:scatterChart>
      <c:scatterChart>
        <c:scatterStyle val="lineMarker"/>
        <c:varyColors val="0"/>
        <c:ser>
          <c:idx val="2"/>
          <c:order val="2"/>
          <c:tx>
            <c:v>Total Open Loop Phase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data!$O$114:$O$164</c:f>
              <c:numCache>
                <c:ptCount val="51"/>
                <c:pt idx="0">
                  <c:v>-0.3671456550860599</c:v>
                </c:pt>
                <c:pt idx="1">
                  <c:v>-0.4622052949011273</c:v>
                </c:pt>
                <c:pt idx="2">
                  <c:v>-0.5818746087887493</c:v>
                </c:pt>
                <c:pt idx="3">
                  <c:v>-0.7325220024708434</c:v>
                </c:pt>
                <c:pt idx="4">
                  <c:v>-0.9221611781172233</c:v>
                </c:pt>
                <c:pt idx="5">
                  <c:v>-1.1608735178292495</c:v>
                </c:pt>
                <c:pt idx="6">
                  <c:v>-1.4613362305422672</c:v>
                </c:pt>
                <c:pt idx="7">
                  <c:v>-1.839480074808328</c:v>
                </c:pt>
                <c:pt idx="8">
                  <c:v>-2.3153031080588797</c:v>
                </c:pt>
                <c:pt idx="9">
                  <c:v>-2.913866783456599</c:v>
                </c:pt>
                <c:pt idx="10">
                  <c:v>-3.666493796040987</c:v>
                </c:pt>
                <c:pt idx="11">
                  <c:v>-4.612165290034043</c:v>
                </c:pt>
                <c:pt idx="12">
                  <c:v>-5.799062758119242</c:v>
                </c:pt>
                <c:pt idx="13">
                  <c:v>-7.286088385333918</c:v>
                </c:pt>
                <c:pt idx="14">
                  <c:v>-9.143977314243807</c:v>
                </c:pt>
                <c:pt idx="15">
                  <c:v>-11.45521233503249</c:v>
                </c:pt>
                <c:pt idx="16">
                  <c:v>-14.311286847126565</c:v>
                </c:pt>
                <c:pt idx="17">
                  <c:v>-17.804950590223886</c:v>
                </c:pt>
                <c:pt idx="18">
                  <c:v>-22.014307137993487</c:v>
                </c:pt>
                <c:pt idx="19">
                  <c:v>-26.976303162124207</c:v>
                </c:pt>
                <c:pt idx="20">
                  <c:v>-32.6517008920097</c:v>
                </c:pt>
                <c:pt idx="21">
                  <c:v>-38.893740668497806</c:v>
                </c:pt>
                <c:pt idx="22">
                  <c:v>-45.44337420909592</c:v>
                </c:pt>
                <c:pt idx="23">
                  <c:v>-51.97001237487723</c:v>
                </c:pt>
                <c:pt idx="24">
                  <c:v>-58.14867939076802</c:v>
                </c:pt>
                <c:pt idx="25">
                  <c:v>-63.7341247957659</c:v>
                </c:pt>
                <c:pt idx="26">
                  <c:v>-68.59516896218103</c:v>
                </c:pt>
                <c:pt idx="27">
                  <c:v>-72.7049211546984</c:v>
                </c:pt>
                <c:pt idx="28">
                  <c:v>-76.10778161190846</c:v>
                </c:pt>
                <c:pt idx="29">
                  <c:v>-78.8851219471248</c:v>
                </c:pt>
                <c:pt idx="30">
                  <c:v>-81.13023537870663</c:v>
                </c:pt>
                <c:pt idx="31">
                  <c:v>-82.9337147263861</c:v>
                </c:pt>
                <c:pt idx="32">
                  <c:v>-84.3765444593781</c:v>
                </c:pt>
                <c:pt idx="33">
                  <c:v>-85.5278361898926</c:v>
                </c:pt>
                <c:pt idx="34">
                  <c:v>-86.44497133278301</c:v>
                </c:pt>
                <c:pt idx="35">
                  <c:v>-87.17480291221516</c:v>
                </c:pt>
                <c:pt idx="36">
                  <c:v>-87.75519494293586</c:v>
                </c:pt>
                <c:pt idx="37">
                  <c:v>-88.21655124847905</c:v>
                </c:pt>
                <c:pt idx="38">
                  <c:v>-88.58318745152643</c:v>
                </c:pt>
                <c:pt idx="39">
                  <c:v>-88.87450113437686</c:v>
                </c:pt>
                <c:pt idx="40">
                  <c:v>-89.10594203548025</c:v>
                </c:pt>
                <c:pt idx="41">
                  <c:v>-89.28980324325204</c:v>
                </c:pt>
                <c:pt idx="42">
                  <c:v>-89.43586000168816</c:v>
                </c:pt>
                <c:pt idx="43">
                  <c:v>-89.55188232693988</c:v>
                </c:pt>
                <c:pt idx="44">
                  <c:v>-89.64404480133912</c:v>
                </c:pt>
                <c:pt idx="45">
                  <c:v>-89.71725339296201</c:v>
                </c:pt>
                <c:pt idx="46">
                  <c:v>-89.77540571393166</c:v>
                </c:pt>
                <c:pt idx="47">
                  <c:v>-89.82159808000364</c:v>
                </c:pt>
                <c:pt idx="48">
                  <c:v>-89.8582901488093</c:v>
                </c:pt>
                <c:pt idx="49">
                  <c:v>-89.88743577935543</c:v>
                </c:pt>
                <c:pt idx="50">
                  <c:v>-89.91058701886901</c:v>
                </c:pt>
              </c:numCache>
            </c:numRef>
          </c:yVal>
          <c:smooth val="1"/>
        </c:ser>
        <c:axId val="6410628"/>
        <c:axId val="57695653"/>
      </c:scatterChart>
      <c:valAx>
        <c:axId val="58074458"/>
        <c:scaling>
          <c:logBase val="10"/>
          <c:orientation val="minMax"/>
          <c:max val="1000"/>
          <c:min val="0.01"/>
        </c:scaling>
        <c:axPos val="b"/>
        <c:title>
          <c:tx>
            <c:rich>
              <a:bodyPr vert="horz" rot="0" anchor="ctr"/>
              <a:lstStyle/>
              <a:p>
                <a:pPr algn="ctr">
                  <a:defRPr/>
                </a:pPr>
                <a:r>
                  <a:rPr lang="en-US" cap="none" sz="1050" b="1" i="0" u="none" baseline="0">
                    <a:solidFill>
                      <a:srgbClr val="000000"/>
                    </a:solidFill>
                    <a:latin typeface="Arial"/>
                    <a:ea typeface="Arial"/>
                    <a:cs typeface="Arial"/>
                  </a:rPr>
                  <a:t>Frequency (Hz)</a:t>
                </a:r>
              </a:p>
            </c:rich>
          </c:tx>
          <c:layout>
            <c:manualLayout>
              <c:xMode val="factor"/>
              <c:yMode val="factor"/>
              <c:x val="-0.0085"/>
              <c:y val="-0.002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out"/>
        <c:minorTickMark val="none"/>
        <c:tickLblPos val="nextTo"/>
        <c:spPr>
          <a:ln w="3175">
            <a:solidFill>
              <a:srgbClr val="000000"/>
            </a:solidFill>
          </a:ln>
        </c:spPr>
        <c:crossAx val="52908075"/>
        <c:crossesAt val="-100"/>
        <c:crossBetween val="midCat"/>
        <c:dispUnits/>
        <c:majorUnit val="10"/>
        <c:minorUnit val="10"/>
      </c:valAx>
      <c:valAx>
        <c:axId val="52908075"/>
        <c:scaling>
          <c:orientation val="minMax"/>
          <c:max val="100"/>
          <c:min val="-100"/>
        </c:scaling>
        <c:axPos val="l"/>
        <c:title>
          <c:tx>
            <c:rich>
              <a:bodyPr vert="horz" rot="-5400000" anchor="ctr"/>
              <a:lstStyle/>
              <a:p>
                <a:pPr algn="ctr">
                  <a:defRPr/>
                </a:pPr>
                <a:r>
                  <a:rPr lang="en-US" cap="none" sz="1050" b="1" i="0" u="none" baseline="0">
                    <a:solidFill>
                      <a:srgbClr val="000000"/>
                    </a:solidFill>
                    <a:latin typeface="Arial"/>
                    <a:ea typeface="Arial"/>
                    <a:cs typeface="Arial"/>
                  </a:rPr>
                  <a:t>Gain (dB)</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074458"/>
        <c:crossesAt val="0.01"/>
        <c:crossBetween val="midCat"/>
        <c:dispUnits/>
      </c:valAx>
      <c:valAx>
        <c:axId val="6410628"/>
        <c:scaling>
          <c:logBase val="10"/>
          <c:orientation val="minMax"/>
        </c:scaling>
        <c:axPos val="b"/>
        <c:delete val="1"/>
        <c:majorTickMark val="out"/>
        <c:minorTickMark val="none"/>
        <c:tickLblPos val="nextTo"/>
        <c:crossAx val="57695653"/>
        <c:crosses val="max"/>
        <c:crossBetween val="midCat"/>
        <c:dispUnits/>
      </c:valAx>
      <c:valAx>
        <c:axId val="57695653"/>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Phase (degrees)</a:t>
                </a:r>
              </a:p>
            </c:rich>
          </c:tx>
          <c:layout>
            <c:manualLayout>
              <c:xMode val="factor"/>
              <c:yMode val="factor"/>
              <c:x val="-0.0087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410628"/>
        <c:crosses val="max"/>
        <c:crossBetween val="midCat"/>
        <c:dispUnits/>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1675"/>
          <c:y val="0.94975"/>
          <c:w val="0.66"/>
          <c:h val="0.04575"/>
        </c:manualLayout>
      </c:layout>
      <c:overlay val="0"/>
      <c:spPr>
        <a:solidFill>
          <a:srgbClr val="FFFFFF"/>
        </a:solidFill>
        <a:ln w="3175">
          <a:solidFill>
            <a:srgbClr val="000000"/>
          </a:solidFill>
        </a:ln>
      </c:spPr>
      <c:txPr>
        <a:bodyPr vert="horz" rot="0"/>
        <a:lstStyle/>
        <a:p>
          <a:pPr>
            <a:defRPr lang="en-US" cap="none" sz="7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Closed-Loop Bode Plot</a:t>
            </a:r>
          </a:p>
        </c:rich>
      </c:tx>
      <c:layout>
        <c:manualLayout>
          <c:xMode val="factor"/>
          <c:yMode val="factor"/>
          <c:x val="-0.027"/>
          <c:y val="0"/>
        </c:manualLayout>
      </c:layout>
      <c:spPr>
        <a:noFill/>
        <a:ln>
          <a:noFill/>
        </a:ln>
      </c:spPr>
    </c:title>
    <c:plotArea>
      <c:layout>
        <c:manualLayout>
          <c:xMode val="edge"/>
          <c:yMode val="edge"/>
          <c:x val="0.05"/>
          <c:y val="0.108"/>
          <c:w val="0.89725"/>
          <c:h val="0.765"/>
        </c:manualLayout>
      </c:layout>
      <c:scatterChart>
        <c:scatterStyle val="smoothMarker"/>
        <c:varyColors val="0"/>
        <c:ser>
          <c:idx val="0"/>
          <c:order val="0"/>
          <c:tx>
            <c:v>EA Gain</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data!$Q$114:$Q$164</c:f>
              <c:numCache>
                <c:ptCount val="51"/>
                <c:pt idx="0">
                  <c:v>41.52230811707447</c:v>
                </c:pt>
                <c:pt idx="1">
                  <c:v>39.52241158210478</c:v>
                </c:pt>
                <c:pt idx="2">
                  <c:v>37.52257555799393</c:v>
                </c:pt>
                <c:pt idx="3">
                  <c:v>35.5228354293717</c:v>
                </c:pt>
                <c:pt idx="4">
                  <c:v>33.52324726536832</c:v>
                </c:pt>
                <c:pt idx="5">
                  <c:v>31.523899900115357</c:v>
                </c:pt>
                <c:pt idx="6">
                  <c:v>29.524934052282077</c:v>
                </c:pt>
                <c:pt idx="7">
                  <c:v>27.52657256034487</c:v>
                </c:pt>
                <c:pt idx="8">
                  <c:v>25.529168133910062</c:v>
                </c:pt>
                <c:pt idx="9">
                  <c:v>23.53327861288878</c:v>
                </c:pt>
                <c:pt idx="10">
                  <c:v>21.539785191501192</c:v>
                </c:pt>
                <c:pt idx="11">
                  <c:v>19.550077164312327</c:v>
                </c:pt>
                <c:pt idx="12">
                  <c:v>17.566338212623194</c:v>
                </c:pt>
                <c:pt idx="13">
                  <c:v>15.591984086098405</c:v>
                </c:pt>
                <c:pt idx="14">
                  <c:v>13.632317189458034</c:v>
                </c:pt>
                <c:pt idx="15">
                  <c:v>11.69547053188406</c:v>
                </c:pt>
                <c:pt idx="16">
                  <c:v>9.79368644809038</c:v>
                </c:pt>
                <c:pt idx="17">
                  <c:v>7.9448603968431115</c:v>
                </c:pt>
                <c:pt idx="18">
                  <c:v>6.173989599570281</c:v>
                </c:pt>
                <c:pt idx="19">
                  <c:v>4.51363248123839</c:v>
                </c:pt>
                <c:pt idx="20">
                  <c:v>3.001863752716518</c:v>
                </c:pt>
                <c:pt idx="21">
                  <c:v>1.676217495781169</c:v>
                </c:pt>
                <c:pt idx="22">
                  <c:v>0.5638873161520342</c:v>
                </c:pt>
                <c:pt idx="23">
                  <c:v>-0.3280962649697381</c:v>
                </c:pt>
                <c:pt idx="24">
                  <c:v>-1.0170802829185297</c:v>
                </c:pt>
                <c:pt idx="25">
                  <c:v>-1.5408997135665863</c:v>
                </c:pt>
                <c:pt idx="26">
                  <c:v>-1.949228736172165</c:v>
                </c:pt>
                <c:pt idx="27">
                  <c:v>-2.2958560505679064</c:v>
                </c:pt>
                <c:pt idx="28">
                  <c:v>-2.634958471011016</c:v>
                </c:pt>
                <c:pt idx="29">
                  <c:v>-3.0206628991555324</c:v>
                </c:pt>
                <c:pt idx="30">
                  <c:v>-3.5070605693846697</c:v>
                </c:pt>
                <c:pt idx="31">
                  <c:v>-4.145596999003434</c:v>
                </c:pt>
                <c:pt idx="32">
                  <c:v>-4.978328103187583</c:v>
                </c:pt>
                <c:pt idx="33">
                  <c:v>-6.029001339417398</c:v>
                </c:pt>
                <c:pt idx="34">
                  <c:v>-7.297298844648122</c:v>
                </c:pt>
                <c:pt idx="35">
                  <c:v>-8.760793367123787</c:v>
                </c:pt>
                <c:pt idx="36">
                  <c:v>-10.383744578003991</c:v>
                </c:pt>
                <c:pt idx="37">
                  <c:v>-12.127429326740767</c:v>
                </c:pt>
                <c:pt idx="38">
                  <c:v>-13.957398300010041</c:v>
                </c:pt>
                <c:pt idx="39">
                  <c:v>-15.846520977912776</c:v>
                </c:pt>
                <c:pt idx="40">
                  <c:v>-17.775050480220283</c:v>
                </c:pt>
                <c:pt idx="41">
                  <c:v>-19.729332190064515</c:v>
                </c:pt>
                <c:pt idx="42">
                  <c:v>-21.70023200658489</c:v>
                </c:pt>
                <c:pt idx="43">
                  <c:v>-23.681768484553306</c:v>
                </c:pt>
                <c:pt idx="44">
                  <c:v>-25.670077588465205</c:v>
                </c:pt>
                <c:pt idx="45">
                  <c:v>-27.6626846335609</c:v>
                </c:pt>
                <c:pt idx="46">
                  <c:v>-29.6580134021327</c:v>
                </c:pt>
                <c:pt idx="47">
                  <c:v>-31.655063423832424</c:v>
                </c:pt>
                <c:pt idx="48">
                  <c:v>-33.65320106458923</c:v>
                </c:pt>
                <c:pt idx="49">
                  <c:v>-35.652025577437165</c:v>
                </c:pt>
                <c:pt idx="50">
                  <c:v>-37.65128372871514</c:v>
                </c:pt>
              </c:numCache>
            </c:numRef>
          </c:yVal>
          <c:smooth val="1"/>
        </c:ser>
        <c:ser>
          <c:idx val="1"/>
          <c:order val="1"/>
          <c:tx>
            <c:v>Total Closed  Loop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data!$S$114:$S$164</c:f>
              <c:numCache>
                <c:ptCount val="51"/>
                <c:pt idx="0">
                  <c:v>61.41733052850394</c:v>
                </c:pt>
                <c:pt idx="1">
                  <c:v>59.417329694271174</c:v>
                </c:pt>
                <c:pt idx="2">
                  <c:v>57.41732837209898</c:v>
                </c:pt>
                <c:pt idx="3">
                  <c:v>55.41732627659129</c:v>
                </c:pt>
                <c:pt idx="4">
                  <c:v>53.41732295542016</c:v>
                </c:pt>
                <c:pt idx="5">
                  <c:v>51.41731769168048</c:v>
                </c:pt>
                <c:pt idx="6">
                  <c:v>49.41730934911973</c:v>
                </c:pt>
                <c:pt idx="7">
                  <c:v>47.417296126811806</c:v>
                </c:pt>
                <c:pt idx="8">
                  <c:v>45.41727517026362</c:v>
                </c:pt>
                <c:pt idx="9">
                  <c:v>43.41724195486344</c:v>
                </c:pt>
                <c:pt idx="10">
                  <c:v>41.41718930822287</c:v>
                </c:pt>
                <c:pt idx="11">
                  <c:v>39.41710585948143</c:v>
                </c:pt>
                <c:pt idx="12">
                  <c:v>37.41697357863669</c:v>
                </c:pt>
                <c:pt idx="13">
                  <c:v>35.41676386940722</c:v>
                </c:pt>
                <c:pt idx="14">
                  <c:v>33.41643135961938</c:v>
                </c:pt>
                <c:pt idx="15">
                  <c:v>31.415904020021767</c:v>
                </c:pt>
                <c:pt idx="16">
                  <c:v>29.41506741745682</c:v>
                </c:pt>
                <c:pt idx="17">
                  <c:v>27.413739587472357</c:v>
                </c:pt>
                <c:pt idx="18">
                  <c:v>25.411630930747936</c:v>
                </c:pt>
                <c:pt idx="19">
                  <c:v>23.408280374331465</c:v>
                </c:pt>
                <c:pt idx="20">
                  <c:v>21.402954483062935</c:v>
                </c:pt>
                <c:pt idx="21">
                  <c:v>19.394489932518837</c:v>
                </c:pt>
                <c:pt idx="22">
                  <c:v>17.38105090163686</c:v>
                </c:pt>
                <c:pt idx="23">
                  <c:v>15.359759583545616</c:v>
                </c:pt>
                <c:pt idx="24">
                  <c:v>13.326139593366966</c:v>
                </c:pt>
                <c:pt idx="25">
                  <c:v>11.27329618647336</c:v>
                </c:pt>
                <c:pt idx="26">
                  <c:v>9.190765201961664</c:v>
                </c:pt>
                <c:pt idx="27">
                  <c:v>7.063034509293162</c:v>
                </c:pt>
                <c:pt idx="28">
                  <c:v>4.867948094617832</c:v>
                </c:pt>
                <c:pt idx="29">
                  <c:v>2.575631974842285</c:v>
                </c:pt>
                <c:pt idx="30">
                  <c:v>0.14920865575826953</c:v>
                </c:pt>
                <c:pt idx="31">
                  <c:v>-2.4510558833253957</c:v>
                </c:pt>
                <c:pt idx="32">
                  <c:v>-5.259464360528401</c:v>
                </c:pt>
                <c:pt idx="33">
                  <c:v>-8.294720670447033</c:v>
                </c:pt>
                <c:pt idx="34">
                  <c:v>-11.553262517778773</c:v>
                </c:pt>
                <c:pt idx="35">
                  <c:v>-15.010590341475877</c:v>
                </c:pt>
                <c:pt idx="36">
                  <c:v>-18.62964611823744</c:v>
                </c:pt>
                <c:pt idx="37">
                  <c:v>-22.370871215195987</c:v>
                </c:pt>
                <c:pt idx="38">
                  <c:v>-26.199287536041822</c:v>
                </c:pt>
                <c:pt idx="39">
                  <c:v>-30.087430270805292</c:v>
                </c:pt>
                <c:pt idx="40">
                  <c:v>-34.015341357001944</c:v>
                </c:pt>
                <c:pt idx="41">
                  <c:v>-37.969232827344676</c:v>
                </c:pt>
                <c:pt idx="42">
                  <c:v>-41.93988640134205</c:v>
                </c:pt>
                <c:pt idx="43">
                  <c:v>-45.92126750359786</c:v>
                </c:pt>
                <c:pt idx="44">
                  <c:v>-49.90947856920251</c:v>
                </c:pt>
                <c:pt idx="45">
                  <c:v>-53.902023755169424</c:v>
                </c:pt>
                <c:pt idx="46">
                  <c:v>-57.89731349281628</c:v>
                </c:pt>
                <c:pt idx="47">
                  <c:v>-61.89433888748671</c:v>
                </c:pt>
                <c:pt idx="48">
                  <c:v>-65.89246098956671</c:v>
                </c:pt>
                <c:pt idx="49">
                  <c:v>-69.89127569814374</c:v>
                </c:pt>
                <c:pt idx="50">
                  <c:v>-73.89052766333357</c:v>
                </c:pt>
              </c:numCache>
            </c:numRef>
          </c:yVal>
          <c:smooth val="1"/>
        </c:ser>
        <c:axId val="49498830"/>
        <c:axId val="42836287"/>
      </c:scatterChart>
      <c:scatterChart>
        <c:scatterStyle val="lineMarker"/>
        <c:varyColors val="0"/>
        <c:ser>
          <c:idx val="2"/>
          <c:order val="2"/>
          <c:tx>
            <c:v>Total Closed Loop Phase Margin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data!$T$114:$T$164</c:f>
              <c:numCache>
                <c:ptCount val="51"/>
                <c:pt idx="0">
                  <c:v>89.96666750325565</c:v>
                </c:pt>
                <c:pt idx="1">
                  <c:v>89.95803687409999</c:v>
                </c:pt>
                <c:pt idx="2">
                  <c:v>89.9471715570202</c:v>
                </c:pt>
                <c:pt idx="3">
                  <c:v>89.9334929358037</c:v>
                </c:pt>
                <c:pt idx="4">
                  <c:v>89.91627257706993</c:v>
                </c:pt>
                <c:pt idx="5">
                  <c:v>89.89459344006748</c:v>
                </c:pt>
                <c:pt idx="6">
                  <c:v>89.86730104396884</c:v>
                </c:pt>
                <c:pt idx="7">
                  <c:v>89.83294199367354</c:v>
                </c:pt>
                <c:pt idx="8">
                  <c:v>89.78968659346751</c:v>
                </c:pt>
                <c:pt idx="9">
                  <c:v>89.73523143363052</c:v>
                </c:pt>
                <c:pt idx="10">
                  <c:v>89.66667677493658</c:v>
                </c:pt>
                <c:pt idx="11">
                  <c:v>89.58037222701957</c:v>
                </c:pt>
                <c:pt idx="12">
                  <c:v>89.47172255562634</c:v>
                </c:pt>
                <c:pt idx="13">
                  <c:v>89.33494338942042</c:v>
                </c:pt>
                <c:pt idx="14">
                  <c:v>89.16275405852745</c:v>
                </c:pt>
                <c:pt idx="15">
                  <c:v>88.94599174213181</c:v>
                </c:pt>
                <c:pt idx="16">
                  <c:v>88.67312759070514</c:v>
                </c:pt>
                <c:pt idx="17">
                  <c:v>88.32966185494408</c:v>
                </c:pt>
                <c:pt idx="18">
                  <c:v>87.89737225502765</c:v>
                </c:pt>
                <c:pt idx="19">
                  <c:v>87.35338993578138</c:v>
                </c:pt>
                <c:pt idx="20">
                  <c:v>86.66908381885669</c:v>
                </c:pt>
                <c:pt idx="21">
                  <c:v>85.80875124715142</c:v>
                </c:pt>
                <c:pt idx="22">
                  <c:v>84.72814654923509</c:v>
                </c:pt>
                <c:pt idx="23">
                  <c:v>83.37294823285109</c:v>
                </c:pt>
                <c:pt idx="24">
                  <c:v>81.6774220472535</c:v>
                </c:pt>
                <c:pt idx="25">
                  <c:v>79.5638647557811</c:v>
                </c:pt>
                <c:pt idx="26">
                  <c:v>76.94398618408037</c:v>
                </c:pt>
                <c:pt idx="27">
                  <c:v>73.72422016574589</c:v>
                </c:pt>
                <c:pt idx="28">
                  <c:v>69.81785951889327</c:v>
                </c:pt>
                <c:pt idx="29">
                  <c:v>65.16705761513649</c:v>
                </c:pt>
                <c:pt idx="30">
                  <c:v>59.77512628177446</c:v>
                </c:pt>
                <c:pt idx="31">
                  <c:v>53.741695487879355</c:v>
                </c:pt>
                <c:pt idx="32">
                  <c:v>47.28153277819945</c:v>
                </c:pt>
                <c:pt idx="33">
                  <c:v>40.703577251015474</c:v>
                </c:pt>
                <c:pt idx="34">
                  <c:v>34.34534695043587</c:v>
                </c:pt>
                <c:pt idx="35">
                  <c:v>28.491984416406694</c:v>
                </c:pt>
                <c:pt idx="36">
                  <c:v>23.32283576996315</c:v>
                </c:pt>
                <c:pt idx="37">
                  <c:v>18.904633114609254</c:v>
                </c:pt>
                <c:pt idx="38">
                  <c:v>15.217978491876295</c:v>
                </c:pt>
                <c:pt idx="39">
                  <c:v>12.193111140387856</c:v>
                </c:pt>
                <c:pt idx="40">
                  <c:v>9.739337412027709</c:v>
                </c:pt>
                <c:pt idx="41">
                  <c:v>7.763743882235701</c:v>
                </c:pt>
                <c:pt idx="42">
                  <c:v>6.180894930012471</c:v>
                </c:pt>
                <c:pt idx="43">
                  <c:v>4.916689352074968</c:v>
                </c:pt>
                <c:pt idx="44">
                  <c:v>3.9090033575340613</c:v>
                </c:pt>
                <c:pt idx="45">
                  <c:v>3.1068097515166357</c:v>
                </c:pt>
                <c:pt idx="46">
                  <c:v>2.4687193232258835</c:v>
                </c:pt>
                <c:pt idx="47">
                  <c:v>1.9614213059238352</c:v>
                </c:pt>
                <c:pt idx="48">
                  <c:v>1.5582369276551447</c:v>
                </c:pt>
                <c:pt idx="49">
                  <c:v>1.2378642044203332</c:v>
                </c:pt>
                <c:pt idx="50">
                  <c:v>0.9833269453025366</c:v>
                </c:pt>
              </c:numCache>
            </c:numRef>
          </c:yVal>
          <c:smooth val="1"/>
        </c:ser>
        <c:axId val="49982264"/>
        <c:axId val="47187193"/>
      </c:scatterChart>
      <c:valAx>
        <c:axId val="49498830"/>
        <c:scaling>
          <c:logBase val="10"/>
          <c:orientation val="minMax"/>
          <c:max val="1000"/>
          <c:min val="0.01"/>
        </c:scaling>
        <c:axPos val="b"/>
        <c:title>
          <c:tx>
            <c:rich>
              <a:bodyPr vert="horz" rot="0" anchor="ctr"/>
              <a:lstStyle/>
              <a:p>
                <a:pPr algn="ctr">
                  <a:defRPr/>
                </a:pPr>
                <a:r>
                  <a:rPr lang="en-US" cap="none" sz="1150" b="1" i="0" u="none" baseline="0">
                    <a:solidFill>
                      <a:srgbClr val="000000"/>
                    </a:solidFill>
                    <a:latin typeface="Arial"/>
                    <a:ea typeface="Arial"/>
                    <a:cs typeface="Arial"/>
                  </a:rPr>
                  <a:t>Frequency (Hz)</a:t>
                </a:r>
              </a:p>
            </c:rich>
          </c:tx>
          <c:layout>
            <c:manualLayout>
              <c:xMode val="factor"/>
              <c:yMode val="factor"/>
              <c:x val="-0.00925"/>
              <c:y val="-0.00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out"/>
        <c:minorTickMark val="none"/>
        <c:tickLblPos val="nextTo"/>
        <c:spPr>
          <a:ln w="3175">
            <a:solidFill>
              <a:srgbClr val="000000"/>
            </a:solidFill>
          </a:ln>
        </c:spPr>
        <c:crossAx val="42836287"/>
        <c:crossesAt val="-150"/>
        <c:crossBetween val="midCat"/>
        <c:dispUnits/>
        <c:majorUnit val="10"/>
        <c:minorUnit val="10"/>
      </c:valAx>
      <c:valAx>
        <c:axId val="42836287"/>
        <c:scaling>
          <c:orientation val="minMax"/>
          <c:max val="100"/>
        </c:scaling>
        <c:axPos val="l"/>
        <c:title>
          <c:tx>
            <c:rich>
              <a:bodyPr vert="horz" rot="-5400000" anchor="ctr"/>
              <a:lstStyle/>
              <a:p>
                <a:pPr algn="ctr">
                  <a:defRPr/>
                </a:pPr>
                <a:r>
                  <a:rPr lang="en-US" cap="none" sz="1150" b="1" i="0" u="none" baseline="0">
                    <a:solidFill>
                      <a:srgbClr val="000000"/>
                    </a:solidFill>
                    <a:latin typeface="Arial"/>
                    <a:ea typeface="Arial"/>
                    <a:cs typeface="Arial"/>
                  </a:rPr>
                  <a:t>Gain (dB)</a:t>
                </a:r>
              </a:p>
            </c:rich>
          </c:tx>
          <c:layout>
            <c:manualLayout>
              <c:xMode val="factor"/>
              <c:yMode val="factor"/>
              <c:x val="-0.013"/>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498830"/>
        <c:crossesAt val="0.01"/>
        <c:crossBetween val="midCat"/>
        <c:dispUnits/>
      </c:valAx>
      <c:valAx>
        <c:axId val="49982264"/>
        <c:scaling>
          <c:logBase val="10"/>
          <c:orientation val="minMax"/>
        </c:scaling>
        <c:axPos val="b"/>
        <c:delete val="1"/>
        <c:majorTickMark val="out"/>
        <c:minorTickMark val="none"/>
        <c:tickLblPos val="nextTo"/>
        <c:crossAx val="47187193"/>
        <c:crosses val="max"/>
        <c:crossBetween val="midCat"/>
        <c:dispUnits/>
      </c:valAx>
      <c:valAx>
        <c:axId val="47187193"/>
        <c:scaling>
          <c:orientation val="minMax"/>
          <c:max val="100"/>
          <c:min val="0"/>
        </c:scaling>
        <c:axPos val="l"/>
        <c:title>
          <c:tx>
            <c:rich>
              <a:bodyPr vert="horz" rot="5400000" anchor="ctr"/>
              <a:lstStyle/>
              <a:p>
                <a:pPr algn="ctr">
                  <a:defRPr/>
                </a:pPr>
                <a:r>
                  <a:rPr lang="en-US" cap="none" sz="1125" b="1" i="0" u="none" baseline="0">
                    <a:solidFill>
                      <a:srgbClr val="000000"/>
                    </a:solidFill>
                    <a:latin typeface="Arial"/>
                    <a:ea typeface="Arial"/>
                    <a:cs typeface="Arial"/>
                  </a:rPr>
                  <a:t>Phase (degrees)</a:t>
                </a:r>
              </a:p>
            </c:rich>
          </c:tx>
          <c:layout>
            <c:manualLayout>
              <c:xMode val="factor"/>
              <c:yMode val="factor"/>
              <c:x val="-0.007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49982264"/>
        <c:crosses val="max"/>
        <c:crossBetween val="midCat"/>
        <c:dispUnits/>
        <c:majorUnit val="20"/>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15625"/>
          <c:y val="0.94475"/>
          <c:w val="0.684"/>
          <c:h val="0.04525"/>
        </c:manualLayout>
      </c:layout>
      <c:overlay val="0"/>
      <c:spPr>
        <a:solidFill>
          <a:srgbClr val="FFFFFF"/>
        </a:solidFill>
        <a:ln w="3175">
          <a:solidFill>
            <a:srgbClr val="000000"/>
          </a:solidFill>
        </a:ln>
      </c:spPr>
      <c:txPr>
        <a:bodyPr vert="horz" rot="0"/>
        <a:lstStyle/>
        <a:p>
          <a:pPr>
            <a:defRPr lang="en-US" cap="none" sz="8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VCOMP &amp; ICOMP at Full Load as a Function of Line Voltage</a:t>
            </a:r>
          </a:p>
        </c:rich>
      </c:tx>
      <c:layout>
        <c:manualLayout>
          <c:xMode val="factor"/>
          <c:yMode val="factor"/>
          <c:x val="-0.01325"/>
          <c:y val="-0.00425"/>
        </c:manualLayout>
      </c:layout>
      <c:spPr>
        <a:noFill/>
        <a:ln w="3175">
          <a:noFill/>
        </a:ln>
      </c:spPr>
    </c:title>
    <c:plotArea>
      <c:layout>
        <c:manualLayout>
          <c:xMode val="edge"/>
          <c:yMode val="edge"/>
          <c:x val="0.0395"/>
          <c:y val="0.0745"/>
          <c:w val="0.816"/>
          <c:h val="0.8625"/>
        </c:manualLayout>
      </c:layout>
      <c:scatterChart>
        <c:scatterStyle val="lineMarker"/>
        <c:varyColors val="0"/>
        <c:ser>
          <c:idx val="0"/>
          <c:order val="0"/>
          <c:tx>
            <c:strRef>
              <c:f>VCOMP!$W$6</c:f>
              <c:strCache>
                <c:ptCount val="1"/>
                <c:pt idx="0">
                  <c:v>VCOMP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VCOMP!$G$7:$G$187</c:f>
              <c:numCache>
                <c:ptCount val="181"/>
                <c:pt idx="0">
                  <c:v>176</c:v>
                </c:pt>
                <c:pt idx="1">
                  <c:v>177</c:v>
                </c:pt>
                <c:pt idx="2">
                  <c:v>178</c:v>
                </c:pt>
                <c:pt idx="3">
                  <c:v>179</c:v>
                </c:pt>
                <c:pt idx="4">
                  <c:v>180</c:v>
                </c:pt>
                <c:pt idx="5">
                  <c:v>181</c:v>
                </c:pt>
                <c:pt idx="6">
                  <c:v>182</c:v>
                </c:pt>
                <c:pt idx="7">
                  <c:v>183</c:v>
                </c:pt>
                <c:pt idx="8">
                  <c:v>184</c:v>
                </c:pt>
                <c:pt idx="9">
                  <c:v>185</c:v>
                </c:pt>
                <c:pt idx="10">
                  <c:v>186</c:v>
                </c:pt>
                <c:pt idx="11">
                  <c:v>187</c:v>
                </c:pt>
                <c:pt idx="12">
                  <c:v>188</c:v>
                </c:pt>
                <c:pt idx="13">
                  <c:v>189</c:v>
                </c:pt>
                <c:pt idx="14">
                  <c:v>190</c:v>
                </c:pt>
                <c:pt idx="15">
                  <c:v>191</c:v>
                </c:pt>
                <c:pt idx="16">
                  <c:v>192</c:v>
                </c:pt>
                <c:pt idx="17">
                  <c:v>193</c:v>
                </c:pt>
                <c:pt idx="18">
                  <c:v>194</c:v>
                </c:pt>
                <c:pt idx="19">
                  <c:v>195</c:v>
                </c:pt>
                <c:pt idx="20">
                  <c:v>196</c:v>
                </c:pt>
                <c:pt idx="21">
                  <c:v>197</c:v>
                </c:pt>
                <c:pt idx="22">
                  <c:v>198</c:v>
                </c:pt>
                <c:pt idx="23">
                  <c:v>199</c:v>
                </c:pt>
                <c:pt idx="24">
                  <c:v>200</c:v>
                </c:pt>
                <c:pt idx="25">
                  <c:v>201</c:v>
                </c:pt>
                <c:pt idx="26">
                  <c:v>202</c:v>
                </c:pt>
                <c:pt idx="27">
                  <c:v>203</c:v>
                </c:pt>
                <c:pt idx="28">
                  <c:v>204</c:v>
                </c:pt>
                <c:pt idx="29">
                  <c:v>205</c:v>
                </c:pt>
                <c:pt idx="30">
                  <c:v>206</c:v>
                </c:pt>
                <c:pt idx="31">
                  <c:v>207</c:v>
                </c:pt>
                <c:pt idx="32">
                  <c:v>208</c:v>
                </c:pt>
                <c:pt idx="33">
                  <c:v>209</c:v>
                </c:pt>
                <c:pt idx="34">
                  <c:v>210</c:v>
                </c:pt>
                <c:pt idx="35">
                  <c:v>211</c:v>
                </c:pt>
                <c:pt idx="36">
                  <c:v>212</c:v>
                </c:pt>
                <c:pt idx="37">
                  <c:v>213</c:v>
                </c:pt>
                <c:pt idx="38">
                  <c:v>214</c:v>
                </c:pt>
                <c:pt idx="39">
                  <c:v>215</c:v>
                </c:pt>
                <c:pt idx="40">
                  <c:v>216</c:v>
                </c:pt>
                <c:pt idx="41">
                  <c:v>217</c:v>
                </c:pt>
                <c:pt idx="42">
                  <c:v>218</c:v>
                </c:pt>
                <c:pt idx="43">
                  <c:v>219</c:v>
                </c:pt>
                <c:pt idx="44">
                  <c:v>220</c:v>
                </c:pt>
                <c:pt idx="45">
                  <c:v>221</c:v>
                </c:pt>
                <c:pt idx="46">
                  <c:v>222</c:v>
                </c:pt>
                <c:pt idx="47">
                  <c:v>223</c:v>
                </c:pt>
                <c:pt idx="48">
                  <c:v>224</c:v>
                </c:pt>
                <c:pt idx="49">
                  <c:v>225</c:v>
                </c:pt>
                <c:pt idx="50">
                  <c:v>226</c:v>
                </c:pt>
                <c:pt idx="51">
                  <c:v>227</c:v>
                </c:pt>
                <c:pt idx="52">
                  <c:v>228</c:v>
                </c:pt>
                <c:pt idx="53">
                  <c:v>229</c:v>
                </c:pt>
                <c:pt idx="54">
                  <c:v>230</c:v>
                </c:pt>
                <c:pt idx="55">
                  <c:v>231</c:v>
                </c:pt>
                <c:pt idx="56">
                  <c:v>232</c:v>
                </c:pt>
                <c:pt idx="57">
                  <c:v>233</c:v>
                </c:pt>
                <c:pt idx="58">
                  <c:v>234</c:v>
                </c:pt>
                <c:pt idx="59">
                  <c:v>235</c:v>
                </c:pt>
                <c:pt idx="60">
                  <c:v>236</c:v>
                </c:pt>
                <c:pt idx="61">
                  <c:v>237</c:v>
                </c:pt>
                <c:pt idx="62">
                  <c:v>238</c:v>
                </c:pt>
                <c:pt idx="63">
                  <c:v>239</c:v>
                </c:pt>
                <c:pt idx="64">
                  <c:v>240</c:v>
                </c:pt>
                <c:pt idx="65">
                  <c:v>241</c:v>
                </c:pt>
                <c:pt idx="66">
                  <c:v>242</c:v>
                </c:pt>
                <c:pt idx="67">
                  <c:v>243</c:v>
                </c:pt>
                <c:pt idx="68">
                  <c:v>244</c:v>
                </c:pt>
                <c:pt idx="69">
                  <c:v>245</c:v>
                </c:pt>
                <c:pt idx="70">
                  <c:v>246</c:v>
                </c:pt>
                <c:pt idx="71">
                  <c:v>247</c:v>
                </c:pt>
                <c:pt idx="72">
                  <c:v>248</c:v>
                </c:pt>
                <c:pt idx="73">
                  <c:v>249</c:v>
                </c:pt>
                <c:pt idx="74">
                  <c:v>250</c:v>
                </c:pt>
                <c:pt idx="75">
                  <c:v>251</c:v>
                </c:pt>
                <c:pt idx="76">
                  <c:v>252</c:v>
                </c:pt>
                <c:pt idx="77">
                  <c:v>253</c:v>
                </c:pt>
                <c:pt idx="78">
                  <c:v>254</c:v>
                </c:pt>
                <c:pt idx="79">
                  <c:v>255</c:v>
                </c:pt>
                <c:pt idx="80">
                  <c:v>256</c:v>
                </c:pt>
                <c:pt idx="81">
                  <c:v>257</c:v>
                </c:pt>
                <c:pt idx="82">
                  <c:v>258</c:v>
                </c:pt>
                <c:pt idx="83">
                  <c:v>259</c:v>
                </c:pt>
                <c:pt idx="84">
                  <c:v>260</c:v>
                </c:pt>
                <c:pt idx="85">
                  <c:v>261</c:v>
                </c:pt>
                <c:pt idx="86">
                  <c:v>262</c:v>
                </c:pt>
                <c:pt idx="87">
                  <c:v>263</c:v>
                </c:pt>
                <c:pt idx="88">
                  <c:v>264</c:v>
                </c:pt>
                <c:pt idx="89">
                  <c:v>265</c:v>
                </c:pt>
                <c:pt idx="90">
                  <c:v>266</c:v>
                </c:pt>
                <c:pt idx="91">
                  <c:v>267</c:v>
                </c:pt>
                <c:pt idx="92">
                  <c:v>268</c:v>
                </c:pt>
                <c:pt idx="93">
                  <c:v>269</c:v>
                </c:pt>
                <c:pt idx="94">
                  <c:v>270</c:v>
                </c:pt>
                <c:pt idx="95">
                  <c:v>271</c:v>
                </c:pt>
                <c:pt idx="96">
                  <c:v>272</c:v>
                </c:pt>
                <c:pt idx="97">
                  <c:v>273</c:v>
                </c:pt>
                <c:pt idx="98">
                  <c:v>274</c:v>
                </c:pt>
                <c:pt idx="99">
                  <c:v>275</c:v>
                </c:pt>
                <c:pt idx="100">
                  <c:v>276</c:v>
                </c:pt>
                <c:pt idx="101">
                  <c:v>277</c:v>
                </c:pt>
                <c:pt idx="102">
                  <c:v>278</c:v>
                </c:pt>
                <c:pt idx="103">
                  <c:v>279</c:v>
                </c:pt>
                <c:pt idx="104">
                  <c:v>280</c:v>
                </c:pt>
                <c:pt idx="105">
                  <c:v>281</c:v>
                </c:pt>
                <c:pt idx="106">
                  <c:v>282</c:v>
                </c:pt>
                <c:pt idx="107">
                  <c:v>283</c:v>
                </c:pt>
                <c:pt idx="108">
                  <c:v>284</c:v>
                </c:pt>
                <c:pt idx="109">
                  <c:v>285</c:v>
                </c:pt>
                <c:pt idx="110">
                  <c:v>286</c:v>
                </c:pt>
                <c:pt idx="111">
                  <c:v>287</c:v>
                </c:pt>
                <c:pt idx="112">
                  <c:v>288</c:v>
                </c:pt>
                <c:pt idx="113">
                  <c:v>289</c:v>
                </c:pt>
                <c:pt idx="114">
                  <c:v>290</c:v>
                </c:pt>
                <c:pt idx="115">
                  <c:v>291</c:v>
                </c:pt>
                <c:pt idx="116">
                  <c:v>292</c:v>
                </c:pt>
                <c:pt idx="117">
                  <c:v>293</c:v>
                </c:pt>
                <c:pt idx="118">
                  <c:v>294</c:v>
                </c:pt>
                <c:pt idx="119">
                  <c:v>295</c:v>
                </c:pt>
                <c:pt idx="120">
                  <c:v>296</c:v>
                </c:pt>
                <c:pt idx="121">
                  <c:v>297</c:v>
                </c:pt>
                <c:pt idx="122">
                  <c:v>298</c:v>
                </c:pt>
                <c:pt idx="123">
                  <c:v>299</c:v>
                </c:pt>
                <c:pt idx="124">
                  <c:v>300</c:v>
                </c:pt>
                <c:pt idx="125">
                  <c:v>301</c:v>
                </c:pt>
                <c:pt idx="126">
                  <c:v>302</c:v>
                </c:pt>
                <c:pt idx="127">
                  <c:v>303</c:v>
                </c:pt>
                <c:pt idx="128">
                  <c:v>304</c:v>
                </c:pt>
                <c:pt idx="129">
                  <c:v>305</c:v>
                </c:pt>
                <c:pt idx="130">
                  <c:v>306</c:v>
                </c:pt>
                <c:pt idx="131">
                  <c:v>307</c:v>
                </c:pt>
                <c:pt idx="132">
                  <c:v>308</c:v>
                </c:pt>
                <c:pt idx="133">
                  <c:v>309</c:v>
                </c:pt>
                <c:pt idx="134">
                  <c:v>310</c:v>
                </c:pt>
                <c:pt idx="135">
                  <c:v>311</c:v>
                </c:pt>
                <c:pt idx="136">
                  <c:v>312</c:v>
                </c:pt>
                <c:pt idx="137">
                  <c:v>313</c:v>
                </c:pt>
                <c:pt idx="138">
                  <c:v>314</c:v>
                </c:pt>
                <c:pt idx="139">
                  <c:v>315</c:v>
                </c:pt>
                <c:pt idx="140">
                  <c:v>316</c:v>
                </c:pt>
                <c:pt idx="141">
                  <c:v>317</c:v>
                </c:pt>
                <c:pt idx="142">
                  <c:v>318</c:v>
                </c:pt>
                <c:pt idx="143">
                  <c:v>319</c:v>
                </c:pt>
                <c:pt idx="144">
                  <c:v>320</c:v>
                </c:pt>
                <c:pt idx="145">
                  <c:v>321</c:v>
                </c:pt>
                <c:pt idx="146">
                  <c:v>322</c:v>
                </c:pt>
                <c:pt idx="147">
                  <c:v>323</c:v>
                </c:pt>
                <c:pt idx="148">
                  <c:v>324</c:v>
                </c:pt>
                <c:pt idx="149">
                  <c:v>325</c:v>
                </c:pt>
                <c:pt idx="150">
                  <c:v>326</c:v>
                </c:pt>
                <c:pt idx="151">
                  <c:v>327</c:v>
                </c:pt>
                <c:pt idx="152">
                  <c:v>328</c:v>
                </c:pt>
                <c:pt idx="153">
                  <c:v>329</c:v>
                </c:pt>
                <c:pt idx="154">
                  <c:v>330</c:v>
                </c:pt>
                <c:pt idx="155">
                  <c:v>331</c:v>
                </c:pt>
                <c:pt idx="156">
                  <c:v>332</c:v>
                </c:pt>
                <c:pt idx="157">
                  <c:v>333</c:v>
                </c:pt>
                <c:pt idx="158">
                  <c:v>334</c:v>
                </c:pt>
                <c:pt idx="159">
                  <c:v>335</c:v>
                </c:pt>
                <c:pt idx="160">
                  <c:v>336</c:v>
                </c:pt>
                <c:pt idx="161">
                  <c:v>337</c:v>
                </c:pt>
                <c:pt idx="162">
                  <c:v>338</c:v>
                </c:pt>
                <c:pt idx="163">
                  <c:v>339</c:v>
                </c:pt>
                <c:pt idx="164">
                  <c:v>340</c:v>
                </c:pt>
                <c:pt idx="165">
                  <c:v>341</c:v>
                </c:pt>
                <c:pt idx="166">
                  <c:v>342</c:v>
                </c:pt>
                <c:pt idx="167">
                  <c:v>343</c:v>
                </c:pt>
                <c:pt idx="168">
                  <c:v>344</c:v>
                </c:pt>
                <c:pt idx="169">
                  <c:v>345</c:v>
                </c:pt>
                <c:pt idx="170">
                  <c:v>346</c:v>
                </c:pt>
                <c:pt idx="171">
                  <c:v>347</c:v>
                </c:pt>
                <c:pt idx="172">
                  <c:v>348</c:v>
                </c:pt>
                <c:pt idx="173">
                  <c:v>349</c:v>
                </c:pt>
                <c:pt idx="174">
                  <c:v>350</c:v>
                </c:pt>
                <c:pt idx="175">
                  <c:v>351</c:v>
                </c:pt>
                <c:pt idx="176">
                  <c:v>352</c:v>
                </c:pt>
                <c:pt idx="177">
                  <c:v>353</c:v>
                </c:pt>
                <c:pt idx="178">
                  <c:v>354</c:v>
                </c:pt>
                <c:pt idx="179">
                  <c:v>355</c:v>
                </c:pt>
                <c:pt idx="180">
                  <c:v>356</c:v>
                </c:pt>
              </c:numCache>
            </c:numRef>
          </c:xVal>
          <c:yVal>
            <c:numRef>
              <c:f>VCOMP!$W$7:$W$187</c:f>
              <c:numCache>
                <c:ptCount val="181"/>
                <c:pt idx="0">
                  <c:v>2.6232100353084546</c:v>
                </c:pt>
                <c:pt idx="1">
                  <c:v>2.6165068066336707</c:v>
                </c:pt>
                <c:pt idx="2">
                  <c:v>2.60986773298359</c:v>
                </c:pt>
                <c:pt idx="3">
                  <c:v>2.603291856052616</c:v>
                </c:pt>
                <c:pt idx="4">
                  <c:v>2.5967782370857537</c:v>
                </c:pt>
                <c:pt idx="5">
                  <c:v>2.5903259563739076</c:v>
                </c:pt>
                <c:pt idx="6">
                  <c:v>2.5839341127649136</c:v>
                </c:pt>
                <c:pt idx="7">
                  <c:v>2.5776018231897244</c:v>
                </c:pt>
                <c:pt idx="8">
                  <c:v>2.571328222203209</c:v>
                </c:pt>
                <c:pt idx="9">
                  <c:v>2.565112461539029</c:v>
                </c:pt>
                <c:pt idx="10">
                  <c:v>2.558953709678092</c:v>
                </c:pt>
                <c:pt idx="11">
                  <c:v>2.552851151430101</c:v>
                </c:pt>
                <c:pt idx="12">
                  <c:v>2.5468039875277215</c:v>
                </c:pt>
                <c:pt idx="13">
                  <c:v>2.54081143423294</c:v>
                </c:pt>
                <c:pt idx="14">
                  <c:v>2.5348727229551686</c:v>
                </c:pt>
                <c:pt idx="15">
                  <c:v>2.5289870998806947</c:v>
                </c:pt>
                <c:pt idx="16">
                  <c:v>2.523153825613079</c:v>
                </c:pt>
                <c:pt idx="17">
                  <c:v>2.517372174824123</c:v>
                </c:pt>
                <c:pt idx="18">
                  <c:v>2.5116414359150423</c:v>
                </c:pt>
                <c:pt idx="19">
                  <c:v>2.505960910687497</c:v>
                </c:pt>
                <c:pt idx="20">
                  <c:v>2.500329914024145</c:v>
                </c:pt>
                <c:pt idx="21">
                  <c:v>2.4947477735783914</c:v>
                </c:pt>
                <c:pt idx="22">
                  <c:v>2.4892138294730266</c:v>
                </c:pt>
                <c:pt idx="23">
                  <c:v>2.4837274340074593</c:v>
                </c:pt>
                <c:pt idx="24">
                  <c:v>2.4782879513732476</c:v>
                </c:pt>
                <c:pt idx="25">
                  <c:v>2.4728947573776634</c:v>
                </c:pt>
                <c:pt idx="26">
                  <c:v>2.4675472391750146</c:v>
                </c:pt>
                <c:pt idx="27">
                  <c:v>2.462244795005483</c:v>
                </c:pt>
                <c:pt idx="28">
                  <c:v>2.456986833941216</c:v>
                </c:pt>
                <c:pt idx="29">
                  <c:v>2.451772775639449</c:v>
                </c:pt>
                <c:pt idx="30">
                  <c:v>2.4466020501024266</c:v>
                </c:pt>
                <c:pt idx="31">
                  <c:v>2.4414740974438995</c:v>
                </c:pt>
                <c:pt idx="32">
                  <c:v>2.4363883676619924</c:v>
                </c:pt>
                <c:pt idx="33">
                  <c:v>2.4313443204182357</c:v>
                </c:pt>
                <c:pt idx="34">
                  <c:v>2.426341424822566</c:v>
                </c:pt>
                <c:pt idx="35">
                  <c:v>2.4213791592241067</c:v>
                </c:pt>
                <c:pt idx="36">
                  <c:v>2.4164570110075463</c:v>
                </c:pt>
                <c:pt idx="37">
                  <c:v>2.411574476394941</c:v>
                </c:pt>
                <c:pt idx="38">
                  <c:v>2.4067310602527687</c:v>
                </c:pt>
                <c:pt idx="39">
                  <c:v>2.4019262759040756</c:v>
                </c:pt>
                <c:pt idx="40">
                  <c:v>2.397159644945555</c:v>
                </c:pt>
                <c:pt idx="41">
                  <c:v>2.392430697069408</c:v>
                </c:pt>
                <c:pt idx="42">
                  <c:v>2.3877389698898406</c:v>
                </c:pt>
                <c:pt idx="43">
                  <c:v>2.3830840087740524</c:v>
                </c:pt>
                <c:pt idx="44">
                  <c:v>2.3784653666775846</c:v>
                </c:pt>
                <c:pt idx="45">
                  <c:v>2.373882603983895</c:v>
                </c:pt>
                <c:pt idx="46">
                  <c:v>2.3693352883480308</c:v>
                </c:pt>
                <c:pt idx="47">
                  <c:v>2.364822994544277</c:v>
                </c:pt>
                <c:pt idx="48">
                  <c:v>2.3603453043176654</c:v>
                </c:pt>
                <c:pt idx="49">
                  <c:v>2.355901806239226</c:v>
                </c:pt>
                <c:pt idx="50">
                  <c:v>2.3514920955648684</c:v>
                </c:pt>
                <c:pt idx="51">
                  <c:v>2.3471157740977975</c:v>
                </c:pt>
                <c:pt idx="52">
                  <c:v>2.342772450054341</c:v>
                </c:pt>
                <c:pt idx="53">
                  <c:v>2.3384617379331107</c:v>
                </c:pt>
                <c:pt idx="54">
                  <c:v>2.3341832583873856</c:v>
                </c:pt>
                <c:pt idx="55">
                  <c:v>2.329936638100627</c:v>
                </c:pt>
                <c:pt idx="56">
                  <c:v>2.3257215096650423</c:v>
                </c:pt>
                <c:pt idx="57">
                  <c:v>2.3215375114631005</c:v>
                </c:pt>
                <c:pt idx="58">
                  <c:v>2.3173842875519237</c:v>
                </c:pt>
                <c:pt idx="59">
                  <c:v>2.313261487550465</c:v>
                </c:pt>
                <c:pt idx="60">
                  <c:v>2.3091687665294027</c:v>
                </c:pt>
                <c:pt idx="61">
                  <c:v>2.3051057849036636</c:v>
                </c:pt>
                <c:pt idx="62">
                  <c:v>2.3010722083275157</c:v>
                </c:pt>
                <c:pt idx="63">
                  <c:v>2.297067707592144</c:v>
                </c:pt>
                <c:pt idx="64">
                  <c:v>2.293091958525651</c:v>
                </c:pt>
                <c:pt idx="65">
                  <c:v>2.289144641895406</c:v>
                </c:pt>
                <c:pt idx="66">
                  <c:v>2.285225443312692</c:v>
                </c:pt>
                <c:pt idx="67">
                  <c:v>2.281334053139568</c:v>
                </c:pt>
                <c:pt idx="68">
                  <c:v>2.2774701663979053</c:v>
                </c:pt>
                <c:pt idx="69">
                  <c:v>2.273633482680523</c:v>
                </c:pt>
                <c:pt idx="70">
                  <c:v>2.269823706064377</c:v>
                </c:pt>
                <c:pt idx="71">
                  <c:v>2.26604054502574</c:v>
                </c:pt>
                <c:pt idx="72">
                  <c:v>2.262283712357324</c:v>
                </c:pt>
                <c:pt idx="73">
                  <c:v>2.2585529250872884</c:v>
                </c:pt>
                <c:pt idx="74">
                  <c:v>2.254847904400086</c:v>
                </c:pt>
                <c:pt idx="75">
                  <c:v>2.2511683755591</c:v>
                </c:pt>
                <c:pt idx="76">
                  <c:v>2.2475140678310184</c:v>
                </c:pt>
                <c:pt idx="77">
                  <c:v>2.2438847144119074</c:v>
                </c:pt>
                <c:pt idx="78">
                  <c:v>2.2402800523549353</c:v>
                </c:pt>
                <c:pt idx="79">
                  <c:v>2.236699822499701</c:v>
                </c:pt>
                <c:pt idx="80">
                  <c:v>2.2331437694031333</c:v>
                </c:pt>
                <c:pt idx="81">
                  <c:v>2.22961164127191</c:v>
                </c:pt>
                <c:pt idx="82">
                  <c:v>2.226103189896367</c:v>
                </c:pt>
                <c:pt idx="83">
                  <c:v>2.222618170585852</c:v>
                </c:pt>
                <c:pt idx="84">
                  <c:v>2.219156342105492</c:v>
                </c:pt>
                <c:pt idx="85">
                  <c:v>2.2157174666143287</c:v>
                </c:pt>
                <c:pt idx="86">
                  <c:v>2.212301309604802</c:v>
                </c:pt>
                <c:pt idx="87">
                  <c:v>2.2089076398435297</c:v>
                </c:pt>
                <c:pt idx="88">
                  <c:v>2.205536229313366</c:v>
                </c:pt>
                <c:pt idx="89">
                  <c:v>2.202186853156697</c:v>
                </c:pt>
                <c:pt idx="90">
                  <c:v>2.198859289619947</c:v>
                </c:pt>
                <c:pt idx="91">
                  <c:v>2.195553319999262</c:v>
                </c:pt>
                <c:pt idx="92">
                  <c:v>2.1922687285873454</c:v>
                </c:pt>
                <c:pt idx="93">
                  <c:v>2.189005302621411</c:v>
                </c:pt>
                <c:pt idx="94">
                  <c:v>2.1857628322322324</c:v>
                </c:pt>
                <c:pt idx="95">
                  <c:v>2.1825411103942587</c:v>
                </c:pt>
                <c:pt idx="96">
                  <c:v>2.1793399328767684</c:v>
                </c:pt>
                <c:pt idx="97">
                  <c:v>2.176159098196039</c:v>
                </c:pt>
                <c:pt idx="98">
                  <c:v>2.17299840756851</c:v>
                </c:pt>
                <c:pt idx="99">
                  <c:v>2.1698576648649044</c:v>
                </c:pt>
                <c:pt idx="100">
                  <c:v>2.166736676565302</c:v>
                </c:pt>
                <c:pt idx="101">
                  <c:v>2.163635251715128</c:v>
                </c:pt>
                <c:pt idx="102">
                  <c:v>2.160553201882035</c:v>
                </c:pt>
                <c:pt idx="103">
                  <c:v>2.1574903411136725</c:v>
                </c:pt>
                <c:pt idx="104">
                  <c:v>2.1544464858963046</c:v>
                </c:pt>
                <c:pt idx="105">
                  <c:v>2.151421455114261</c:v>
                </c:pt>
                <c:pt idx="106">
                  <c:v>2.1484150700102105</c:v>
                </c:pt>
                <c:pt idx="107">
                  <c:v>2.145427154146226</c:v>
                </c:pt>
                <c:pt idx="108">
                  <c:v>2.142457533365628</c:v>
                </c:pt>
                <c:pt idx="109">
                  <c:v>2.1395060357555873</c:v>
                </c:pt>
                <c:pt idx="110">
                  <c:v>2.1365724916104707</c:v>
                </c:pt>
                <c:pt idx="111">
                  <c:v>2.1336567333959104</c:v>
                </c:pt>
                <c:pt idx="112">
                  <c:v>2.1307585957135795</c:v>
                </c:pt>
                <c:pt idx="113">
                  <c:v>2.127877915266662</c:v>
                </c:pt>
                <c:pt idx="114">
                  <c:v>2.125014530825994</c:v>
                </c:pt>
                <c:pt idx="115">
                  <c:v>2.12216828319687</c:v>
                </c:pt>
                <c:pt idx="116">
                  <c:v>2.1193390151864886</c:v>
                </c:pt>
                <c:pt idx="117">
                  <c:v>2.1165265715720336</c:v>
                </c:pt>
                <c:pt idx="118">
                  <c:v>2.113730799069366</c:v>
                </c:pt>
                <c:pt idx="119">
                  <c:v>2.1109515463023207</c:v>
                </c:pt>
                <c:pt idx="120">
                  <c:v>2.108188663772592</c:v>
                </c:pt>
                <c:pt idx="121">
                  <c:v>2.1054420038301935</c:v>
                </c:pt>
                <c:pt idx="122">
                  <c:v>2.1027114206444786</c:v>
                </c:pt>
                <c:pt idx="123">
                  <c:v>2.0999967701757125</c:v>
                </c:pt>
                <c:pt idx="124">
                  <c:v>2.097297910147183</c:v>
                </c:pt>
                <c:pt idx="125">
                  <c:v>2.0946147000178343</c:v>
                </c:pt>
                <c:pt idx="126">
                  <c:v>2.091947000955415</c:v>
                </c:pt>
                <c:pt idx="127">
                  <c:v>2.08929467581013</c:v>
                </c:pt>
                <c:pt idx="128">
                  <c:v>2.0866575890887833</c:v>
                </c:pt>
                <c:pt idx="129">
                  <c:v>2.0840356069294033</c:v>
                </c:pt>
                <c:pt idx="130">
                  <c:v>2.0814285970763344</c:v>
                </c:pt>
                <c:pt idx="131">
                  <c:v>2.078836428855794</c:v>
                </c:pt>
                <c:pt idx="132">
                  <c:v>2.076258973151874</c:v>
                </c:pt>
                <c:pt idx="133">
                  <c:v>2.0736961023829896</c:v>
                </c:pt>
                <c:pt idx="134">
                  <c:v>2.0711476904787522</c:v>
                </c:pt>
                <c:pt idx="135">
                  <c:v>2.0686136128572676</c:v>
                </c:pt>
                <c:pt idx="136">
                  <c:v>2.066093746402849</c:v>
                </c:pt>
                <c:pt idx="137">
                  <c:v>2.0635879694441264</c:v>
                </c:pt>
                <c:pt idx="138">
                  <c:v>2.0610961617325616</c:v>
                </c:pt>
                <c:pt idx="139">
                  <c:v>2.0586182044213417</c:v>
                </c:pt>
                <c:pt idx="140">
                  <c:v>2.0561539800446558</c:v>
                </c:pt>
                <c:pt idx="141">
                  <c:v>2.0537033724973397</c:v>
                </c:pt>
                <c:pt idx="142">
                  <c:v>2.0512662670148876</c:v>
                </c:pt>
                <c:pt idx="143">
                  <c:v>2.048842550153814</c:v>
                </c:pt>
                <c:pt idx="144">
                  <c:v>2.0464321097723697</c:v>
                </c:pt>
                <c:pt idx="145">
                  <c:v>2.044034835011593</c:v>
                </c:pt>
                <c:pt idx="146">
                  <c:v>2.0416506162766974</c:v>
                </c:pt>
                <c:pt idx="147">
                  <c:v>2.0392793452187865</c:v>
                </c:pt>
                <c:pt idx="148">
                  <c:v>2.0369209147168883</c:v>
                </c:pt>
                <c:pt idx="149">
                  <c:v>2.0345752188603017</c:v>
                </c:pt>
                <c:pt idx="150">
                  <c:v>2.0322421529312535</c:v>
                </c:pt>
                <c:pt idx="151">
                  <c:v>2.029921613387852</c:v>
                </c:pt>
                <c:pt idx="152">
                  <c:v>2.0276134978473395</c:v>
                </c:pt>
                <c:pt idx="153">
                  <c:v>2.025317705069631</c:v>
                </c:pt>
                <c:pt idx="154">
                  <c:v>2.023034134941135</c:v>
                </c:pt>
                <c:pt idx="155">
                  <c:v>2.020762688458856</c:v>
                </c:pt>
                <c:pt idx="156">
                  <c:v>2.0185032677147627</c:v>
                </c:pt>
                <c:pt idx="157">
                  <c:v>2.0162557758804267</c:v>
                </c:pt>
                <c:pt idx="158">
                  <c:v>2.0140201171919205</c:v>
                </c:pt>
                <c:pt idx="159">
                  <c:v>2.0117961969349722</c:v>
                </c:pt>
                <c:pt idx="160">
                  <c:v>2.0095839214303677</c:v>
                </c:pt>
                <c:pt idx="161">
                  <c:v>2.007383198019604</c:v>
                </c:pt>
                <c:pt idx="162">
                  <c:v>2.0051939350507784</c:v>
                </c:pt>
                <c:pt idx="163">
                  <c:v>2.003016041864714</c:v>
                </c:pt>
                <c:pt idx="164">
                  <c:v>2.000849428781323</c:v>
                </c:pt>
                <c:pt idx="165">
                  <c:v>0</c:v>
                </c:pt>
                <c:pt idx="166">
                  <c:v>1.9976406123585857</c:v>
                </c:pt>
                <c:pt idx="167">
                  <c:v>1.9947714053165218</c:v>
                </c:pt>
                <c:pt idx="168">
                  <c:v>1.9919161091833706</c:v>
                </c:pt>
                <c:pt idx="169">
                  <c:v>1.9890746163802633</c:v>
                </c:pt>
                <c:pt idx="170">
                  <c:v>1.986246820468938</c:v>
                </c:pt>
                <c:pt idx="171">
                  <c:v>1.983432616136394</c:v>
                </c:pt>
                <c:pt idx="172">
                  <c:v>1.980631899179793</c:v>
                </c:pt>
                <c:pt idx="173">
                  <c:v>1.977844566491608</c:v>
                </c:pt>
                <c:pt idx="174">
                  <c:v>1.975070516045014</c:v>
                </c:pt>
                <c:pt idx="175">
                  <c:v>1.9723096468795083</c:v>
                </c:pt>
                <c:pt idx="176">
                  <c:v>1.9695618590867712</c:v>
                </c:pt>
                <c:pt idx="177">
                  <c:v>1.9668270537967478</c:v>
                </c:pt>
                <c:pt idx="178">
                  <c:v>1.964105133163955</c:v>
                </c:pt>
                <c:pt idx="179">
                  <c:v>1.961396000354004</c:v>
                </c:pt>
                <c:pt idx="180">
                  <c:v>1.958699559530344</c:v>
                </c:pt>
              </c:numCache>
            </c:numRef>
          </c:yVal>
          <c:smooth val="0"/>
        </c:ser>
        <c:ser>
          <c:idx val="1"/>
          <c:order val="1"/>
          <c:tx>
            <c:strRef>
              <c:f>VCOMP!$Z$6</c:f>
              <c:strCache>
                <c:ptCount val="1"/>
                <c:pt idx="0">
                  <c:v>ICOMP</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VCOMP!$G$7:$G$187</c:f>
              <c:numCache>
                <c:ptCount val="181"/>
                <c:pt idx="0">
                  <c:v>176</c:v>
                </c:pt>
                <c:pt idx="1">
                  <c:v>177</c:v>
                </c:pt>
                <c:pt idx="2">
                  <c:v>178</c:v>
                </c:pt>
                <c:pt idx="3">
                  <c:v>179</c:v>
                </c:pt>
                <c:pt idx="4">
                  <c:v>180</c:v>
                </c:pt>
                <c:pt idx="5">
                  <c:v>181</c:v>
                </c:pt>
                <c:pt idx="6">
                  <c:v>182</c:v>
                </c:pt>
                <c:pt idx="7">
                  <c:v>183</c:v>
                </c:pt>
                <c:pt idx="8">
                  <c:v>184</c:v>
                </c:pt>
                <c:pt idx="9">
                  <c:v>185</c:v>
                </c:pt>
                <c:pt idx="10">
                  <c:v>186</c:v>
                </c:pt>
                <c:pt idx="11">
                  <c:v>187</c:v>
                </c:pt>
                <c:pt idx="12">
                  <c:v>188</c:v>
                </c:pt>
                <c:pt idx="13">
                  <c:v>189</c:v>
                </c:pt>
                <c:pt idx="14">
                  <c:v>190</c:v>
                </c:pt>
                <c:pt idx="15">
                  <c:v>191</c:v>
                </c:pt>
                <c:pt idx="16">
                  <c:v>192</c:v>
                </c:pt>
                <c:pt idx="17">
                  <c:v>193</c:v>
                </c:pt>
                <c:pt idx="18">
                  <c:v>194</c:v>
                </c:pt>
                <c:pt idx="19">
                  <c:v>195</c:v>
                </c:pt>
                <c:pt idx="20">
                  <c:v>196</c:v>
                </c:pt>
                <c:pt idx="21">
                  <c:v>197</c:v>
                </c:pt>
                <c:pt idx="22">
                  <c:v>198</c:v>
                </c:pt>
                <c:pt idx="23">
                  <c:v>199</c:v>
                </c:pt>
                <c:pt idx="24">
                  <c:v>200</c:v>
                </c:pt>
                <c:pt idx="25">
                  <c:v>201</c:v>
                </c:pt>
                <c:pt idx="26">
                  <c:v>202</c:v>
                </c:pt>
                <c:pt idx="27">
                  <c:v>203</c:v>
                </c:pt>
                <c:pt idx="28">
                  <c:v>204</c:v>
                </c:pt>
                <c:pt idx="29">
                  <c:v>205</c:v>
                </c:pt>
                <c:pt idx="30">
                  <c:v>206</c:v>
                </c:pt>
                <c:pt idx="31">
                  <c:v>207</c:v>
                </c:pt>
                <c:pt idx="32">
                  <c:v>208</c:v>
                </c:pt>
                <c:pt idx="33">
                  <c:v>209</c:v>
                </c:pt>
                <c:pt idx="34">
                  <c:v>210</c:v>
                </c:pt>
                <c:pt idx="35">
                  <c:v>211</c:v>
                </c:pt>
                <c:pt idx="36">
                  <c:v>212</c:v>
                </c:pt>
                <c:pt idx="37">
                  <c:v>213</c:v>
                </c:pt>
                <c:pt idx="38">
                  <c:v>214</c:v>
                </c:pt>
                <c:pt idx="39">
                  <c:v>215</c:v>
                </c:pt>
                <c:pt idx="40">
                  <c:v>216</c:v>
                </c:pt>
                <c:pt idx="41">
                  <c:v>217</c:v>
                </c:pt>
                <c:pt idx="42">
                  <c:v>218</c:v>
                </c:pt>
                <c:pt idx="43">
                  <c:v>219</c:v>
                </c:pt>
                <c:pt idx="44">
                  <c:v>220</c:v>
                </c:pt>
                <c:pt idx="45">
                  <c:v>221</c:v>
                </c:pt>
                <c:pt idx="46">
                  <c:v>222</c:v>
                </c:pt>
                <c:pt idx="47">
                  <c:v>223</c:v>
                </c:pt>
                <c:pt idx="48">
                  <c:v>224</c:v>
                </c:pt>
                <c:pt idx="49">
                  <c:v>225</c:v>
                </c:pt>
                <c:pt idx="50">
                  <c:v>226</c:v>
                </c:pt>
                <c:pt idx="51">
                  <c:v>227</c:v>
                </c:pt>
                <c:pt idx="52">
                  <c:v>228</c:v>
                </c:pt>
                <c:pt idx="53">
                  <c:v>229</c:v>
                </c:pt>
                <c:pt idx="54">
                  <c:v>230</c:v>
                </c:pt>
                <c:pt idx="55">
                  <c:v>231</c:v>
                </c:pt>
                <c:pt idx="56">
                  <c:v>232</c:v>
                </c:pt>
                <c:pt idx="57">
                  <c:v>233</c:v>
                </c:pt>
                <c:pt idx="58">
                  <c:v>234</c:v>
                </c:pt>
                <c:pt idx="59">
                  <c:v>235</c:v>
                </c:pt>
                <c:pt idx="60">
                  <c:v>236</c:v>
                </c:pt>
                <c:pt idx="61">
                  <c:v>237</c:v>
                </c:pt>
                <c:pt idx="62">
                  <c:v>238</c:v>
                </c:pt>
                <c:pt idx="63">
                  <c:v>239</c:v>
                </c:pt>
                <c:pt idx="64">
                  <c:v>240</c:v>
                </c:pt>
                <c:pt idx="65">
                  <c:v>241</c:v>
                </c:pt>
                <c:pt idx="66">
                  <c:v>242</c:v>
                </c:pt>
                <c:pt idx="67">
                  <c:v>243</c:v>
                </c:pt>
                <c:pt idx="68">
                  <c:v>244</c:v>
                </c:pt>
                <c:pt idx="69">
                  <c:v>245</c:v>
                </c:pt>
                <c:pt idx="70">
                  <c:v>246</c:v>
                </c:pt>
                <c:pt idx="71">
                  <c:v>247</c:v>
                </c:pt>
                <c:pt idx="72">
                  <c:v>248</c:v>
                </c:pt>
                <c:pt idx="73">
                  <c:v>249</c:v>
                </c:pt>
                <c:pt idx="74">
                  <c:v>250</c:v>
                </c:pt>
                <c:pt idx="75">
                  <c:v>251</c:v>
                </c:pt>
                <c:pt idx="76">
                  <c:v>252</c:v>
                </c:pt>
                <c:pt idx="77">
                  <c:v>253</c:v>
                </c:pt>
                <c:pt idx="78">
                  <c:v>254</c:v>
                </c:pt>
                <c:pt idx="79">
                  <c:v>255</c:v>
                </c:pt>
                <c:pt idx="80">
                  <c:v>256</c:v>
                </c:pt>
                <c:pt idx="81">
                  <c:v>257</c:v>
                </c:pt>
                <c:pt idx="82">
                  <c:v>258</c:v>
                </c:pt>
                <c:pt idx="83">
                  <c:v>259</c:v>
                </c:pt>
                <c:pt idx="84">
                  <c:v>260</c:v>
                </c:pt>
                <c:pt idx="85">
                  <c:v>261</c:v>
                </c:pt>
                <c:pt idx="86">
                  <c:v>262</c:v>
                </c:pt>
                <c:pt idx="87">
                  <c:v>263</c:v>
                </c:pt>
                <c:pt idx="88">
                  <c:v>264</c:v>
                </c:pt>
                <c:pt idx="89">
                  <c:v>265</c:v>
                </c:pt>
                <c:pt idx="90">
                  <c:v>266</c:v>
                </c:pt>
                <c:pt idx="91">
                  <c:v>267</c:v>
                </c:pt>
                <c:pt idx="92">
                  <c:v>268</c:v>
                </c:pt>
                <c:pt idx="93">
                  <c:v>269</c:v>
                </c:pt>
                <c:pt idx="94">
                  <c:v>270</c:v>
                </c:pt>
                <c:pt idx="95">
                  <c:v>271</c:v>
                </c:pt>
                <c:pt idx="96">
                  <c:v>272</c:v>
                </c:pt>
                <c:pt idx="97">
                  <c:v>273</c:v>
                </c:pt>
                <c:pt idx="98">
                  <c:v>274</c:v>
                </c:pt>
                <c:pt idx="99">
                  <c:v>275</c:v>
                </c:pt>
                <c:pt idx="100">
                  <c:v>276</c:v>
                </c:pt>
                <c:pt idx="101">
                  <c:v>277</c:v>
                </c:pt>
                <c:pt idx="102">
                  <c:v>278</c:v>
                </c:pt>
                <c:pt idx="103">
                  <c:v>279</c:v>
                </c:pt>
                <c:pt idx="104">
                  <c:v>280</c:v>
                </c:pt>
                <c:pt idx="105">
                  <c:v>281</c:v>
                </c:pt>
                <c:pt idx="106">
                  <c:v>282</c:v>
                </c:pt>
                <c:pt idx="107">
                  <c:v>283</c:v>
                </c:pt>
                <c:pt idx="108">
                  <c:v>284</c:v>
                </c:pt>
                <c:pt idx="109">
                  <c:v>285</c:v>
                </c:pt>
                <c:pt idx="110">
                  <c:v>286</c:v>
                </c:pt>
                <c:pt idx="111">
                  <c:v>287</c:v>
                </c:pt>
                <c:pt idx="112">
                  <c:v>288</c:v>
                </c:pt>
                <c:pt idx="113">
                  <c:v>289</c:v>
                </c:pt>
                <c:pt idx="114">
                  <c:v>290</c:v>
                </c:pt>
                <c:pt idx="115">
                  <c:v>291</c:v>
                </c:pt>
                <c:pt idx="116">
                  <c:v>292</c:v>
                </c:pt>
                <c:pt idx="117">
                  <c:v>293</c:v>
                </c:pt>
                <c:pt idx="118">
                  <c:v>294</c:v>
                </c:pt>
                <c:pt idx="119">
                  <c:v>295</c:v>
                </c:pt>
                <c:pt idx="120">
                  <c:v>296</c:v>
                </c:pt>
                <c:pt idx="121">
                  <c:v>297</c:v>
                </c:pt>
                <c:pt idx="122">
                  <c:v>298</c:v>
                </c:pt>
                <c:pt idx="123">
                  <c:v>299</c:v>
                </c:pt>
                <c:pt idx="124">
                  <c:v>300</c:v>
                </c:pt>
                <c:pt idx="125">
                  <c:v>301</c:v>
                </c:pt>
                <c:pt idx="126">
                  <c:v>302</c:v>
                </c:pt>
                <c:pt idx="127">
                  <c:v>303</c:v>
                </c:pt>
                <c:pt idx="128">
                  <c:v>304</c:v>
                </c:pt>
                <c:pt idx="129">
                  <c:v>305</c:v>
                </c:pt>
                <c:pt idx="130">
                  <c:v>306</c:v>
                </c:pt>
                <c:pt idx="131">
                  <c:v>307</c:v>
                </c:pt>
                <c:pt idx="132">
                  <c:v>308</c:v>
                </c:pt>
                <c:pt idx="133">
                  <c:v>309</c:v>
                </c:pt>
                <c:pt idx="134">
                  <c:v>310</c:v>
                </c:pt>
                <c:pt idx="135">
                  <c:v>311</c:v>
                </c:pt>
                <c:pt idx="136">
                  <c:v>312</c:v>
                </c:pt>
                <c:pt idx="137">
                  <c:v>313</c:v>
                </c:pt>
                <c:pt idx="138">
                  <c:v>314</c:v>
                </c:pt>
                <c:pt idx="139">
                  <c:v>315</c:v>
                </c:pt>
                <c:pt idx="140">
                  <c:v>316</c:v>
                </c:pt>
                <c:pt idx="141">
                  <c:v>317</c:v>
                </c:pt>
                <c:pt idx="142">
                  <c:v>318</c:v>
                </c:pt>
                <c:pt idx="143">
                  <c:v>319</c:v>
                </c:pt>
                <c:pt idx="144">
                  <c:v>320</c:v>
                </c:pt>
                <c:pt idx="145">
                  <c:v>321</c:v>
                </c:pt>
                <c:pt idx="146">
                  <c:v>322</c:v>
                </c:pt>
                <c:pt idx="147">
                  <c:v>323</c:v>
                </c:pt>
                <c:pt idx="148">
                  <c:v>324</c:v>
                </c:pt>
                <c:pt idx="149">
                  <c:v>325</c:v>
                </c:pt>
                <c:pt idx="150">
                  <c:v>326</c:v>
                </c:pt>
                <c:pt idx="151">
                  <c:v>327</c:v>
                </c:pt>
                <c:pt idx="152">
                  <c:v>328</c:v>
                </c:pt>
                <c:pt idx="153">
                  <c:v>329</c:v>
                </c:pt>
                <c:pt idx="154">
                  <c:v>330</c:v>
                </c:pt>
                <c:pt idx="155">
                  <c:v>331</c:v>
                </c:pt>
                <c:pt idx="156">
                  <c:v>332</c:v>
                </c:pt>
                <c:pt idx="157">
                  <c:v>333</c:v>
                </c:pt>
                <c:pt idx="158">
                  <c:v>334</c:v>
                </c:pt>
                <c:pt idx="159">
                  <c:v>335</c:v>
                </c:pt>
                <c:pt idx="160">
                  <c:v>336</c:v>
                </c:pt>
                <c:pt idx="161">
                  <c:v>337</c:v>
                </c:pt>
                <c:pt idx="162">
                  <c:v>338</c:v>
                </c:pt>
                <c:pt idx="163">
                  <c:v>339</c:v>
                </c:pt>
                <c:pt idx="164">
                  <c:v>340</c:v>
                </c:pt>
                <c:pt idx="165">
                  <c:v>341</c:v>
                </c:pt>
                <c:pt idx="166">
                  <c:v>342</c:v>
                </c:pt>
                <c:pt idx="167">
                  <c:v>343</c:v>
                </c:pt>
                <c:pt idx="168">
                  <c:v>344</c:v>
                </c:pt>
                <c:pt idx="169">
                  <c:v>345</c:v>
                </c:pt>
                <c:pt idx="170">
                  <c:v>346</c:v>
                </c:pt>
                <c:pt idx="171">
                  <c:v>347</c:v>
                </c:pt>
                <c:pt idx="172">
                  <c:v>348</c:v>
                </c:pt>
                <c:pt idx="173">
                  <c:v>349</c:v>
                </c:pt>
                <c:pt idx="174">
                  <c:v>350</c:v>
                </c:pt>
                <c:pt idx="175">
                  <c:v>351</c:v>
                </c:pt>
                <c:pt idx="176">
                  <c:v>352</c:v>
                </c:pt>
                <c:pt idx="177">
                  <c:v>353</c:v>
                </c:pt>
                <c:pt idx="178">
                  <c:v>354</c:v>
                </c:pt>
                <c:pt idx="179">
                  <c:v>355</c:v>
                </c:pt>
                <c:pt idx="180">
                  <c:v>356</c:v>
                </c:pt>
              </c:numCache>
            </c:numRef>
          </c:xVal>
          <c:yVal>
            <c:numRef>
              <c:f>VCOMP!$Z$7:$Z$187</c:f>
              <c:numCache>
                <c:ptCount val="181"/>
                <c:pt idx="0">
                  <c:v>5.7254104732441125</c:v>
                </c:pt>
                <c:pt idx="1">
                  <c:v>5.7206146453607465</c:v>
                </c:pt>
                <c:pt idx="2">
                  <c:v>5.715868943535964</c:v>
                </c:pt>
                <c:pt idx="3">
                  <c:v>5.711172689828017</c:v>
                </c:pt>
                <c:pt idx="4">
                  <c:v>5.7065252190806675</c:v>
                </c:pt>
                <c:pt idx="5">
                  <c:v>5.701925878612988</c:v>
                </c:pt>
                <c:pt idx="6">
                  <c:v>5.697374027918331</c:v>
                </c:pt>
                <c:pt idx="7">
                  <c:v>5.6928690383721605</c:v>
                </c:pt>
                <c:pt idx="8">
                  <c:v>5.688410292948443</c:v>
                </c:pt>
                <c:pt idx="9">
                  <c:v>5.683997185944282</c:v>
                </c:pt>
                <c:pt idx="10">
                  <c:v>5.679629122712538</c:v>
                </c:pt>
                <c:pt idx="11">
                  <c:v>5.67530551940214</c:v>
                </c:pt>
                <c:pt idx="12">
                  <c:v>5.6710258027058496</c:v>
                </c:pt>
                <c:pt idx="13">
                  <c:v>5.666789409615197</c:v>
                </c:pt>
                <c:pt idx="14">
                  <c:v>5.662595787182383</c:v>
                </c:pt>
                <c:pt idx="15">
                  <c:v>5.6584443922888745</c:v>
                </c:pt>
                <c:pt idx="16">
                  <c:v>5.654334691420519</c:v>
                </c:pt>
                <c:pt idx="17">
                  <c:v>5.650266160448907</c:v>
                </c:pt>
                <c:pt idx="18">
                  <c:v>5.64623828441883</c:v>
                </c:pt>
                <c:pt idx="19">
                  <c:v>5.642250557341596</c:v>
                </c:pt>
                <c:pt idx="20">
                  <c:v>5.638302481994022</c:v>
                </c:pt>
                <c:pt idx="21">
                  <c:v>5.634393569722939</c:v>
                </c:pt>
                <c:pt idx="22">
                  <c:v>5.630523340255012</c:v>
                </c:pt>
                <c:pt idx="23">
                  <c:v>5.6266913215116885</c:v>
                </c:pt>
                <c:pt idx="24">
                  <c:v>5.6228970494291595</c:v>
                </c:pt>
                <c:pt idx="25">
                  <c:v>5.6191400677831345</c:v>
                </c:pt>
                <c:pt idx="26">
                  <c:v>5.615419928018288</c:v>
                </c:pt>
                <c:pt idx="27">
                  <c:v>5.611736189082232</c:v>
                </c:pt>
                <c:pt idx="28">
                  <c:v>5.608088417263874</c:v>
                </c:pt>
                <c:pt idx="29">
                  <c:v>5.604476186036043</c:v>
                </c:pt>
                <c:pt idx="30">
                  <c:v>5.600899075902191</c:v>
                </c:pt>
                <c:pt idx="31">
                  <c:v>5.597356674247124</c:v>
                </c:pt>
                <c:pt idx="32">
                  <c:v>5.593848575191583</c:v>
                </c:pt>
                <c:pt idx="33">
                  <c:v>5.590374379450568</c:v>
                </c:pt>
                <c:pt idx="34">
                  <c:v>5.586933694195317</c:v>
                </c:pt>
                <c:pt idx="35">
                  <c:v>5.583526132918787</c:v>
                </c:pt>
                <c:pt idx="36">
                  <c:v>5.580151315304573</c:v>
                </c:pt>
                <c:pt idx="37">
                  <c:v>5.576808867099132</c:v>
                </c:pt>
                <c:pt idx="38">
                  <c:v>5.573498419987234</c:v>
                </c:pt>
                <c:pt idx="39">
                  <c:v>5.57021961147052</c:v>
                </c:pt>
                <c:pt idx="40">
                  <c:v>5.566972084749114</c:v>
                </c:pt>
                <c:pt idx="41">
                  <c:v>5.563755488606148</c:v>
                </c:pt>
                <c:pt idx="42">
                  <c:v>5.560569477295161</c:v>
                </c:pt>
                <c:pt idx="43">
                  <c:v>5.557413710430258</c:v>
                </c:pt>
                <c:pt idx="44">
                  <c:v>5.5542878528789785</c:v>
                </c:pt>
                <c:pt idx="45">
                  <c:v>5.55119157465775</c:v>
                </c:pt>
                <c:pt idx="46">
                  <c:v>5.548124550829894</c:v>
                </c:pt>
                <c:pt idx="47">
                  <c:v>5.545086461406117</c:v>
                </c:pt>
                <c:pt idx="48">
                  <c:v>5.54207699124735</c:v>
                </c:pt>
                <c:pt idx="49">
                  <c:v>5.539095829969958</c:v>
                </c:pt>
                <c:pt idx="50">
                  <c:v>5.536142671853198</c:v>
                </c:pt>
                <c:pt idx="51">
                  <c:v>5.5332172157488495</c:v>
                </c:pt>
                <c:pt idx="52">
                  <c:v>5.530319164993038</c:v>
                </c:pt>
                <c:pt idx="53">
                  <c:v>5.52744822732007</c:v>
                </c:pt>
                <c:pt idx="54">
                  <c:v>5.524604114778324</c:v>
                </c:pt>
                <c:pt idx="55">
                  <c:v>5.521786543648111</c:v>
                </c:pt>
                <c:pt idx="56">
                  <c:v>5.518995234361414</c:v>
                </c:pt>
                <c:pt idx="57">
                  <c:v>5.516229911423511</c:v>
                </c:pt>
                <c:pt idx="58">
                  <c:v>5.51349030333639</c:v>
                </c:pt>
                <c:pt idx="59">
                  <c:v>5.510776142523928</c:v>
                </c:pt>
                <c:pt idx="60">
                  <c:v>5.5080871652587655</c:v>
                </c:pt>
                <c:pt idx="61">
                  <c:v>5.505423111590877</c:v>
                </c:pt>
                <c:pt idx="62">
                  <c:v>5.502783725277719</c:v>
                </c:pt>
                <c:pt idx="63">
                  <c:v>5.5001687537159745</c:v>
                </c:pt>
                <c:pt idx="64">
                  <c:v>5.4975779478748406</c:v>
                </c:pt>
                <c:pt idx="65">
                  <c:v>5.49501106223079</c:v>
                </c:pt>
                <c:pt idx="66">
                  <c:v>5.492467854703798</c:v>
                </c:pt>
                <c:pt idx="67">
                  <c:v>5.489948086594973</c:v>
                </c:pt>
                <c:pt idx="68">
                  <c:v>5.487451522525576</c:v>
                </c:pt>
                <c:pt idx="69">
                  <c:v>5.484977930377389</c:v>
                </c:pt>
                <c:pt idx="70">
                  <c:v>5.482527081234368</c:v>
                </c:pt>
                <c:pt idx="71">
                  <c:v>5.48009874932559</c:v>
                </c:pt>
                <c:pt idx="72">
                  <c:v>5.477692711969434</c:v>
                </c:pt>
                <c:pt idx="73">
                  <c:v>5.475308749518959</c:v>
                </c:pt>
                <c:pt idx="74">
                  <c:v>5.472946645308495</c:v>
                </c:pt>
                <c:pt idx="75">
                  <c:v>5.470606185601334</c:v>
                </c:pt>
                <c:pt idx="76">
                  <c:v>5.468287159538578</c:v>
                </c:pt>
                <c:pt idx="77">
                  <c:v>5.46598935908907</c:v>
                </c:pt>
                <c:pt idx="78">
                  <c:v>5.463712579000366</c:v>
                </c:pt>
                <c:pt idx="79">
                  <c:v>5.46145661675078</c:v>
                </c:pt>
                <c:pt idx="80">
                  <c:v>5.459221272502401</c:v>
                </c:pt>
                <c:pt idx="81">
                  <c:v>5.457006349055132</c:v>
                </c:pt>
                <c:pt idx="82">
                  <c:v>5.45481165180167</c:v>
                </c:pt>
                <c:pt idx="83">
                  <c:v>5.452636988683417</c:v>
                </c:pt>
                <c:pt idx="84">
                  <c:v>5.450482170147328</c:v>
                </c:pt>
                <c:pt idx="85">
                  <c:v>5.448347009103631</c:v>
                </c:pt>
                <c:pt idx="86">
                  <c:v>5.44623132088443</c:v>
                </c:pt>
                <c:pt idx="87">
                  <c:v>5.444134923203151</c:v>
                </c:pt>
                <c:pt idx="88">
                  <c:v>5.442057636114818</c:v>
                </c:pt>
                <c:pt idx="89">
                  <c:v>5.439999281977138</c:v>
                </c:pt>
                <c:pt idx="90">
                  <c:v>5.437959685412376</c:v>
                </c:pt>
                <c:pt idx="91">
                  <c:v>5.435938673269997</c:v>
                </c:pt>
                <c:pt idx="92">
                  <c:v>5.4339360745900676</c:v>
                </c:pt>
                <c:pt idx="93">
                  <c:v>5.431951720567384</c:v>
                </c:pt>
                <c:pt idx="94">
                  <c:v>5.429985444516322</c:v>
                </c:pt>
                <c:pt idx="95">
                  <c:v>5.428037081836376</c:v>
                </c:pt>
                <c:pt idx="96">
                  <c:v>5.426106469978403</c:v>
                </c:pt>
                <c:pt idx="97">
                  <c:v>5.424193448411519</c:v>
                </c:pt>
                <c:pt idx="98">
                  <c:v>5.422297858590636</c:v>
                </c:pt>
                <c:pt idx="99">
                  <c:v>5.420419543924667</c:v>
                </c:pt>
                <c:pt idx="100">
                  <c:v>5.418558349745325</c:v>
                </c:pt>
                <c:pt idx="101">
                  <c:v>5.4167141232765355</c:v>
                </c:pt>
                <c:pt idx="102">
                  <c:v>5.41488671360447</c:v>
                </c:pt>
                <c:pt idx="103">
                  <c:v>5.41307597164811</c:v>
                </c:pt>
                <c:pt idx="104">
                  <c:v>5.411281750130411</c:v>
                </c:pt>
                <c:pt idx="105">
                  <c:v>5.409503903550028</c:v>
                </c:pt>
                <c:pt idx="106">
                  <c:v>5.407742288153557</c:v>
                </c:pt>
                <c:pt idx="107">
                  <c:v>5.405996761908314</c:v>
                </c:pt>
                <c:pt idx="108">
                  <c:v>5.404267184475647</c:v>
                </c:pt>
                <c:pt idx="109">
                  <c:v>5.402553417184729</c:v>
                </c:pt>
                <c:pt idx="110">
                  <c:v>5.400855323006864</c:v>
                </c:pt>
                <c:pt idx="111">
                  <c:v>5.399172766530266</c:v>
                </c:pt>
                <c:pt idx="112">
                  <c:v>5.397505613935322</c:v>
                </c:pt>
                <c:pt idx="113">
                  <c:v>5.395853732970298</c:v>
                </c:pt>
                <c:pt idx="114">
                  <c:v>5.394216992927518</c:v>
                </c:pt>
                <c:pt idx="115">
                  <c:v>5.3925952646199775</c:v>
                </c:pt>
                <c:pt idx="116">
                  <c:v>5.390988420358374</c:v>
                </c:pt>
                <c:pt idx="117">
                  <c:v>5.389396333928589</c:v>
                </c:pt>
                <c:pt idx="118">
                  <c:v>5.387818880569561</c:v>
                </c:pt>
                <c:pt idx="119">
                  <c:v>5.386255936951577</c:v>
                </c:pt>
                <c:pt idx="120">
                  <c:v>5.384707381154947</c:v>
                </c:pt>
                <c:pt idx="121">
                  <c:v>5.383173092649077</c:v>
                </c:pt>
                <c:pt idx="122">
                  <c:v>5.381652952271918</c:v>
                </c:pt>
                <c:pt idx="123">
                  <c:v>5.380146842209788</c:v>
                </c:pt>
                <c:pt idx="124">
                  <c:v>5.37865464597755</c:v>
                </c:pt>
                <c:pt idx="125">
                  <c:v>5.377176248399149</c:v>
                </c:pt>
                <c:pt idx="126">
                  <c:v>5.375711535588505</c:v>
                </c:pt>
                <c:pt idx="127">
                  <c:v>5.37426039493074</c:v>
                </c:pt>
                <c:pt idx="128">
                  <c:v>5.372822715063731</c:v>
                </c:pt>
                <c:pt idx="129">
                  <c:v>5.371398385859996</c:v>
                </c:pt>
                <c:pt idx="130">
                  <c:v>5.369987298408918</c:v>
                </c:pt>
                <c:pt idx="131">
                  <c:v>5.368589344999243</c:v>
                </c:pt>
                <c:pt idx="132">
                  <c:v>5.367204419101919</c:v>
                </c:pt>
                <c:pt idx="133">
                  <c:v>5.3658324153532115</c:v>
                </c:pt>
                <c:pt idx="134">
                  <c:v>5.364473229538142</c:v>
                </c:pt>
                <c:pt idx="135">
                  <c:v>5.363126758574178</c:v>
                </c:pt>
                <c:pt idx="136">
                  <c:v>5.361792900495226</c:v>
                </c:pt>
                <c:pt idx="137">
                  <c:v>5.360471554435915</c:v>
                </c:pt>
                <c:pt idx="138">
                  <c:v>5.359162620616107</c:v>
                </c:pt>
                <c:pt idx="139">
                  <c:v>5.35786600032572</c:v>
                </c:pt>
                <c:pt idx="140">
                  <c:v>5.356581595909778</c:v>
                </c:pt>
                <c:pt idx="141">
                  <c:v>5.355309310753734</c:v>
                </c:pt>
                <c:pt idx="142">
                  <c:v>5.354049049269035</c:v>
                </c:pt>
                <c:pt idx="143">
                  <c:v>5.352800716878935</c:v>
                </c:pt>
                <c:pt idx="144">
                  <c:v>5.351564220004535</c:v>
                </c:pt>
                <c:pt idx="145">
                  <c:v>5.350339466051072</c:v>
                </c:pt>
                <c:pt idx="146">
                  <c:v>5.349126363394448</c:v>
                </c:pt>
                <c:pt idx="147">
                  <c:v>5.347924821367947</c:v>
                </c:pt>
                <c:pt idx="148">
                  <c:v>5.346734750249209</c:v>
                </c:pt>
                <c:pt idx="149">
                  <c:v>5.345556061247414</c:v>
                </c:pt>
                <c:pt idx="150">
                  <c:v>5.344388666490655</c:v>
                </c:pt>
                <c:pt idx="151">
                  <c:v>5.34323247901356</c:v>
                </c:pt>
                <c:pt idx="152">
                  <c:v>5.342087412745071</c:v>
                </c:pt>
                <c:pt idx="153">
                  <c:v>5.340953382496468</c:v>
                </c:pt>
                <c:pt idx="154">
                  <c:v>5.339830303949557</c:v>
                </c:pt>
                <c:pt idx="155">
                  <c:v>5.338718093645066</c:v>
                </c:pt>
                <c:pt idx="156">
                  <c:v>5.337616668971229</c:v>
                </c:pt>
                <c:pt idx="157">
                  <c:v>5.3365259481525475</c:v>
                </c:pt>
                <c:pt idx="158">
                  <c:v>5.335445850238747</c:v>
                </c:pt>
                <c:pt idx="159">
                  <c:v>5.334376295093893</c:v>
                </c:pt>
                <c:pt idx="160">
                  <c:v>5.33331720338571</c:v>
                </c:pt>
                <c:pt idx="161">
                  <c:v>5.332268496575028</c:v>
                </c:pt>
                <c:pt idx="162">
                  <c:v>5.331230096905457</c:v>
                </c:pt>
                <c:pt idx="163">
                  <c:v>5.330201927393168</c:v>
                </c:pt>
                <c:pt idx="164">
                  <c:v>5.329183911816871</c:v>
                </c:pt>
                <c:pt idx="165">
                  <c:v>1.5761773726483024</c:v>
                </c:pt>
                <c:pt idx="166">
                  <c:v>5.311903338346526</c:v>
                </c:pt>
                <c:pt idx="167">
                  <c:v>5.30617919625224</c:v>
                </c:pt>
                <c:pt idx="168">
                  <c:v>5.300474858826064</c:v>
                </c:pt>
                <c:pt idx="169">
                  <c:v>5.294790193610402</c:v>
                </c:pt>
                <c:pt idx="170">
                  <c:v>5.2891250694187235</c:v>
                </c:pt>
                <c:pt idx="171">
                  <c:v>5.283479356319699</c:v>
                </c:pt>
                <c:pt idx="172">
                  <c:v>5.277852925621601</c:v>
                </c:pt>
                <c:pt idx="173">
                  <c:v>5.272245649856943</c:v>
                </c:pt>
                <c:pt idx="174">
                  <c:v>5.266657402767337</c:v>
                </c:pt>
                <c:pt idx="175">
                  <c:v>5.261088059288602</c:v>
                </c:pt>
                <c:pt idx="176">
                  <c:v>5.255537495536076</c:v>
                </c:pt>
                <c:pt idx="177">
                  <c:v>5.250005588790167</c:v>
                </c:pt>
                <c:pt idx="178">
                  <c:v>5.2444922174821125</c:v>
                </c:pt>
                <c:pt idx="179">
                  <c:v>5.238997261179959</c:v>
                </c:pt>
                <c:pt idx="180">
                  <c:v>5.233520600574744</c:v>
                </c:pt>
              </c:numCache>
            </c:numRef>
          </c:yVal>
          <c:smooth val="0"/>
        </c:ser>
        <c:axId val="22031554"/>
        <c:axId val="64066259"/>
      </c:scatterChart>
      <c:valAx>
        <c:axId val="22031554"/>
        <c:scaling>
          <c:orientation val="minMax"/>
          <c:min val="50"/>
        </c:scaling>
        <c:axPos val="b"/>
        <c:title>
          <c:tx>
            <c:rich>
              <a:bodyPr vert="horz" rot="0" anchor="ctr"/>
              <a:lstStyle/>
              <a:p>
                <a:pPr algn="ctr">
                  <a:defRPr/>
                </a:pPr>
                <a:r>
                  <a:rPr lang="en-US" cap="none" sz="1075" b="1" i="0" u="none" baseline="0">
                    <a:solidFill>
                      <a:srgbClr val="000000"/>
                    </a:solidFill>
                    <a:latin typeface="Arial"/>
                    <a:ea typeface="Arial"/>
                    <a:cs typeface="Arial"/>
                  </a:rPr>
                  <a:t>Line Voltage (Vrms)</a:t>
                </a:r>
              </a:p>
            </c:rich>
          </c:tx>
          <c:layout>
            <c:manualLayout>
              <c:xMode val="factor"/>
              <c:yMode val="factor"/>
              <c:x val="-0.006"/>
              <c:y val="0.0002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64066259"/>
        <c:crossesAt val="0"/>
        <c:crossBetween val="midCat"/>
        <c:dispUnits/>
      </c:valAx>
      <c:valAx>
        <c:axId val="64066259"/>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VCOMP (V)</a:t>
                </a:r>
              </a:p>
            </c:rich>
          </c:tx>
          <c:layout>
            <c:manualLayout>
              <c:xMode val="factor"/>
              <c:yMode val="factor"/>
              <c:x val="-0.001"/>
              <c:y val="0"/>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2031554"/>
        <c:crosses val="autoZero"/>
        <c:crossBetween val="midCat"/>
        <c:dispUnits/>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86875"/>
          <c:y val="0.47725"/>
          <c:w val="0.12675"/>
          <c:h val="0.12575"/>
        </c:manualLayout>
      </c:layout>
      <c:overlay val="0"/>
      <c:spPr>
        <a:noFill/>
        <a:ln w="3175">
          <a:no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VCOMP and ICOMP at Selected Line Voltage as a Function of Load</a:t>
            </a:r>
          </a:p>
        </c:rich>
      </c:tx>
      <c:layout>
        <c:manualLayout>
          <c:xMode val="factor"/>
          <c:yMode val="factor"/>
          <c:x val="-0.00225"/>
          <c:y val="-0.013"/>
        </c:manualLayout>
      </c:layout>
      <c:spPr>
        <a:noFill/>
        <a:ln w="3175">
          <a:noFill/>
        </a:ln>
      </c:spPr>
    </c:title>
    <c:plotArea>
      <c:layout>
        <c:manualLayout>
          <c:xMode val="edge"/>
          <c:yMode val="edge"/>
          <c:x val="0.0395"/>
          <c:y val="0.07225"/>
          <c:w val="0.81575"/>
          <c:h val="0.86475"/>
        </c:manualLayout>
      </c:layout>
      <c:scatterChart>
        <c:scatterStyle val="lineMarker"/>
        <c:varyColors val="0"/>
        <c:ser>
          <c:idx val="0"/>
          <c:order val="0"/>
          <c:tx>
            <c:strRef>
              <c:f>VCOMP!$W$190</c:f>
              <c:strCache>
                <c:ptCount val="1"/>
                <c:pt idx="0">
                  <c:v>VCOMP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VCOMP!$G$191:$G$290</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VCOMP!$W$191:$W$290</c:f>
              <c:numCache>
                <c:ptCount val="100"/>
                <c:pt idx="0">
                  <c:v>0.9530596873807152</c:v>
                </c:pt>
                <c:pt idx="1">
                  <c:v>1.0859115994040096</c:v>
                </c:pt>
                <c:pt idx="2">
                  <c:v>1.1673327187641587</c:v>
                </c:pt>
                <c:pt idx="3">
                  <c:v>1.2321726256624328</c:v>
                </c:pt>
                <c:pt idx="4">
                  <c:v>1.2869380873393563</c:v>
                </c:pt>
                <c:pt idx="5">
                  <c:v>1.334815807369901</c:v>
                </c:pt>
                <c:pt idx="6">
                  <c:v>1.3776330803157935</c:v>
                </c:pt>
                <c:pt idx="7">
                  <c:v>1.4165466399573512</c:v>
                </c:pt>
                <c:pt idx="8">
                  <c:v>1.4523405686444673</c:v>
                </c:pt>
                <c:pt idx="9">
                  <c:v>1.4855737697138296</c:v>
                </c:pt>
                <c:pt idx="10">
                  <c:v>1.5166603278447033</c:v>
                </c:pt>
                <c:pt idx="11">
                  <c:v>1.5459165776298485</c:v>
                </c:pt>
                <c:pt idx="12">
                  <c:v>1.5735902738027905</c:v>
                </c:pt>
                <c:pt idx="13">
                  <c:v>1.5998795097633867</c:v>
                </c:pt>
                <c:pt idx="14">
                  <c:v>1.6249454551938176</c:v>
                </c:pt>
                <c:pt idx="15">
                  <c:v>1.648921205535776</c:v>
                </c:pt>
                <c:pt idx="16">
                  <c:v>1.671918096600689</c:v>
                </c:pt>
                <c:pt idx="17">
                  <c:v>1.6940303153262746</c:v>
                </c:pt>
                <c:pt idx="18">
                  <c:v>1.7153383346084476</c:v>
                </c:pt>
                <c:pt idx="19">
                  <c:v>1.7359115176168256</c:v>
                </c:pt>
                <c:pt idx="20">
                  <c:v>1.7558101234907113</c:v>
                </c:pt>
                <c:pt idx="21">
                  <c:v>1.7750868736946255</c:v>
                </c:pt>
                <c:pt idx="22">
                  <c:v>1.7937881906781428</c:v>
                </c:pt>
                <c:pt idx="23">
                  <c:v>1.811955188532889</c:v>
                </c:pt>
                <c:pt idx="24">
                  <c:v>1.8296244734727711</c:v>
                </c:pt>
                <c:pt idx="25">
                  <c:v>1.846828796725164</c:v>
                </c:pt>
                <c:pt idx="26">
                  <c:v>1.8635975916255165</c:v>
                </c:pt>
                <c:pt idx="27">
                  <c:v>1.8799574189446444</c:v>
                </c:pt>
                <c:pt idx="28">
                  <c:v>1.8959323388180684</c:v>
                </c:pt>
                <c:pt idx="29">
                  <c:v>1.91154422346784</c:v>
                </c:pt>
                <c:pt idx="30">
                  <c:v>1.9268130217857062</c:v>
                </c:pt>
                <c:pt idx="31">
                  <c:v>1.9417569844894524</c:v>
                </c:pt>
                <c:pt idx="32">
                  <c:v>1.9563928567666045</c:v>
                </c:pt>
                <c:pt idx="33">
                  <c:v>1.970736043935862</c:v>
                </c:pt>
                <c:pt idx="34">
                  <c:v>1.9848007545820492</c:v>
                </c:pt>
                <c:pt idx="35">
                  <c:v>1.9986001247791396</c:v>
                </c:pt>
                <c:pt idx="36">
                  <c:v>2.007343857127533</c:v>
                </c:pt>
                <c:pt idx="37">
                  <c:v>2.0172568844310543</c:v>
                </c:pt>
                <c:pt idx="38">
                  <c:v>2.027009168624094</c:v>
                </c:pt>
                <c:pt idx="39">
                  <c:v>2.0366071236837646</c:v>
                </c:pt>
                <c:pt idx="40">
                  <c:v>2.0460567621151573</c:v>
                </c:pt>
                <c:pt idx="41">
                  <c:v>2.055363728791511</c:v>
                </c:pt>
                <c:pt idx="42">
                  <c:v>2.0645333312399257</c:v>
                </c:pt>
                <c:pt idx="43">
                  <c:v>2.0735705668165125</c:v>
                </c:pt>
                <c:pt idx="44">
                  <c:v>2.082480147151006</c:v>
                </c:pt>
                <c:pt idx="45">
                  <c:v>2.0912665201873475</c:v>
                </c:pt>
                <c:pt idx="46">
                  <c:v>2.099933890101731</c:v>
                </c:pt>
                <c:pt idx="47">
                  <c:v>2.1084862353415663</c:v>
                </c:pt>
                <c:pt idx="48">
                  <c:v>2.1169273249965905</c:v>
                </c:pt>
                <c:pt idx="49">
                  <c:v>2.1252607336859497</c:v>
                </c:pt>
                <c:pt idx="50">
                  <c:v>2.133489855121664</c:v>
                </c:pt>
                <c:pt idx="51">
                  <c:v>2.141617914488857</c:v>
                </c:pt>
                <c:pt idx="52">
                  <c:v>2.149647979765923</c:v>
                </c:pt>
                <c:pt idx="53">
                  <c:v>2.157582972092979</c:v>
                </c:pt>
                <c:pt idx="54">
                  <c:v>2.1654256752841463</c:v>
                </c:pt>
                <c:pt idx="55">
                  <c:v>2.1731787445680957</c:v>
                </c:pt>
                <c:pt idx="56">
                  <c:v>2.1808447146316703</c:v>
                </c:pt>
                <c:pt idx="57">
                  <c:v>2.188426007032994</c:v>
                </c:pt>
                <c:pt idx="58">
                  <c:v>2.1959249370431437</c:v>
                </c:pt>
                <c:pt idx="59">
                  <c:v>2.20334371996907</c:v>
                </c:pt>
                <c:pt idx="60">
                  <c:v>2.2106844770047935</c:v>
                </c:pt>
                <c:pt idx="61">
                  <c:v>2.2179492406529975</c:v>
                </c:pt>
                <c:pt idx="62">
                  <c:v>2.225139959754749</c:v>
                </c:pt>
                <c:pt idx="63">
                  <c:v>2.2322585041612584</c:v>
                </c:pt>
                <c:pt idx="64">
                  <c:v>2.2393066690781716</c:v>
                </c:pt>
                <c:pt idx="65">
                  <c:v>2.246286179109886</c:v>
                </c:pt>
                <c:pt idx="66">
                  <c:v>2.2531986920286955</c:v>
                </c:pt>
                <c:pt idx="67">
                  <c:v>2.260045802291196</c:v>
                </c:pt>
                <c:pt idx="68">
                  <c:v>2.2668290443222534</c:v>
                </c:pt>
                <c:pt idx="69">
                  <c:v>2.2735498955849534</c:v>
                </c:pt>
                <c:pt idx="70">
                  <c:v>2.280209779453245</c:v>
                </c:pt>
                <c:pt idx="71">
                  <c:v>2.2868100679024868</c:v>
                </c:pt>
                <c:pt idx="72">
                  <c:v>2.293352084031734</c:v>
                </c:pt>
                <c:pt idx="73">
                  <c:v>2.299837104430384</c:v>
                </c:pt>
                <c:pt idx="74">
                  <c:v>2.3062663614007057</c:v>
                </c:pt>
                <c:pt idx="75">
                  <c:v>2.3126410450467767</c:v>
                </c:pt>
                <c:pt idx="76">
                  <c:v>2.318962305239466</c:v>
                </c:pt>
                <c:pt idx="77">
                  <c:v>2.325231253466288</c:v>
                </c:pt>
                <c:pt idx="78">
                  <c:v>2.3314489645742236</c:v>
                </c:pt>
                <c:pt idx="79">
                  <c:v>2.337616478412946</c:v>
                </c:pt>
                <c:pt idx="80">
                  <c:v>2.343734801385277</c:v>
                </c:pt>
                <c:pt idx="81">
                  <c:v>2.349804907911174</c:v>
                </c:pt>
                <c:pt idx="82">
                  <c:v>2.355827741811029</c:v>
                </c:pt>
                <c:pt idx="83">
                  <c:v>2.361804217613624</c:v>
                </c:pt>
                <c:pt idx="84">
                  <c:v>2.367735221793676</c:v>
                </c:pt>
                <c:pt idx="85">
                  <c:v>2.373621613943524</c:v>
                </c:pt>
                <c:pt idx="86">
                  <c:v>2.379464227883165</c:v>
                </c:pt>
                <c:pt idx="87">
                  <c:v>2.3852638727125406</c:v>
                </c:pt>
                <c:pt idx="88">
                  <c:v>2.391021333809688</c:v>
                </c:pt>
                <c:pt idx="89">
                  <c:v>2.396737373778098</c:v>
                </c:pt>
                <c:pt idx="90">
                  <c:v>2.402412733346388</c:v>
                </c:pt>
                <c:pt idx="91">
                  <c:v>2.40804813222318</c:v>
                </c:pt>
                <c:pt idx="92">
                  <c:v>2.4136442699098586</c:v>
                </c:pt>
                <c:pt idx="93">
                  <c:v>2.419201826473712</c:v>
                </c:pt>
                <c:pt idx="94">
                  <c:v>2.424721463283772</c:v>
                </c:pt>
                <c:pt idx="95">
                  <c:v>2.430203823711523</c:v>
                </c:pt>
                <c:pt idx="96">
                  <c:v>2.435649533798491</c:v>
                </c:pt>
                <c:pt idx="97">
                  <c:v>2.4410592028926033</c:v>
                </c:pt>
                <c:pt idx="98">
                  <c:v>2.4464334242550736</c:v>
                </c:pt>
                <c:pt idx="99">
                  <c:v>2.451772775639449</c:v>
                </c:pt>
              </c:numCache>
            </c:numRef>
          </c:yVal>
          <c:smooth val="0"/>
        </c:ser>
        <c:ser>
          <c:idx val="1"/>
          <c:order val="1"/>
          <c:tx>
            <c:strRef>
              <c:f>VCOMP!$Z$190</c:f>
              <c:strCache>
                <c:ptCount val="1"/>
                <c:pt idx="0">
                  <c:v>ICOMP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VCOMP!$G$191:$G$290</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VCOMP!$Z$191:$Z$290</c:f>
              <c:numCache>
                <c:ptCount val="100"/>
                <c:pt idx="0">
                  <c:v>0.5</c:v>
                </c:pt>
                <c:pt idx="1">
                  <c:v>0.5</c:v>
                </c:pt>
                <c:pt idx="2">
                  <c:v>0.5</c:v>
                </c:pt>
                <c:pt idx="3">
                  <c:v>0.5</c:v>
                </c:pt>
                <c:pt idx="4">
                  <c:v>0.5</c:v>
                </c:pt>
                <c:pt idx="5">
                  <c:v>0.6470775020811166</c:v>
                </c:pt>
                <c:pt idx="6">
                  <c:v>0.7938262844359412</c:v>
                </c:pt>
                <c:pt idx="7">
                  <c:v>0.9278744880637305</c:v>
                </c:pt>
                <c:pt idx="8">
                  <c:v>1.0521685914445</c:v>
                </c:pt>
                <c:pt idx="9">
                  <c:v>1.1686998138125384</c:v>
                </c:pt>
                <c:pt idx="10">
                  <c:v>1.2788801114440393</c:v>
                </c:pt>
                <c:pt idx="11">
                  <c:v>1.3837493355319177</c:v>
                </c:pt>
                <c:pt idx="12">
                  <c:v>1.4840970854495747</c:v>
                </c:pt>
                <c:pt idx="13">
                  <c:v>1.5805382461966073</c:v>
                </c:pt>
                <c:pt idx="14">
                  <c:v>1.6735618751711419</c:v>
                </c:pt>
                <c:pt idx="15">
                  <c:v>1.7635640009729134</c:v>
                </c:pt>
                <c:pt idx="16">
                  <c:v>1.8508703115127807</c:v>
                </c:pt>
                <c:pt idx="17">
                  <c:v>1.9357522660174837</c:v>
                </c:pt>
                <c:pt idx="18">
                  <c:v>2.018438801253094</c:v>
                </c:pt>
                <c:pt idx="19">
                  <c:v>2.099125008758006</c:v>
                </c:pt>
                <c:pt idx="20">
                  <c:v>2.1779786817467865</c:v>
                </c:pt>
                <c:pt idx="21">
                  <c:v>2.255145333207939</c:v>
                </c:pt>
                <c:pt idx="22">
                  <c:v>2.3307520969376823</c:v>
                </c:pt>
                <c:pt idx="23">
                  <c:v>2.4049107990480376</c:v>
                </c:pt>
                <c:pt idx="24">
                  <c:v>2.4777204044043275</c:v>
                </c:pt>
                <c:pt idx="25">
                  <c:v>2.5492689857632227</c:v>
                </c:pt>
                <c:pt idx="26">
                  <c:v>2.6196353240115235</c:v>
                </c:pt>
                <c:pt idx="27">
                  <c:v>2.688890220110574</c:v>
                </c:pt>
                <c:pt idx="28">
                  <c:v>2.7570975794332955</c:v>
                </c:pt>
                <c:pt idx="29">
                  <c:v>2.8243153147109394</c:v>
                </c:pt>
                <c:pt idx="30">
                  <c:v>2.8905961031611445</c:v>
                </c:pt>
                <c:pt idx="31">
                  <c:v>2.9559880254448014</c:v>
                </c:pt>
                <c:pt idx="32">
                  <c:v>3.020535108136917</c:v>
                </c:pt>
                <c:pt idx="33">
                  <c:v>3.084277786864776</c:v>
                </c:pt>
                <c:pt idx="34">
                  <c:v>3.1472533037898063</c:v>
                </c:pt>
                <c:pt idx="35">
                  <c:v>3.2094960504183323</c:v>
                </c:pt>
                <c:pt idx="36">
                  <c:v>3.266188435011838</c:v>
                </c:pt>
                <c:pt idx="37">
                  <c:v>3.3144723866173416</c:v>
                </c:pt>
                <c:pt idx="38">
                  <c:v>3.3620897531861047</c:v>
                </c:pt>
                <c:pt idx="39">
                  <c:v>3.4090720511371027</c:v>
                </c:pt>
                <c:pt idx="40">
                  <c:v>3.455448397392117</c:v>
                </c:pt>
                <c:pt idx="41">
                  <c:v>3.501245754040574</c:v>
                </c:pt>
                <c:pt idx="42">
                  <c:v>3.546489142281073</c:v>
                </c:pt>
                <c:pt idx="43">
                  <c:v>3.591201830169737</c:v>
                </c:pt>
                <c:pt idx="44">
                  <c:v>3.6354054979449058</c:v>
                </c:pt>
                <c:pt idx="45">
                  <c:v>3.6791203840793445</c:v>
                </c:pt>
                <c:pt idx="46">
                  <c:v>3.722365414705965</c:v>
                </c:pt>
                <c:pt idx="47">
                  <c:v>3.7651583186484014</c:v>
                </c:pt>
                <c:pt idx="48">
                  <c:v>3.8075157299455524</c:v>
                </c:pt>
                <c:pt idx="49">
                  <c:v>3.8494532794758105</c:v>
                </c:pt>
                <c:pt idx="50">
                  <c:v>3.8909856770507067</c:v>
                </c:pt>
                <c:pt idx="51">
                  <c:v>3.9321267851507264</c:v>
                </c:pt>
                <c:pt idx="52">
                  <c:v>3.9728896853105815</c:v>
                </c:pt>
                <c:pt idx="53">
                  <c:v>4.013286738022112</c:v>
                </c:pt>
                <c:pt idx="54">
                  <c:v>4.053329636905293</c:v>
                </c:pt>
                <c:pt idx="55">
                  <c:v>4.093029457798107</c:v>
                </c:pt>
                <c:pt idx="56">
                  <c:v>4.132396703331138</c:v>
                </c:pt>
                <c:pt idx="57">
                  <c:v>4.171441343480334</c:v>
                </c:pt>
                <c:pt idx="58">
                  <c:v>4.210172852529371</c:v>
                </c:pt>
                <c:pt idx="59">
                  <c:v>4.248600242819755</c:v>
                </c:pt>
                <c:pt idx="60">
                  <c:v>4.286732095621</c:v>
                </c:pt>
                <c:pt idx="61">
                  <c:v>4.324576589413562</c:v>
                </c:pt>
                <c:pt idx="62">
                  <c:v>4.362141525842961</c:v>
                </c:pt>
                <c:pt idx="63">
                  <c:v>4.399434353573756</c:v>
                </c:pt>
                <c:pt idx="64">
                  <c:v>4.436462190246104</c:v>
                </c:pt>
                <c:pt idx="65">
                  <c:v>4.473231842715077</c:v>
                </c:pt>
                <c:pt idx="66">
                  <c:v>4.5097498257331585</c:v>
                </c:pt>
                <c:pt idx="67">
                  <c:v>4.546022379218981</c:v>
                </c:pt>
                <c:pt idx="68">
                  <c:v>4.582055484240252</c:v>
                </c:pt>
                <c:pt idx="69">
                  <c:v>4.617854877825328</c:v>
                </c:pt>
                <c:pt idx="70">
                  <c:v>4.653426066706223</c:v>
                </c:pt>
                <c:pt idx="71">
                  <c:v>4.688774340085284</c:v>
                </c:pt>
                <c:pt idx="72">
                  <c:v>4.723904781508635</c:v>
                </c:pt>
                <c:pt idx="73">
                  <c:v>4.758822279921296</c:v>
                </c:pt>
                <c:pt idx="74">
                  <c:v>4.793531539971527</c:v>
                </c:pt>
                <c:pt idx="75">
                  <c:v>4.828037091625588</c:v>
                </c:pt>
                <c:pt idx="76">
                  <c:v>4.862343299148253</c:v>
                </c:pt>
                <c:pt idx="77">
                  <c:v>4.896454369499297</c:v>
                </c:pt>
                <c:pt idx="78">
                  <c:v>4.930374360191555</c:v>
                </c:pt>
                <c:pt idx="79">
                  <c:v>4.964107186652005</c:v>
                </c:pt>
                <c:pt idx="80">
                  <c:v>4.997656629123679</c:v>
                </c:pt>
                <c:pt idx="81">
                  <c:v>5.031026339142755</c:v>
                </c:pt>
                <c:pt idx="82">
                  <c:v>5.064219845622335</c:v>
                </c:pt>
                <c:pt idx="83">
                  <c:v>5.0972405605716125</c:v>
                </c:pt>
                <c:pt idx="84">
                  <c:v>5.1300917844766785</c:v>
                </c:pt>
                <c:pt idx="85">
                  <c:v>5.162776711367108</c:v>
                </c:pt>
                <c:pt idx="86">
                  <c:v>5.195298433590396</c:v>
                </c:pt>
                <c:pt idx="87">
                  <c:v>5.227659946314518</c:v>
                </c:pt>
                <c:pt idx="88">
                  <c:v>5.259864151777283</c:v>
                </c:pt>
                <c:pt idx="89">
                  <c:v>5.291913863299608</c:v>
                </c:pt>
                <c:pt idx="90">
                  <c:v>5.323811809078542</c:v>
                </c:pt>
                <c:pt idx="91">
                  <c:v>5.35556063577461</c:v>
                </c:pt>
                <c:pt idx="92">
                  <c:v>5.387162911906916</c:v>
                </c:pt>
                <c:pt idx="93">
                  <c:v>5.418621131068431</c:v>
                </c:pt>
                <c:pt idx="94">
                  <c:v>5.4499377149729575</c:v>
                </c:pt>
                <c:pt idx="95">
                  <c:v>5.4811150163444164</c:v>
                </c:pt>
                <c:pt idx="96">
                  <c:v>5.512155321658283</c:v>
                </c:pt>
                <c:pt idx="97">
                  <c:v>5.5430608537443185</c:v>
                </c:pt>
                <c:pt idx="98">
                  <c:v>5.573833774259075</c:v>
                </c:pt>
                <c:pt idx="99">
                  <c:v>5.604476186036043</c:v>
                </c:pt>
              </c:numCache>
            </c:numRef>
          </c:yVal>
          <c:smooth val="0"/>
        </c:ser>
        <c:axId val="39725420"/>
        <c:axId val="21984461"/>
      </c:scatterChart>
      <c:valAx>
        <c:axId val="39725420"/>
        <c:scaling>
          <c:orientation val="minMax"/>
          <c:max val="100"/>
        </c:scaling>
        <c:axPos val="b"/>
        <c:title>
          <c:tx>
            <c:rich>
              <a:bodyPr vert="horz" rot="0" anchor="ctr"/>
              <a:lstStyle/>
              <a:p>
                <a:pPr algn="ctr">
                  <a:defRPr/>
                </a:pPr>
                <a:r>
                  <a:rPr lang="en-US" cap="none" sz="1075" b="1" i="0" u="none" baseline="0">
                    <a:solidFill>
                      <a:srgbClr val="000000"/>
                    </a:solidFill>
                    <a:latin typeface="Arial"/>
                    <a:ea typeface="Arial"/>
                    <a:cs typeface="Arial"/>
                  </a:rPr>
                  <a:t>Percent of Full Load (%)</a:t>
                </a:r>
              </a:p>
            </c:rich>
          </c:tx>
          <c:layout>
            <c:manualLayout>
              <c:xMode val="factor"/>
              <c:yMode val="factor"/>
              <c:x val="-0.00675"/>
              <c:y val="0.0002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1984461"/>
        <c:crossesAt val="0"/>
        <c:crossBetween val="midCat"/>
        <c:dispUnits/>
      </c:valAx>
      <c:valAx>
        <c:axId val="21984461"/>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VCOMP (V)</a:t>
                </a:r>
              </a:p>
            </c:rich>
          </c:tx>
          <c:layout>
            <c:manualLayout>
              <c:xMode val="factor"/>
              <c:yMode val="factor"/>
              <c:x val="-0.001"/>
              <c:y val="0"/>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9725420"/>
        <c:crosses val="autoZero"/>
        <c:crossBetween val="midCat"/>
        <c:dispUnits/>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86775"/>
          <c:y val="0.475"/>
          <c:w val="0.12675"/>
          <c:h val="0.12575"/>
        </c:manualLayout>
      </c:layout>
      <c:overlay val="0"/>
      <c:spPr>
        <a:noFill/>
        <a:ln w="3175">
          <a:no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156</xdr:row>
      <xdr:rowOff>9525</xdr:rowOff>
    </xdr:from>
    <xdr:to>
      <xdr:col>3</xdr:col>
      <xdr:colOff>1019175</xdr:colOff>
      <xdr:row>178</xdr:row>
      <xdr:rowOff>152400</xdr:rowOff>
    </xdr:to>
    <xdr:graphicFrame>
      <xdr:nvGraphicFramePr>
        <xdr:cNvPr id="1" name="Chart 1"/>
        <xdr:cNvGraphicFramePr/>
      </xdr:nvGraphicFramePr>
      <xdr:xfrm>
        <a:off x="0" y="31089600"/>
        <a:ext cx="8296275" cy="43434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191</xdr:row>
      <xdr:rowOff>76200</xdr:rowOff>
    </xdr:from>
    <xdr:to>
      <xdr:col>3</xdr:col>
      <xdr:colOff>628650</xdr:colOff>
      <xdr:row>223</xdr:row>
      <xdr:rowOff>76200</xdr:rowOff>
    </xdr:to>
    <xdr:graphicFrame>
      <xdr:nvGraphicFramePr>
        <xdr:cNvPr id="2" name="Chart 2"/>
        <xdr:cNvGraphicFramePr/>
      </xdr:nvGraphicFramePr>
      <xdr:xfrm>
        <a:off x="28575" y="38233350"/>
        <a:ext cx="78771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223</xdr:row>
      <xdr:rowOff>28575</xdr:rowOff>
    </xdr:from>
    <xdr:to>
      <xdr:col>3</xdr:col>
      <xdr:colOff>628650</xdr:colOff>
      <xdr:row>253</xdr:row>
      <xdr:rowOff>95250</xdr:rowOff>
    </xdr:to>
    <xdr:graphicFrame>
      <xdr:nvGraphicFramePr>
        <xdr:cNvPr id="3" name="Chart 7"/>
        <xdr:cNvGraphicFramePr/>
      </xdr:nvGraphicFramePr>
      <xdr:xfrm>
        <a:off x="38100" y="43367325"/>
        <a:ext cx="7867650" cy="4924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267</xdr:row>
      <xdr:rowOff>28575</xdr:rowOff>
    </xdr:from>
    <xdr:to>
      <xdr:col>3</xdr:col>
      <xdr:colOff>1019175</xdr:colOff>
      <xdr:row>299</xdr:row>
      <xdr:rowOff>142875</xdr:rowOff>
    </xdr:to>
    <xdr:graphicFrame>
      <xdr:nvGraphicFramePr>
        <xdr:cNvPr id="4" name="Chart 8"/>
        <xdr:cNvGraphicFramePr/>
      </xdr:nvGraphicFramePr>
      <xdr:xfrm>
        <a:off x="0" y="50815875"/>
        <a:ext cx="8296275" cy="5295900"/>
      </xdr:xfrm>
      <a:graphic>
        <a:graphicData uri="http://schemas.openxmlformats.org/drawingml/2006/chart">
          <c:chart xmlns:c="http://schemas.openxmlformats.org/drawingml/2006/chart" r:id="rId4"/>
        </a:graphicData>
      </a:graphic>
    </xdr:graphicFrame>
    <xdr:clientData/>
  </xdr:twoCellAnchor>
  <xdr:twoCellAnchor>
    <xdr:from>
      <xdr:col>5</xdr:col>
      <xdr:colOff>47625</xdr:colOff>
      <xdr:row>189</xdr:row>
      <xdr:rowOff>133350</xdr:rowOff>
    </xdr:from>
    <xdr:to>
      <xdr:col>12</xdr:col>
      <xdr:colOff>28575</xdr:colOff>
      <xdr:row>210</xdr:row>
      <xdr:rowOff>161925</xdr:rowOff>
    </xdr:to>
    <xdr:graphicFrame>
      <xdr:nvGraphicFramePr>
        <xdr:cNvPr id="5" name="Chart 2"/>
        <xdr:cNvGraphicFramePr/>
      </xdr:nvGraphicFramePr>
      <xdr:xfrm>
        <a:off x="10220325" y="37909500"/>
        <a:ext cx="6819900" cy="348615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212</xdr:row>
      <xdr:rowOff>0</xdr:rowOff>
    </xdr:from>
    <xdr:to>
      <xdr:col>11</xdr:col>
      <xdr:colOff>600075</xdr:colOff>
      <xdr:row>233</xdr:row>
      <xdr:rowOff>85725</xdr:rowOff>
    </xdr:to>
    <xdr:graphicFrame>
      <xdr:nvGraphicFramePr>
        <xdr:cNvPr id="6" name="Chart 2"/>
        <xdr:cNvGraphicFramePr/>
      </xdr:nvGraphicFramePr>
      <xdr:xfrm>
        <a:off x="10172700" y="41557575"/>
        <a:ext cx="6829425" cy="34861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4</xdr:col>
      <xdr:colOff>4238625</xdr:colOff>
      <xdr:row>36</xdr:row>
      <xdr:rowOff>114300</xdr:rowOff>
    </xdr:to>
    <xdr:pic>
      <xdr:nvPicPr>
        <xdr:cNvPr id="1" name="Picture 2"/>
        <xdr:cNvPicPr preferRelativeResize="1">
          <a:picLocks noChangeAspect="1"/>
        </xdr:cNvPicPr>
      </xdr:nvPicPr>
      <xdr:blipFill>
        <a:blip r:embed="rId1"/>
        <a:stretch>
          <a:fillRect/>
        </a:stretch>
      </xdr:blipFill>
      <xdr:spPr>
        <a:xfrm>
          <a:off x="638175" y="457200"/>
          <a:ext cx="10953750" cy="5591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0741357\Documents\modified%20UCC28180_Konfi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INPUTS AND CALCULATIONS"/>
      <sheetName val="SCHEMATIC"/>
      <sheetName val="data"/>
      <sheetName val="VCOMP"/>
      <sheetName val="Open Loop Bench"/>
      <sheetName val="Ideal ICOMP_MH"/>
    </sheetNames>
    <sheetDataSet>
      <sheetData sheetId="5">
        <row r="309">
          <cell r="B309">
            <v>1</v>
          </cell>
        </row>
        <row r="310">
          <cell r="B310">
            <v>2</v>
          </cell>
        </row>
        <row r="311">
          <cell r="B311">
            <v>-0.4375</v>
          </cell>
        </row>
        <row r="313">
          <cell r="B313">
            <v>0.5</v>
          </cell>
        </row>
        <row r="314">
          <cell r="B314">
            <v>44.755</v>
          </cell>
        </row>
        <row r="315">
          <cell r="B315">
            <v>-2.5</v>
          </cell>
        </row>
        <row r="316">
          <cell r="B316">
            <v>-0.005737130488213602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T318"/>
  <sheetViews>
    <sheetView tabSelected="1" zoomScalePageLayoutView="0" workbookViewId="0" topLeftCell="A310">
      <selection activeCell="E264" sqref="E264"/>
    </sheetView>
  </sheetViews>
  <sheetFormatPr defaultColWidth="9.140625" defaultRowHeight="12.75"/>
  <cols>
    <col min="1" max="1" width="73.8515625" style="24" customWidth="1"/>
    <col min="2" max="2" width="18.8515625" style="24" customWidth="1"/>
    <col min="3" max="3" width="16.421875" style="24" customWidth="1"/>
    <col min="4" max="4" width="15.421875" style="24" customWidth="1"/>
    <col min="5" max="5" width="28.00390625" style="24" customWidth="1"/>
    <col min="6" max="6" width="9.140625" style="24" customWidth="1"/>
    <col min="7" max="7" width="24.421875" style="24" customWidth="1"/>
    <col min="8" max="8" width="19.00390625" style="24" customWidth="1"/>
    <col min="9" max="9" width="22.57421875" style="24" customWidth="1"/>
    <col min="10" max="16" width="9.140625" style="24" customWidth="1"/>
    <col min="17" max="17" width="11.8515625" style="24" customWidth="1"/>
    <col min="18" max="18" width="12.8515625" style="24" customWidth="1"/>
    <col min="19" max="16384" width="9.140625" style="24" customWidth="1"/>
  </cols>
  <sheetData>
    <row r="1" spans="1:12" ht="44.25" customHeight="1" thickBot="1">
      <c r="A1" s="210" t="s">
        <v>244</v>
      </c>
      <c r="B1" s="211"/>
      <c r="C1" s="211"/>
      <c r="D1" s="212"/>
      <c r="F1" s="23"/>
      <c r="G1" s="23"/>
      <c r="H1" s="23"/>
      <c r="I1" s="23"/>
      <c r="J1" s="23"/>
      <c r="K1" s="23"/>
      <c r="L1" s="23"/>
    </row>
    <row r="2" spans="1:9" ht="19.5" customHeight="1" thickBot="1">
      <c r="A2" s="98" t="s">
        <v>240</v>
      </c>
      <c r="B2" s="124" t="s">
        <v>250</v>
      </c>
      <c r="C2" s="124" t="s">
        <v>491</v>
      </c>
      <c r="D2" s="125"/>
      <c r="E2" s="38"/>
      <c r="F2" s="39"/>
      <c r="G2" s="40"/>
      <c r="H2" s="41"/>
      <c r="I2" s="42"/>
    </row>
    <row r="3" spans="1:9" ht="45" customHeight="1" thickBot="1">
      <c r="A3" s="213" t="s">
        <v>245</v>
      </c>
      <c r="B3" s="214"/>
      <c r="C3" s="214"/>
      <c r="D3" s="215"/>
      <c r="E3" s="23"/>
      <c r="F3" s="23"/>
      <c r="G3" s="23"/>
      <c r="H3" s="23"/>
      <c r="I3" s="23"/>
    </row>
    <row r="4" spans="1:9" ht="15">
      <c r="A4" s="96" t="s">
        <v>25</v>
      </c>
      <c r="B4" s="97" t="s">
        <v>23</v>
      </c>
      <c r="C4" s="216" t="s">
        <v>24</v>
      </c>
      <c r="D4" s="217"/>
      <c r="E4" s="23"/>
      <c r="F4" s="23"/>
      <c r="G4" s="23"/>
      <c r="H4" s="23"/>
      <c r="I4" s="23"/>
    </row>
    <row r="5" spans="1:9" ht="15">
      <c r="A5" s="218" t="s">
        <v>26</v>
      </c>
      <c r="B5" s="219"/>
      <c r="C5" s="219"/>
      <c r="D5" s="220"/>
      <c r="E5" s="23"/>
      <c r="F5" s="23"/>
      <c r="G5" s="23"/>
      <c r="H5" s="23"/>
      <c r="I5" s="23"/>
    </row>
    <row r="6" spans="1:9" ht="17.25">
      <c r="A6" s="227" t="s">
        <v>249</v>
      </c>
      <c r="B6" s="228"/>
      <c r="C6" s="228"/>
      <c r="D6" s="229"/>
      <c r="E6" s="23"/>
      <c r="F6" s="23"/>
      <c r="G6" s="23"/>
      <c r="H6" s="23"/>
      <c r="I6" s="23"/>
    </row>
    <row r="7" spans="1:9" ht="15" customHeight="1">
      <c r="A7" s="230" t="s">
        <v>251</v>
      </c>
      <c r="B7" s="231"/>
      <c r="C7" s="231"/>
      <c r="D7" s="232"/>
      <c r="E7" s="23"/>
      <c r="F7" s="23"/>
      <c r="G7" s="23"/>
      <c r="H7" s="23"/>
      <c r="I7" s="23"/>
    </row>
    <row r="8" spans="1:9" ht="14.25" customHeight="1">
      <c r="A8" s="230"/>
      <c r="B8" s="231"/>
      <c r="C8" s="231"/>
      <c r="D8" s="232"/>
      <c r="E8" s="23"/>
      <c r="F8" s="23"/>
      <c r="G8" s="23"/>
      <c r="H8" s="23"/>
      <c r="I8" s="23"/>
    </row>
    <row r="9" spans="1:9" ht="12.75" customHeight="1">
      <c r="A9" s="230"/>
      <c r="B9" s="231"/>
      <c r="C9" s="231"/>
      <c r="D9" s="232"/>
      <c r="E9" s="23"/>
      <c r="F9" s="23"/>
      <c r="G9" s="23"/>
      <c r="H9" s="23"/>
      <c r="I9" s="23"/>
    </row>
    <row r="10" spans="1:9" ht="13.5" customHeight="1">
      <c r="A10" s="230"/>
      <c r="B10" s="231"/>
      <c r="C10" s="231"/>
      <c r="D10" s="232"/>
      <c r="E10" s="23"/>
      <c r="F10" s="23"/>
      <c r="G10" s="23"/>
      <c r="H10" s="23"/>
      <c r="I10" s="23"/>
    </row>
    <row r="11" spans="1:9" ht="15" customHeight="1" thickBot="1">
      <c r="A11" s="230"/>
      <c r="B11" s="231"/>
      <c r="C11" s="231"/>
      <c r="D11" s="232"/>
      <c r="E11" s="23"/>
      <c r="F11" s="23"/>
      <c r="G11" s="23"/>
      <c r="H11" s="23"/>
      <c r="I11" s="23"/>
    </row>
    <row r="12" spans="1:9" ht="15" customHeight="1">
      <c r="A12" s="233" t="s">
        <v>243</v>
      </c>
      <c r="B12" s="234"/>
      <c r="C12" s="234"/>
      <c r="D12" s="235"/>
      <c r="E12" s="23"/>
      <c r="F12" s="23"/>
      <c r="G12" s="23"/>
      <c r="H12" s="23"/>
      <c r="I12" s="23"/>
    </row>
    <row r="13" spans="1:9" ht="12.75">
      <c r="A13" s="236"/>
      <c r="B13" s="237"/>
      <c r="C13" s="237"/>
      <c r="D13" s="238"/>
      <c r="E13" s="23"/>
      <c r="F13" s="23"/>
      <c r="G13" s="23"/>
      <c r="H13" s="23"/>
      <c r="I13" s="23"/>
    </row>
    <row r="14" spans="1:9" ht="12.75">
      <c r="A14" s="236"/>
      <c r="B14" s="237"/>
      <c r="C14" s="237"/>
      <c r="D14" s="238"/>
      <c r="E14" s="23"/>
      <c r="F14" s="23"/>
      <c r="G14" s="23"/>
      <c r="H14" s="23"/>
      <c r="I14" s="23"/>
    </row>
    <row r="15" spans="1:9" ht="12.75">
      <c r="A15" s="236"/>
      <c r="B15" s="237"/>
      <c r="C15" s="237"/>
      <c r="D15" s="238"/>
      <c r="E15" s="23"/>
      <c r="F15" s="23"/>
      <c r="G15" s="23"/>
      <c r="H15" s="23"/>
      <c r="I15" s="23"/>
    </row>
    <row r="16" spans="1:4" ht="13.5" thickBot="1">
      <c r="A16" s="239"/>
      <c r="B16" s="240"/>
      <c r="C16" s="240"/>
      <c r="D16" s="241"/>
    </row>
    <row r="17" spans="1:4" ht="12.75">
      <c r="A17" s="201" t="s">
        <v>241</v>
      </c>
      <c r="B17" s="202"/>
      <c r="C17" s="202"/>
      <c r="D17" s="203"/>
    </row>
    <row r="18" spans="1:4" ht="12.75">
      <c r="A18" s="221" t="s">
        <v>242</v>
      </c>
      <c r="B18" s="222"/>
      <c r="C18" s="222"/>
      <c r="D18" s="223"/>
    </row>
    <row r="19" spans="1:4" ht="12.75">
      <c r="A19" s="221"/>
      <c r="B19" s="222"/>
      <c r="C19" s="222"/>
      <c r="D19" s="223"/>
    </row>
    <row r="20" spans="1:4" ht="13.5" thickBot="1">
      <c r="A20" s="224"/>
      <c r="B20" s="225"/>
      <c r="C20" s="225"/>
      <c r="D20" s="226"/>
    </row>
    <row r="21" spans="1:4" ht="13.5" thickBot="1">
      <c r="A21" s="85"/>
      <c r="B21" s="85"/>
      <c r="C21" s="85"/>
      <c r="D21" s="85"/>
    </row>
    <row r="22" spans="1:4" ht="15">
      <c r="A22" s="198" t="s">
        <v>22</v>
      </c>
      <c r="B22" s="199"/>
      <c r="C22" s="199"/>
      <c r="D22" s="200"/>
    </row>
    <row r="23" spans="1:4" ht="15">
      <c r="A23" s="43" t="s">
        <v>0</v>
      </c>
      <c r="B23" s="51" t="s">
        <v>253</v>
      </c>
      <c r="C23" s="86">
        <v>176</v>
      </c>
      <c r="D23" s="45" t="s">
        <v>124</v>
      </c>
    </row>
    <row r="24" spans="1:4" ht="15">
      <c r="A24" s="43" t="s">
        <v>1</v>
      </c>
      <c r="B24" s="51" t="s">
        <v>254</v>
      </c>
      <c r="C24" s="86">
        <v>256</v>
      </c>
      <c r="D24" s="45" t="s">
        <v>124</v>
      </c>
    </row>
    <row r="25" spans="1:4" ht="15">
      <c r="A25" s="43" t="s">
        <v>4</v>
      </c>
      <c r="B25" s="44" t="s">
        <v>7</v>
      </c>
      <c r="C25" s="86">
        <v>50</v>
      </c>
      <c r="D25" s="45" t="s">
        <v>5</v>
      </c>
    </row>
    <row r="26" spans="1:4" ht="15">
      <c r="A26" s="43" t="s">
        <v>6</v>
      </c>
      <c r="B26" s="44" t="s">
        <v>8</v>
      </c>
      <c r="C26" s="86">
        <v>60</v>
      </c>
      <c r="D26" s="45" t="s">
        <v>5</v>
      </c>
    </row>
    <row r="27" spans="1:4" ht="15">
      <c r="A27" s="43" t="s">
        <v>3</v>
      </c>
      <c r="B27" s="51" t="s">
        <v>252</v>
      </c>
      <c r="C27" s="46">
        <f>SQRT(2)*Vacin_min</f>
        <v>248.90158697766475</v>
      </c>
      <c r="D27" s="45" t="s">
        <v>11</v>
      </c>
    </row>
    <row r="28" spans="1:4" ht="15.75" thickBot="1">
      <c r="A28" s="47" t="s">
        <v>2</v>
      </c>
      <c r="B28" s="68" t="s">
        <v>255</v>
      </c>
      <c r="C28" s="49">
        <f>SQRT(2)*Vacin_max</f>
        <v>362.03867196751236</v>
      </c>
      <c r="D28" s="50" t="s">
        <v>11</v>
      </c>
    </row>
    <row r="29" spans="1:4" ht="12.75">
      <c r="A29" s="191"/>
      <c r="B29" s="191"/>
      <c r="C29" s="191"/>
      <c r="D29" s="191"/>
    </row>
    <row r="30" spans="1:4" ht="13.5" thickBot="1">
      <c r="A30" s="192"/>
      <c r="B30" s="192"/>
      <c r="C30" s="192"/>
      <c r="D30" s="192"/>
    </row>
    <row r="31" spans="1:4" ht="15">
      <c r="A31" s="198" t="s">
        <v>21</v>
      </c>
      <c r="B31" s="199"/>
      <c r="C31" s="199"/>
      <c r="D31" s="200"/>
    </row>
    <row r="32" spans="1:4" ht="15">
      <c r="A32" s="43" t="s">
        <v>34</v>
      </c>
      <c r="B32" s="44" t="s">
        <v>13</v>
      </c>
      <c r="C32" s="86">
        <v>1550</v>
      </c>
      <c r="D32" s="45" t="s">
        <v>12</v>
      </c>
    </row>
    <row r="33" spans="1:5" ht="31.5" customHeight="1">
      <c r="A33" s="43" t="s">
        <v>237</v>
      </c>
      <c r="B33" s="44" t="s">
        <v>121</v>
      </c>
      <c r="C33" s="86">
        <v>385</v>
      </c>
      <c r="D33" s="45" t="s">
        <v>11</v>
      </c>
      <c r="E33" s="157" t="str">
        <f>IF(Vout&lt;=Vin_peak_max,"OUTPUT VOLTAGE MUST BE GREATER THAN RECTIFIED MAXIMUM INPUT VOLTAGE"," ")</f>
        <v> </v>
      </c>
    </row>
    <row r="34" spans="1:5" ht="15.75" customHeight="1">
      <c r="A34" s="43" t="s">
        <v>192</v>
      </c>
      <c r="B34" s="44" t="s">
        <v>14</v>
      </c>
      <c r="C34" s="86">
        <v>0.99</v>
      </c>
      <c r="D34" s="45"/>
      <c r="E34" s="158" t="str">
        <f>IF(PF&gt;=0.999,"ENTER VALUE LESS THAN 0.999"," ")</f>
        <v> </v>
      </c>
    </row>
    <row r="35" spans="1:5" ht="12.75">
      <c r="A35" s="43" t="s">
        <v>10</v>
      </c>
      <c r="B35" s="53" t="s">
        <v>9</v>
      </c>
      <c r="C35" s="86">
        <v>0.95</v>
      </c>
      <c r="D35" s="45"/>
      <c r="E35" s="158" t="str">
        <f>IF(eff&gt;=0.97,"ENTER VALUE LESS THAN 0.97"," ")</f>
        <v> </v>
      </c>
    </row>
    <row r="36" spans="1:4" ht="15">
      <c r="A36" s="43" t="s">
        <v>41</v>
      </c>
      <c r="B36" s="44" t="s">
        <v>44</v>
      </c>
      <c r="C36" s="86">
        <v>50</v>
      </c>
      <c r="D36" s="54" t="s">
        <v>40</v>
      </c>
    </row>
    <row r="37" spans="1:4" ht="15">
      <c r="A37" s="76" t="s">
        <v>282</v>
      </c>
      <c r="B37" s="51" t="s">
        <v>394</v>
      </c>
      <c r="C37" s="46">
        <f>Pout/Vout</f>
        <v>4.025974025974026</v>
      </c>
      <c r="D37" s="52" t="s">
        <v>18</v>
      </c>
    </row>
    <row r="38" spans="1:5" ht="15">
      <c r="A38" s="61" t="s">
        <v>246</v>
      </c>
      <c r="B38" s="57" t="s">
        <v>390</v>
      </c>
      <c r="C38" s="104">
        <v>140</v>
      </c>
      <c r="D38" s="59" t="s">
        <v>139</v>
      </c>
      <c r="E38" s="158">
        <f>IF(fSW_target&lt;18,"fsw must not be less than 18 kHz",IF(fSW_target&gt;250,"fsw must not be greater than 250 kHz",""))</f>
      </c>
    </row>
    <row r="39" spans="1:4" ht="15">
      <c r="A39" s="76" t="s">
        <v>247</v>
      </c>
      <c r="B39" s="51" t="s">
        <v>295</v>
      </c>
      <c r="C39" s="46">
        <f>data!F233</f>
        <v>14.7</v>
      </c>
      <c r="D39" s="52" t="s">
        <v>281</v>
      </c>
    </row>
    <row r="40" spans="1:4" ht="15">
      <c r="A40" s="61" t="s">
        <v>287</v>
      </c>
      <c r="B40" s="57" t="s">
        <v>392</v>
      </c>
      <c r="C40" s="104">
        <v>15</v>
      </c>
      <c r="D40" s="59" t="s">
        <v>391</v>
      </c>
    </row>
    <row r="41" spans="1:4" ht="15.75" thickBot="1">
      <c r="A41" s="67" t="s">
        <v>380</v>
      </c>
      <c r="B41" s="68" t="s">
        <v>393</v>
      </c>
      <c r="C41" s="106">
        <f>((32.7*kOhms*65*kHz*(1*MegOhm+Rfreq*kOhms))/(Rfreq*kOhms*(1*MegOhm+32.7*kOhms)))/kHz</f>
        <v>139.27132758787647</v>
      </c>
      <c r="D41" s="70" t="s">
        <v>139</v>
      </c>
    </row>
    <row r="42" spans="1:4" ht="12.75">
      <c r="A42" s="92">
        <f>IF(Vout&gt;=Vin_peak_max,IF(PF&lt;1,IF(eff&lt;0.97,"","DO NOT PROCEED. ENTER EFFICIENCY LESS &lt; 0.97"),"DO NOT PROCEED. ENTER PF &lt; 1"),"DO NOT PROCEED. OUTPUT VOLTAGE MUST BE &gt; RECTIFIED MAXIMUM INPUT VOLTAGE")</f>
      </c>
      <c r="B42" s="92"/>
      <c r="C42" s="92"/>
      <c r="D42" s="92"/>
    </row>
    <row r="43" spans="1:4" ht="13.5" thickBot="1">
      <c r="A43" s="92"/>
      <c r="B43" s="92"/>
      <c r="C43" s="92"/>
      <c r="D43" s="92"/>
    </row>
    <row r="44" spans="1:4" ht="15">
      <c r="A44" s="198" t="s">
        <v>290</v>
      </c>
      <c r="B44" s="199"/>
      <c r="C44" s="199"/>
      <c r="D44" s="200"/>
    </row>
    <row r="45" spans="1:4" ht="15">
      <c r="A45" s="43" t="s">
        <v>15</v>
      </c>
      <c r="B45" s="44" t="s">
        <v>16</v>
      </c>
      <c r="C45" s="46">
        <f>Pout/eff</f>
        <v>1631.578947368421</v>
      </c>
      <c r="D45" s="45" t="s">
        <v>12</v>
      </c>
    </row>
    <row r="46" spans="1:4" ht="15">
      <c r="A46" s="43" t="s">
        <v>17</v>
      </c>
      <c r="B46" s="44" t="s">
        <v>45</v>
      </c>
      <c r="C46" s="46">
        <f>Pout/(eff*Vacin_min*PF)</f>
        <v>9.36397467497946</v>
      </c>
      <c r="D46" s="45" t="s">
        <v>18</v>
      </c>
    </row>
    <row r="47" spans="1:4" ht="15">
      <c r="A47" s="43" t="s">
        <v>19</v>
      </c>
      <c r="B47" s="44" t="s">
        <v>46</v>
      </c>
      <c r="C47" s="46">
        <f>SQRT(2)*Iin_rms_max</f>
        <v>13.242659983074148</v>
      </c>
      <c r="D47" s="45" t="s">
        <v>18</v>
      </c>
    </row>
    <row r="48" spans="1:4" ht="15">
      <c r="A48" s="43" t="s">
        <v>20</v>
      </c>
      <c r="B48" s="44" t="s">
        <v>47</v>
      </c>
      <c r="C48" s="46">
        <f>(2*Iin_peak_max)/PI()</f>
        <v>8.430539183965942</v>
      </c>
      <c r="D48" s="45" t="s">
        <v>18</v>
      </c>
    </row>
    <row r="49" spans="1:4" ht="15.75" thickBot="1">
      <c r="A49" s="47" t="s">
        <v>164</v>
      </c>
      <c r="B49" s="48" t="s">
        <v>48</v>
      </c>
      <c r="C49" s="49">
        <f>1.5*Iin_rms_max</f>
        <v>14.04596201246919</v>
      </c>
      <c r="D49" s="50" t="s">
        <v>18</v>
      </c>
    </row>
    <row r="50" spans="1:4" ht="12.75">
      <c r="A50" s="204"/>
      <c r="B50" s="204"/>
      <c r="C50" s="204"/>
      <c r="D50" s="204"/>
    </row>
    <row r="51" spans="1:4" ht="13.5" thickBot="1">
      <c r="A51" s="192"/>
      <c r="B51" s="192"/>
      <c r="C51" s="192"/>
      <c r="D51" s="192"/>
    </row>
    <row r="52" spans="1:4" ht="15">
      <c r="A52" s="198" t="s">
        <v>87</v>
      </c>
      <c r="B52" s="199"/>
      <c r="C52" s="199"/>
      <c r="D52" s="200"/>
    </row>
    <row r="53" spans="1:4" ht="15">
      <c r="A53" s="76" t="s">
        <v>384</v>
      </c>
      <c r="B53" s="51" t="s">
        <v>385</v>
      </c>
      <c r="C53" s="105">
        <v>1.05</v>
      </c>
      <c r="D53" s="52" t="s">
        <v>11</v>
      </c>
    </row>
    <row r="54" spans="1:4" ht="15">
      <c r="A54" s="76" t="s">
        <v>42</v>
      </c>
      <c r="B54" s="51" t="s">
        <v>386</v>
      </c>
      <c r="C54" s="105">
        <v>0.6</v>
      </c>
      <c r="D54" s="54" t="s">
        <v>387</v>
      </c>
    </row>
    <row r="55" spans="1:4" ht="15">
      <c r="A55" s="76" t="s">
        <v>304</v>
      </c>
      <c r="B55" s="51" t="s">
        <v>388</v>
      </c>
      <c r="C55" s="105">
        <v>0.7</v>
      </c>
      <c r="D55" s="54" t="s">
        <v>387</v>
      </c>
    </row>
    <row r="56" spans="1:4" ht="15">
      <c r="A56" s="76" t="s">
        <v>43</v>
      </c>
      <c r="B56" s="51" t="s">
        <v>39</v>
      </c>
      <c r="C56" s="105">
        <v>125</v>
      </c>
      <c r="D56" s="54" t="s">
        <v>389</v>
      </c>
    </row>
    <row r="57" spans="1:4" ht="15">
      <c r="A57" s="43" t="s">
        <v>94</v>
      </c>
      <c r="B57" s="51" t="s">
        <v>293</v>
      </c>
      <c r="C57" s="46">
        <f>1.5*Iin_avg_max</f>
        <v>12.645808775948915</v>
      </c>
      <c r="D57" s="45" t="s">
        <v>18</v>
      </c>
    </row>
    <row r="58" spans="1:4" ht="15">
      <c r="A58" s="43" t="s">
        <v>93</v>
      </c>
      <c r="B58" s="51" t="s">
        <v>294</v>
      </c>
      <c r="C58" s="46">
        <f>Vin_peak_max*1.1</f>
        <v>398.24253916426363</v>
      </c>
      <c r="D58" s="45" t="s">
        <v>11</v>
      </c>
    </row>
    <row r="59" spans="1:4" ht="15">
      <c r="A59" s="43" t="s">
        <v>32</v>
      </c>
      <c r="B59" s="44" t="s">
        <v>33</v>
      </c>
      <c r="C59" s="46">
        <f>2*Vf_bridge*Iin_avg_max</f>
        <v>17.70413228632848</v>
      </c>
      <c r="D59" s="45" t="s">
        <v>12</v>
      </c>
    </row>
    <row r="60" spans="1:4" ht="15.75" thickBot="1">
      <c r="A60" s="47" t="s">
        <v>49</v>
      </c>
      <c r="B60" s="48" t="s">
        <v>50</v>
      </c>
      <c r="C60" s="49">
        <f>((Tj_bridge-Tamb)/Pbridge)-Rjc_bridge-Rchs_bridge</f>
        <v>2.936299118591463</v>
      </c>
      <c r="D60" s="55" t="s">
        <v>38</v>
      </c>
    </row>
    <row r="61" spans="1:4" ht="12.75">
      <c r="A61" s="191"/>
      <c r="B61" s="191"/>
      <c r="C61" s="191"/>
      <c r="D61" s="191"/>
    </row>
    <row r="62" spans="1:4" ht="13.5" thickBot="1">
      <c r="A62" s="204"/>
      <c r="B62" s="204"/>
      <c r="C62" s="204"/>
      <c r="D62" s="204"/>
    </row>
    <row r="63" spans="1:4" ht="15">
      <c r="A63" s="198" t="s">
        <v>27</v>
      </c>
      <c r="B63" s="199"/>
      <c r="C63" s="199"/>
      <c r="D63" s="200"/>
    </row>
    <row r="64" spans="1:5" ht="51.75" customHeight="1">
      <c r="A64" s="102" t="s">
        <v>363</v>
      </c>
      <c r="B64" s="57" t="s">
        <v>364</v>
      </c>
      <c r="C64" s="104">
        <v>0.225</v>
      </c>
      <c r="D64" s="107">
        <f>IF(L_I_ripple_factor&gt;0.4,"Lower ripple current factor is recommended","")</f>
      </c>
      <c r="E64" s="25"/>
    </row>
    <row r="65" spans="1:4" ht="15">
      <c r="A65" s="61" t="s">
        <v>154</v>
      </c>
      <c r="B65" s="57" t="s">
        <v>365</v>
      </c>
      <c r="C65" s="86">
        <v>0.05</v>
      </c>
      <c r="D65" s="45"/>
    </row>
    <row r="66" spans="1:4" ht="15">
      <c r="A66" s="76" t="s">
        <v>284</v>
      </c>
      <c r="B66" s="51" t="s">
        <v>285</v>
      </c>
      <c r="C66" s="46">
        <f>L_I_ripple_factor*Iin_peak_max</f>
        <v>2.9795984961916835</v>
      </c>
      <c r="D66" s="45" t="s">
        <v>18</v>
      </c>
    </row>
    <row r="67" spans="1:4" ht="15">
      <c r="A67" s="43" t="s">
        <v>28</v>
      </c>
      <c r="B67" s="44" t="s">
        <v>37</v>
      </c>
      <c r="C67" s="46">
        <f>V_ripplefactor*Vin_peak_min</f>
        <v>12.445079348883239</v>
      </c>
      <c r="D67" s="45" t="s">
        <v>11</v>
      </c>
    </row>
    <row r="68" spans="1:4" ht="15.75" customHeight="1">
      <c r="A68" s="76" t="s">
        <v>283</v>
      </c>
      <c r="B68" s="94" t="s">
        <v>296</v>
      </c>
      <c r="C68" s="46">
        <f>data!F228</f>
        <v>0.22000000000000003</v>
      </c>
      <c r="D68" s="54" t="s">
        <v>288</v>
      </c>
    </row>
    <row r="69" spans="1:4" ht="15.75" customHeight="1">
      <c r="A69" s="61" t="s">
        <v>286</v>
      </c>
      <c r="B69" s="95" t="s">
        <v>366</v>
      </c>
      <c r="C69" s="108">
        <v>0.3</v>
      </c>
      <c r="D69" s="59" t="str">
        <f>data!G228</f>
        <v>µF</v>
      </c>
    </row>
    <row r="70" spans="1:4" ht="15.75" customHeight="1" thickBot="1">
      <c r="A70" s="67" t="s">
        <v>291</v>
      </c>
      <c r="B70" s="93" t="s">
        <v>289</v>
      </c>
      <c r="C70" s="49">
        <f>Vrated</f>
        <v>398.24253916426363</v>
      </c>
      <c r="D70" s="70" t="s">
        <v>11</v>
      </c>
    </row>
    <row r="71" spans="1:4" ht="12.75">
      <c r="A71" s="207"/>
      <c r="B71" s="207"/>
      <c r="C71" s="207"/>
      <c r="D71" s="207"/>
    </row>
    <row r="72" spans="1:4" ht="13.5" thickBot="1">
      <c r="A72" s="207"/>
      <c r="B72" s="207"/>
      <c r="C72" s="207"/>
      <c r="D72" s="207"/>
    </row>
    <row r="73" spans="1:4" ht="15">
      <c r="A73" s="198" t="s">
        <v>29</v>
      </c>
      <c r="B73" s="199"/>
      <c r="C73" s="199"/>
      <c r="D73" s="200"/>
    </row>
    <row r="74" spans="1:4" ht="15">
      <c r="A74" s="43" t="s">
        <v>30</v>
      </c>
      <c r="B74" s="44" t="s">
        <v>52</v>
      </c>
      <c r="C74" s="46">
        <f>(Vout-Vin_peak_min)/Vout</f>
        <v>0.3535023714865851</v>
      </c>
      <c r="D74" s="45"/>
    </row>
    <row r="75" spans="1:4" ht="15">
      <c r="A75" s="43" t="s">
        <v>31</v>
      </c>
      <c r="B75" s="44" t="s">
        <v>51</v>
      </c>
      <c r="C75" s="46">
        <f>Iin_peak_max+(Iripple/2)</f>
        <v>14.73245923116999</v>
      </c>
      <c r="D75" s="45" t="s">
        <v>18</v>
      </c>
    </row>
    <row r="76" spans="1:4" ht="15">
      <c r="A76" s="76" t="s">
        <v>292</v>
      </c>
      <c r="B76" s="51" t="s">
        <v>297</v>
      </c>
      <c r="C76" s="58">
        <f>((Vout*0.5*(1-0.5))/(fsw*kHz*Iripple))/mH</f>
        <v>0.23194300329635728</v>
      </c>
      <c r="D76" s="52" t="s">
        <v>35</v>
      </c>
    </row>
    <row r="77" spans="1:5" ht="21" customHeight="1">
      <c r="A77" s="61" t="s">
        <v>36</v>
      </c>
      <c r="B77" s="57" t="s">
        <v>350</v>
      </c>
      <c r="C77" s="104">
        <v>0.25</v>
      </c>
      <c r="D77" s="59" t="s">
        <v>35</v>
      </c>
      <c r="E77" s="25"/>
    </row>
    <row r="78" spans="1:5" ht="18.75" customHeight="1">
      <c r="A78" s="43" t="s">
        <v>193</v>
      </c>
      <c r="B78" s="51" t="s">
        <v>194</v>
      </c>
      <c r="C78" s="46">
        <f>(Vout*0.5*(1-0.5))/((fsw*kHz)*(Lbst*mH))</f>
        <v>2.7643880952960354</v>
      </c>
      <c r="D78" s="45" t="s">
        <v>18</v>
      </c>
      <c r="E78" s="25"/>
    </row>
    <row r="79" spans="1:4" ht="15">
      <c r="A79" s="43" t="s">
        <v>195</v>
      </c>
      <c r="B79" s="44" t="s">
        <v>196</v>
      </c>
      <c r="C79" s="46">
        <f>Iin_peak_max+(Iripple_actual/2)</f>
        <v>14.624854030722165</v>
      </c>
      <c r="D79" s="45" t="s">
        <v>18</v>
      </c>
    </row>
    <row r="80" spans="1:4" ht="15.75" thickBot="1">
      <c r="A80" s="67" t="s">
        <v>299</v>
      </c>
      <c r="B80" s="68" t="s">
        <v>300</v>
      </c>
      <c r="C80" s="49">
        <f>Iripple_actual/(SQRT(2)*Iin_rms_max)</f>
        <v>0.20874870296672157</v>
      </c>
      <c r="D80" s="50"/>
    </row>
    <row r="81" spans="1:4" ht="12.75">
      <c r="A81" s="207"/>
      <c r="B81" s="207"/>
      <c r="C81" s="207"/>
      <c r="D81" s="207"/>
    </row>
    <row r="82" spans="1:4" ht="13.5" thickBot="1">
      <c r="A82" s="207"/>
      <c r="B82" s="207"/>
      <c r="C82" s="207"/>
      <c r="D82" s="207"/>
    </row>
    <row r="83" spans="1:4" ht="15">
      <c r="A83" s="198" t="s">
        <v>67</v>
      </c>
      <c r="B83" s="199"/>
      <c r="C83" s="199"/>
      <c r="D83" s="200"/>
    </row>
    <row r="84" spans="1:4" ht="15">
      <c r="A84" s="76" t="s">
        <v>381</v>
      </c>
      <c r="B84" s="44" t="s">
        <v>69</v>
      </c>
      <c r="C84" s="86">
        <v>1.8</v>
      </c>
      <c r="D84" s="45" t="s">
        <v>11</v>
      </c>
    </row>
    <row r="85" spans="1:4" ht="15">
      <c r="A85" s="43" t="s">
        <v>70</v>
      </c>
      <c r="B85" s="44" t="s">
        <v>71</v>
      </c>
      <c r="C85" s="86">
        <v>23</v>
      </c>
      <c r="D85" s="45" t="s">
        <v>56</v>
      </c>
    </row>
    <row r="86" spans="1:4" ht="15">
      <c r="A86" s="43" t="s">
        <v>77</v>
      </c>
      <c r="B86" s="44" t="s">
        <v>39</v>
      </c>
      <c r="C86" s="86">
        <v>125</v>
      </c>
      <c r="D86" s="54" t="s">
        <v>40</v>
      </c>
    </row>
    <row r="87" spans="1:4" ht="15">
      <c r="A87" s="43" t="s">
        <v>78</v>
      </c>
      <c r="B87" s="44" t="s">
        <v>79</v>
      </c>
      <c r="C87" s="86">
        <v>1.2</v>
      </c>
      <c r="D87" s="54" t="s">
        <v>38</v>
      </c>
    </row>
    <row r="88" spans="1:4" ht="15">
      <c r="A88" s="43" t="s">
        <v>81</v>
      </c>
      <c r="B88" s="51" t="s">
        <v>305</v>
      </c>
      <c r="C88" s="86">
        <v>0.7</v>
      </c>
      <c r="D88" s="54" t="s">
        <v>38</v>
      </c>
    </row>
    <row r="89" spans="1:4" ht="15">
      <c r="A89" s="43" t="s">
        <v>74</v>
      </c>
      <c r="B89" s="44" t="s">
        <v>72</v>
      </c>
      <c r="C89" s="46">
        <f>Vf*Iout</f>
        <v>7.246753246753247</v>
      </c>
      <c r="D89" s="45" t="s">
        <v>12</v>
      </c>
    </row>
    <row r="90" spans="1:4" ht="15">
      <c r="A90" s="76" t="s">
        <v>382</v>
      </c>
      <c r="B90" s="44" t="s">
        <v>73</v>
      </c>
      <c r="C90" s="46">
        <f>(65*10^3)*Vout*(Qrr*10^-9)</f>
        <v>0.5755750000000001</v>
      </c>
      <c r="D90" s="45" t="s">
        <v>12</v>
      </c>
    </row>
    <row r="91" spans="1:4" ht="15">
      <c r="A91" s="43" t="s">
        <v>75</v>
      </c>
      <c r="B91" s="44" t="s">
        <v>76</v>
      </c>
      <c r="C91" s="46">
        <f>Pdiode_cond+(Pdiode_reverse/2)</f>
        <v>7.5345407467532475</v>
      </c>
      <c r="D91" s="45" t="s">
        <v>12</v>
      </c>
    </row>
    <row r="92" spans="1:4" ht="15">
      <c r="A92" s="43" t="s">
        <v>49</v>
      </c>
      <c r="B92" s="44" t="s">
        <v>80</v>
      </c>
      <c r="C92" s="46">
        <f>((Tj_diode-Tamb)/Pdiode)-Rth_diode-Rth_case_hs</f>
        <v>8.054156798782818</v>
      </c>
      <c r="D92" s="54" t="s">
        <v>38</v>
      </c>
    </row>
    <row r="93" spans="1:4" ht="15.75" thickBot="1">
      <c r="A93" s="47" t="s">
        <v>302</v>
      </c>
      <c r="B93" s="68" t="s">
        <v>303</v>
      </c>
      <c r="C93" s="49">
        <f>Vout*1.1</f>
        <v>423.50000000000006</v>
      </c>
      <c r="D93" s="70" t="s">
        <v>11</v>
      </c>
    </row>
    <row r="94" spans="1:4" ht="12.75">
      <c r="A94" s="204"/>
      <c r="B94" s="204"/>
      <c r="C94" s="204"/>
      <c r="D94" s="204"/>
    </row>
    <row r="95" spans="1:4" ht="13.5" thickBot="1">
      <c r="A95" s="192"/>
      <c r="B95" s="192"/>
      <c r="C95" s="192"/>
      <c r="D95" s="192"/>
    </row>
    <row r="96" spans="1:4" ht="15">
      <c r="A96" s="198" t="s">
        <v>68</v>
      </c>
      <c r="B96" s="199"/>
      <c r="C96" s="199"/>
      <c r="D96" s="200"/>
    </row>
    <row r="97" spans="1:5" ht="21" customHeight="1">
      <c r="A97" s="76" t="s">
        <v>301</v>
      </c>
      <c r="B97" s="44" t="s">
        <v>53</v>
      </c>
      <c r="C97" s="86">
        <v>15</v>
      </c>
      <c r="D97" s="45" t="s">
        <v>11</v>
      </c>
      <c r="E97" s="157">
        <f>IF(VCC&lt;12,"Bias voltage should be &gt;12V","")</f>
      </c>
    </row>
    <row r="98" spans="1:4" ht="15">
      <c r="A98" s="43" t="s">
        <v>58</v>
      </c>
      <c r="B98" s="44" t="s">
        <v>54</v>
      </c>
      <c r="C98" s="60">
        <f>IF(VCC&gt;=15.2,15.2,VCC-1.25)</f>
        <v>13.75</v>
      </c>
      <c r="D98" s="45" t="s">
        <v>11</v>
      </c>
    </row>
    <row r="99" spans="1:4" ht="15">
      <c r="A99" s="43" t="s">
        <v>61</v>
      </c>
      <c r="B99" s="44" t="s">
        <v>62</v>
      </c>
      <c r="C99" s="46">
        <f>(Pout/Vin_peak_min)*SQRT((2-(16*Vin_peak_min/(3*PI()*Vout))))</f>
        <v>5.915899528895074</v>
      </c>
      <c r="D99" s="45" t="s">
        <v>18</v>
      </c>
    </row>
    <row r="100" spans="1:4" ht="15">
      <c r="A100" s="43" t="s">
        <v>125</v>
      </c>
      <c r="B100" s="44" t="s">
        <v>60</v>
      </c>
      <c r="C100" s="86">
        <v>0.65</v>
      </c>
      <c r="D100" s="54" t="s">
        <v>12</v>
      </c>
    </row>
    <row r="101" spans="1:4" ht="15">
      <c r="A101" s="43" t="s">
        <v>59</v>
      </c>
      <c r="B101" s="44" t="s">
        <v>55</v>
      </c>
      <c r="C101" s="86">
        <v>64</v>
      </c>
      <c r="D101" s="45" t="s">
        <v>56</v>
      </c>
    </row>
    <row r="102" spans="1:4" ht="15">
      <c r="A102" s="43" t="s">
        <v>126</v>
      </c>
      <c r="B102" s="44" t="s">
        <v>127</v>
      </c>
      <c r="C102" s="86">
        <v>15</v>
      </c>
      <c r="D102" s="45" t="s">
        <v>128</v>
      </c>
    </row>
    <row r="103" spans="1:4" ht="15">
      <c r="A103" s="43" t="s">
        <v>228</v>
      </c>
      <c r="B103" s="44" t="s">
        <v>229</v>
      </c>
      <c r="C103" s="86">
        <v>10</v>
      </c>
      <c r="D103" s="45" t="s">
        <v>128</v>
      </c>
    </row>
    <row r="104" spans="1:4" ht="15">
      <c r="A104" s="43" t="s">
        <v>65</v>
      </c>
      <c r="B104" s="44" t="s">
        <v>66</v>
      </c>
      <c r="C104" s="86">
        <v>48</v>
      </c>
      <c r="D104" s="45" t="s">
        <v>82</v>
      </c>
    </row>
    <row r="105" spans="1:4" ht="15">
      <c r="A105" s="43" t="s">
        <v>89</v>
      </c>
      <c r="B105" s="44" t="s">
        <v>39</v>
      </c>
      <c r="C105" s="86">
        <v>125</v>
      </c>
      <c r="D105" s="54" t="s">
        <v>40</v>
      </c>
    </row>
    <row r="106" spans="1:4" ht="15">
      <c r="A106" s="43" t="s">
        <v>90</v>
      </c>
      <c r="B106" s="44" t="s">
        <v>91</v>
      </c>
      <c r="C106" s="86">
        <v>0.73</v>
      </c>
      <c r="D106" s="54" t="s">
        <v>38</v>
      </c>
    </row>
    <row r="107" spans="1:4" ht="15">
      <c r="A107" s="76" t="s">
        <v>306</v>
      </c>
      <c r="B107" s="51" t="s">
        <v>307</v>
      </c>
      <c r="C107" s="86">
        <v>0.7</v>
      </c>
      <c r="D107" s="54" t="s">
        <v>38</v>
      </c>
    </row>
    <row r="108" spans="1:4" ht="15">
      <c r="A108" s="43" t="s">
        <v>197</v>
      </c>
      <c r="B108" s="44" t="s">
        <v>57</v>
      </c>
      <c r="C108" s="46">
        <f>Vgs*Qg*(nC)*fsw*kHz</f>
        <v>0.12255876827733131</v>
      </c>
      <c r="D108" s="45" t="s">
        <v>12</v>
      </c>
    </row>
    <row r="109" spans="1:4" ht="15">
      <c r="A109" s="43" t="s">
        <v>63</v>
      </c>
      <c r="B109" s="44" t="s">
        <v>64</v>
      </c>
      <c r="C109" s="46">
        <f>(Ids_rms^2)*(Rds_on)</f>
        <v>22.748613703387623</v>
      </c>
      <c r="D109" s="45" t="s">
        <v>12</v>
      </c>
    </row>
    <row r="110" spans="1:4" ht="15">
      <c r="A110" s="43" t="s">
        <v>83</v>
      </c>
      <c r="B110" s="44" t="s">
        <v>84</v>
      </c>
      <c r="C110" s="46">
        <f>((fsw*kHz)/2)*(((tr_FET+tf_FET)*ns*Vout*Iin_peak_max)+(Coss*picoF*Vout^2))</f>
        <v>9.371247472079476</v>
      </c>
      <c r="D110" s="45" t="s">
        <v>12</v>
      </c>
    </row>
    <row r="111" spans="1:4" ht="15">
      <c r="A111" s="43" t="s">
        <v>85</v>
      </c>
      <c r="B111" s="44" t="s">
        <v>86</v>
      </c>
      <c r="C111" s="46">
        <f>P_FETcond+P_FETsw</f>
        <v>32.1198611754671</v>
      </c>
      <c r="D111" s="45" t="s">
        <v>12</v>
      </c>
    </row>
    <row r="112" spans="1:4" ht="15.75" thickBot="1">
      <c r="A112" s="47" t="s">
        <v>49</v>
      </c>
      <c r="B112" s="48" t="s">
        <v>88</v>
      </c>
      <c r="C112" s="49">
        <f>((Tj_FET-Tamb)/P_FET)-Rth_jc_FET-Rth_CHS_FET</f>
        <v>0.9050038653742505</v>
      </c>
      <c r="D112" s="55" t="s">
        <v>38</v>
      </c>
    </row>
    <row r="113" spans="1:9" ht="12.75">
      <c r="A113" s="191"/>
      <c r="B113" s="191"/>
      <c r="C113" s="191"/>
      <c r="D113" s="191"/>
      <c r="F113" s="27"/>
      <c r="G113" s="27"/>
      <c r="H113" s="27"/>
      <c r="I113" s="27"/>
    </row>
    <row r="114" spans="1:9" ht="13.5" thickBot="1">
      <c r="A114" s="192"/>
      <c r="B114" s="192"/>
      <c r="C114" s="192"/>
      <c r="D114" s="192"/>
      <c r="F114" s="27"/>
      <c r="G114" s="28"/>
      <c r="H114" s="28"/>
      <c r="I114" s="27"/>
    </row>
    <row r="115" spans="1:9" ht="15">
      <c r="A115" s="198" t="s">
        <v>92</v>
      </c>
      <c r="B115" s="199"/>
      <c r="C115" s="199"/>
      <c r="D115" s="200"/>
      <c r="F115" s="27"/>
      <c r="G115" s="28"/>
      <c r="H115" s="28"/>
      <c r="I115" s="27"/>
    </row>
    <row r="116" spans="1:9" ht="15">
      <c r="A116" s="76" t="s">
        <v>395</v>
      </c>
      <c r="B116" s="51" t="s">
        <v>396</v>
      </c>
      <c r="C116" s="46">
        <f>0.259/(Il_peak_actual*1.1)</f>
        <v>0.016099616786597003</v>
      </c>
      <c r="D116" s="54" t="s">
        <v>12</v>
      </c>
      <c r="F116" s="27"/>
      <c r="G116" s="28"/>
      <c r="H116" s="28"/>
      <c r="I116" s="27"/>
    </row>
    <row r="117" spans="1:9" ht="15">
      <c r="A117" s="61" t="s">
        <v>397</v>
      </c>
      <c r="B117" s="57" t="s">
        <v>398</v>
      </c>
      <c r="C117" s="108">
        <v>0.01</v>
      </c>
      <c r="D117" s="62" t="s">
        <v>12</v>
      </c>
      <c r="E117" s="26">
        <f>IF(Rsense&gt;0.259/I_Lpeak,"DECREASE Rsense","")</f>
      </c>
      <c r="F117" s="27"/>
      <c r="G117" s="28"/>
      <c r="H117" s="28"/>
      <c r="I117" s="27"/>
    </row>
    <row r="118" spans="1:9" ht="12.75">
      <c r="A118" s="76" t="s">
        <v>490</v>
      </c>
      <c r="B118" s="51" t="s">
        <v>489</v>
      </c>
      <c r="C118" s="175">
        <f>VCOMP!Z7</f>
        <v>5.7254104732441125</v>
      </c>
      <c r="D118" s="45" t="s">
        <v>11</v>
      </c>
      <c r="E118" s="26" t="str">
        <f>IF(C118&gt;5.7,"DECREASE Rsense","")</f>
        <v>DECREASE Rsense</v>
      </c>
      <c r="F118" s="27"/>
      <c r="G118" s="28"/>
      <c r="H118" s="28"/>
      <c r="I118" s="27"/>
    </row>
    <row r="119" spans="1:9" ht="15">
      <c r="A119" s="76" t="s">
        <v>308</v>
      </c>
      <c r="B119" s="44" t="s">
        <v>95</v>
      </c>
      <c r="C119" s="46">
        <f>0.259/Rsense</f>
        <v>25.9</v>
      </c>
      <c r="D119" s="45" t="s">
        <v>18</v>
      </c>
      <c r="F119" s="27"/>
      <c r="G119" s="28"/>
      <c r="H119" s="28"/>
      <c r="I119" s="27"/>
    </row>
    <row r="120" spans="1:9" ht="15">
      <c r="A120" s="43" t="s">
        <v>96</v>
      </c>
      <c r="B120" s="44" t="s">
        <v>97</v>
      </c>
      <c r="C120" s="46">
        <f>(Iin_rms_max^2)*Rsense</f>
        <v>0.8768402171365668</v>
      </c>
      <c r="D120" s="45" t="s">
        <v>12</v>
      </c>
      <c r="F120" s="27"/>
      <c r="G120" s="28"/>
      <c r="H120" s="28"/>
      <c r="I120" s="27"/>
    </row>
    <row r="121" spans="1:9" ht="15">
      <c r="A121" s="76" t="s">
        <v>309</v>
      </c>
      <c r="B121" s="44" t="s">
        <v>99</v>
      </c>
      <c r="C121" s="46">
        <f>(((Isoc-((Vout*Dmax*(1-Dmax))/(fsw*kHz*Lbst*mH)/2))*Vacin_min*PF)/(SQRT(2))*eff)/Vout</f>
        <v>7.489866581417777</v>
      </c>
      <c r="D121" s="45" t="s">
        <v>18</v>
      </c>
      <c r="F121" s="27"/>
      <c r="G121" s="28"/>
      <c r="H121" s="28"/>
      <c r="I121" s="27"/>
    </row>
    <row r="122" spans="1:9" ht="15">
      <c r="A122" s="76" t="s">
        <v>310</v>
      </c>
      <c r="B122" s="44" t="s">
        <v>98</v>
      </c>
      <c r="C122" s="46">
        <f>0.438/Rsense</f>
        <v>43.8</v>
      </c>
      <c r="D122" s="45" t="s">
        <v>18</v>
      </c>
      <c r="F122" s="27"/>
      <c r="G122" s="28"/>
      <c r="H122" s="28"/>
      <c r="I122" s="27"/>
    </row>
    <row r="123" spans="1:9" ht="15">
      <c r="A123" s="76" t="s">
        <v>383</v>
      </c>
      <c r="B123" s="44" t="s">
        <v>102</v>
      </c>
      <c r="C123" s="86">
        <v>47</v>
      </c>
      <c r="D123" s="54" t="s">
        <v>12</v>
      </c>
      <c r="F123" s="27"/>
      <c r="G123" s="28"/>
      <c r="H123" s="28"/>
      <c r="I123" s="27"/>
    </row>
    <row r="124" spans="1:9" ht="15">
      <c r="A124" s="43" t="s">
        <v>100</v>
      </c>
      <c r="B124" s="44" t="s">
        <v>101</v>
      </c>
      <c r="C124" s="46">
        <f>Vin_peak_max/C123</f>
        <v>7.70295046739388</v>
      </c>
      <c r="D124" s="45" t="s">
        <v>18</v>
      </c>
      <c r="F124" s="27"/>
      <c r="G124" s="28"/>
      <c r="H124" s="28"/>
      <c r="I124" s="27"/>
    </row>
    <row r="125" spans="1:9" ht="15">
      <c r="A125" s="61" t="s">
        <v>430</v>
      </c>
      <c r="B125" s="57" t="s">
        <v>165</v>
      </c>
      <c r="C125" s="63">
        <v>220</v>
      </c>
      <c r="D125" s="62" t="s">
        <v>12</v>
      </c>
      <c r="F125" s="27"/>
      <c r="G125" s="28"/>
      <c r="H125" s="28"/>
      <c r="I125" s="27"/>
    </row>
    <row r="126" spans="1:9" ht="15.75" thickBot="1">
      <c r="A126" s="56" t="s">
        <v>431</v>
      </c>
      <c r="B126" s="64" t="s">
        <v>166</v>
      </c>
      <c r="C126" s="65">
        <f>data!F276</f>
        <v>680</v>
      </c>
      <c r="D126" s="66" t="str">
        <f>data!G276</f>
        <v>pF</v>
      </c>
      <c r="F126" s="27"/>
      <c r="G126" s="28"/>
      <c r="H126" s="28"/>
      <c r="I126" s="27"/>
    </row>
    <row r="127" spans="1:9" ht="12.75">
      <c r="A127" s="205"/>
      <c r="B127" s="205"/>
      <c r="C127" s="205"/>
      <c r="D127" s="205"/>
      <c r="F127" s="27"/>
      <c r="G127" s="28"/>
      <c r="H127" s="28"/>
      <c r="I127" s="27"/>
    </row>
    <row r="128" spans="1:9" ht="13.5" thickBot="1">
      <c r="A128" s="206"/>
      <c r="B128" s="206"/>
      <c r="C128" s="206"/>
      <c r="D128" s="206"/>
      <c r="F128" s="27"/>
      <c r="G128" s="28"/>
      <c r="H128" s="28"/>
      <c r="I128" s="27"/>
    </row>
    <row r="129" spans="1:9" ht="15">
      <c r="A129" s="198" t="s">
        <v>103</v>
      </c>
      <c r="B129" s="199"/>
      <c r="C129" s="199"/>
      <c r="D129" s="200"/>
      <c r="F129" s="27"/>
      <c r="G129" s="28"/>
      <c r="H129" s="28"/>
      <c r="I129" s="27"/>
    </row>
    <row r="130" spans="1:9" ht="15">
      <c r="A130" s="43" t="s">
        <v>105</v>
      </c>
      <c r="B130" s="44" t="s">
        <v>106</v>
      </c>
      <c r="C130" s="86">
        <v>300</v>
      </c>
      <c r="D130" s="45" t="s">
        <v>11</v>
      </c>
      <c r="E130" s="158">
        <f>IF(Vout_holdup&gt;Vout,"ENTER A LOWER VALUE FOR THE MINIMUM HOLDUP VOLTAGE","")</f>
      </c>
      <c r="F130" s="27"/>
      <c r="G130" s="28"/>
      <c r="H130" s="28"/>
      <c r="I130" s="27"/>
    </row>
    <row r="131" spans="1:9" ht="15">
      <c r="A131" s="43" t="s">
        <v>189</v>
      </c>
      <c r="B131" s="44" t="s">
        <v>190</v>
      </c>
      <c r="C131" s="86">
        <v>1</v>
      </c>
      <c r="D131" s="45"/>
      <c r="F131" s="27"/>
      <c r="G131" s="28"/>
      <c r="H131" s="28"/>
      <c r="I131" s="27"/>
    </row>
    <row r="132" spans="1:9" ht="15">
      <c r="A132" s="76" t="s">
        <v>405</v>
      </c>
      <c r="B132" s="44" t="s">
        <v>191</v>
      </c>
      <c r="C132" s="46">
        <f>Nholdup*((1/fline_min)/ms)</f>
        <v>20</v>
      </c>
      <c r="D132" s="45" t="s">
        <v>104</v>
      </c>
      <c r="F132" s="27"/>
      <c r="G132" s="28"/>
      <c r="H132" s="28"/>
      <c r="I132" s="27"/>
    </row>
    <row r="133" spans="1:9" ht="15">
      <c r="A133" s="76" t="s">
        <v>230</v>
      </c>
      <c r="B133" s="51" t="s">
        <v>400</v>
      </c>
      <c r="C133" s="46">
        <f>data!F236</f>
        <v>1000</v>
      </c>
      <c r="D133" s="52" t="str">
        <f>data!G236</f>
        <v>µF</v>
      </c>
      <c r="F133" s="27"/>
      <c r="G133" s="28"/>
      <c r="H133" s="28"/>
      <c r="I133" s="27"/>
    </row>
    <row r="134" spans="1:9" ht="30.75" customHeight="1">
      <c r="A134" s="61" t="s">
        <v>115</v>
      </c>
      <c r="B134" s="57" t="s">
        <v>399</v>
      </c>
      <c r="C134" s="109">
        <v>1080</v>
      </c>
      <c r="D134" s="59" t="str">
        <f>data!G236</f>
        <v>µF</v>
      </c>
      <c r="E134" s="157">
        <f>IF(Cout&lt;C133,"INCREASE OUTPUT CAPACITANCE TO AT LEAST MINIMUM RECOMMENDED VALUE","")</f>
      </c>
      <c r="F134" s="27"/>
      <c r="G134" s="28"/>
      <c r="H134" s="28"/>
      <c r="I134" s="27"/>
    </row>
    <row r="135" spans="1:9" ht="15">
      <c r="A135" s="43" t="s">
        <v>107</v>
      </c>
      <c r="B135" s="44" t="s">
        <v>108</v>
      </c>
      <c r="C135" s="46">
        <f>Iout/(PI()*2*2*fline_min*Cout*uF)</f>
        <v>5.932904324012453</v>
      </c>
      <c r="D135" s="45" t="s">
        <v>11</v>
      </c>
      <c r="F135" s="27"/>
      <c r="G135" s="28"/>
      <c r="H135" s="28"/>
      <c r="I135" s="27"/>
    </row>
    <row r="136" spans="1:9" ht="12.75">
      <c r="A136" s="188" t="str">
        <f>IF(Vout_ripplepp&gt;=0.04*Vout,"OUTPUT CAPACITOR must be sized larger so OVP/UVD is not triggered","Good! Output voltage peak-peak ripple is less than 5% VOUT")</f>
        <v>Good! Output voltage peak-peak ripple is less than 5% VOUT</v>
      </c>
      <c r="B136" s="189"/>
      <c r="C136" s="189"/>
      <c r="D136" s="190"/>
      <c r="F136" s="27"/>
      <c r="G136" s="28"/>
      <c r="H136" s="28"/>
      <c r="I136" s="27"/>
    </row>
    <row r="137" spans="1:9" ht="15">
      <c r="A137" s="43" t="s">
        <v>113</v>
      </c>
      <c r="B137" s="44" t="s">
        <v>109</v>
      </c>
      <c r="C137" s="46">
        <f>Iout/SQRT(2)</f>
        <v>2.8467935346471394</v>
      </c>
      <c r="D137" s="45" t="s">
        <v>111</v>
      </c>
      <c r="F137" s="27"/>
      <c r="G137" s="28"/>
      <c r="H137" s="28"/>
      <c r="I137" s="27"/>
    </row>
    <row r="138" spans="1:9" ht="15">
      <c r="A138" s="43" t="s">
        <v>112</v>
      </c>
      <c r="B138" s="44" t="s">
        <v>110</v>
      </c>
      <c r="C138" s="46">
        <f>Iout*SQRT(((16*Vout)/(3*PI()*Vin_peak_min))-1.5)</f>
        <v>4.2719408896772055</v>
      </c>
      <c r="D138" s="45" t="s">
        <v>111</v>
      </c>
      <c r="F138" s="27"/>
      <c r="G138" s="28"/>
      <c r="H138" s="28"/>
      <c r="I138" s="27"/>
    </row>
    <row r="139" spans="1:9" ht="15.75" thickBot="1">
      <c r="A139" s="47" t="s">
        <v>152</v>
      </c>
      <c r="B139" s="48" t="s">
        <v>114</v>
      </c>
      <c r="C139" s="49">
        <f>SQRT((Icout_2fline^2)+(Icout_HF^2))</f>
        <v>5.133586698771613</v>
      </c>
      <c r="D139" s="50" t="s">
        <v>111</v>
      </c>
      <c r="F139" s="27"/>
      <c r="G139" s="28"/>
      <c r="H139" s="28"/>
      <c r="I139" s="27"/>
    </row>
    <row r="140" spans="1:9" ht="12.75">
      <c r="A140" s="205">
        <f>IF(Vout_ripplepp&gt;0.04*Vout,"OUTPUT CAPACITOR MUST BE INCREASED TO PREVENT OVP DURING NORMAL OPERATING RANGE","")</f>
      </c>
      <c r="B140" s="205"/>
      <c r="C140" s="205"/>
      <c r="D140" s="205"/>
      <c r="F140" s="27"/>
      <c r="G140" s="28"/>
      <c r="H140" s="28"/>
      <c r="I140" s="27"/>
    </row>
    <row r="141" spans="1:9" ht="13.5" thickBot="1">
      <c r="A141" s="206"/>
      <c r="B141" s="206"/>
      <c r="C141" s="206"/>
      <c r="D141" s="206"/>
      <c r="F141" s="27"/>
      <c r="G141" s="28"/>
      <c r="H141" s="28"/>
      <c r="I141" s="27"/>
    </row>
    <row r="142" spans="1:9" ht="15">
      <c r="A142" s="198" t="s">
        <v>122</v>
      </c>
      <c r="B142" s="199"/>
      <c r="C142" s="199"/>
      <c r="D142" s="200"/>
      <c r="F142" s="27"/>
      <c r="G142" s="28"/>
      <c r="H142" s="28"/>
      <c r="I142" s="27"/>
    </row>
    <row r="143" spans="1:9" ht="15">
      <c r="A143" s="51" t="s">
        <v>116</v>
      </c>
      <c r="B143" s="51" t="s">
        <v>401</v>
      </c>
      <c r="C143" s="60">
        <v>1</v>
      </c>
      <c r="D143" s="52" t="s">
        <v>117</v>
      </c>
      <c r="F143" s="27"/>
      <c r="G143" s="28"/>
      <c r="H143" s="28"/>
      <c r="I143" s="27"/>
    </row>
    <row r="144" spans="1:9" ht="15">
      <c r="A144" s="57" t="s">
        <v>118</v>
      </c>
      <c r="B144" s="57" t="s">
        <v>402</v>
      </c>
      <c r="C144" s="104">
        <v>0.99</v>
      </c>
      <c r="D144" s="59" t="s">
        <v>174</v>
      </c>
      <c r="E144" s="158">
        <f>IF(R_fb1&lt;0.953,"RECOMMENDED VALUE IS GREATER THAN OR EQUAL TO 1M","")</f>
      </c>
      <c r="F144" s="27"/>
      <c r="G144" s="28"/>
      <c r="H144" s="28"/>
      <c r="I144" s="27"/>
    </row>
    <row r="145" spans="1:4" ht="15">
      <c r="A145" s="51" t="s">
        <v>319</v>
      </c>
      <c r="B145" s="51" t="s">
        <v>403</v>
      </c>
      <c r="C145" s="46">
        <f>data!F242</f>
        <v>13.3</v>
      </c>
      <c r="D145" s="52" t="s">
        <v>119</v>
      </c>
    </row>
    <row r="146" spans="1:9" ht="15">
      <c r="A146" s="57" t="s">
        <v>239</v>
      </c>
      <c r="B146" s="57" t="s">
        <v>404</v>
      </c>
      <c r="C146" s="110">
        <v>13</v>
      </c>
      <c r="D146" s="59" t="s">
        <v>173</v>
      </c>
      <c r="F146" s="27"/>
      <c r="G146" s="28"/>
      <c r="H146" s="28"/>
      <c r="I146" s="27"/>
    </row>
    <row r="147" spans="1:9" ht="31.5" customHeight="1">
      <c r="A147" s="57" t="s">
        <v>120</v>
      </c>
      <c r="B147" s="57" t="s">
        <v>351</v>
      </c>
      <c r="C147" s="58">
        <f>VREF*((R_fb1*MegOhm)+(R_fb2*kOhms))/(R_fb2*kOhms)</f>
        <v>385.7692307692308</v>
      </c>
      <c r="D147" s="59" t="s">
        <v>11</v>
      </c>
      <c r="E147" s="183">
        <f>IF(Vout_min&lt;Vin_peak_max,"DO NOT PROCEED WITHOUT ADJUSTING THE RESISTOR DIVIDER IN ORDER TO ACHIEVE THE DESIRED OUTPUT VOLTAGE",IF(Vout_nom&gt;1.1*Vout,"ADJUST BOTTOM DIVIDER RESISTOR FOR DESIRED OUTPUT VOLTAGE",""))</f>
      </c>
      <c r="F147" s="184"/>
      <c r="G147" s="28"/>
      <c r="H147" s="28"/>
      <c r="I147" s="27"/>
    </row>
    <row r="148" spans="1:9" ht="15">
      <c r="A148" s="94" t="s">
        <v>406</v>
      </c>
      <c r="B148" s="51" t="s">
        <v>352</v>
      </c>
      <c r="C148" s="46">
        <f>VREFmin*((R_fb1*MegOhm)+(R_fb2*kOhms))/(R_fb2*kOhms)</f>
        <v>380.36846153846153</v>
      </c>
      <c r="D148" s="45" t="s">
        <v>11</v>
      </c>
      <c r="F148" s="27"/>
      <c r="G148" s="28"/>
      <c r="H148" s="28"/>
      <c r="I148" s="27"/>
    </row>
    <row r="149" spans="1:9" ht="15">
      <c r="A149" s="94" t="s">
        <v>407</v>
      </c>
      <c r="B149" s="51" t="s">
        <v>353</v>
      </c>
      <c r="C149" s="46">
        <f>VREFmax*((R_fb1*MegOhm)+(R_fb2*kOhms))/(R_fb2*kOhms)</f>
        <v>391.17</v>
      </c>
      <c r="D149" s="45" t="s">
        <v>11</v>
      </c>
      <c r="F149" s="27"/>
      <c r="G149" s="28"/>
      <c r="H149" s="28"/>
      <c r="I149" s="27"/>
    </row>
    <row r="150" spans="1:9" ht="15">
      <c r="A150" s="51" t="s">
        <v>408</v>
      </c>
      <c r="B150" s="44" t="s">
        <v>123</v>
      </c>
      <c r="C150" s="46">
        <f>(VREF*1.09)*((R_fb1*MegOhm)+(R_fb2*kOhms))/(R_fb2*kOhms)</f>
        <v>420.48846153846154</v>
      </c>
      <c r="D150" s="45" t="s">
        <v>11</v>
      </c>
      <c r="F150" s="27"/>
      <c r="G150" s="28"/>
      <c r="H150" s="28"/>
      <c r="I150" s="27"/>
    </row>
    <row r="151" spans="1:9" ht="15">
      <c r="A151" s="51" t="s">
        <v>409</v>
      </c>
      <c r="B151" s="44" t="s">
        <v>198</v>
      </c>
      <c r="C151" s="46">
        <f>(VREF*0.95)*((R_fb1*MegOhm)+(R_fb2*kOhms))/(R_fb2*kOhms)</f>
        <v>366.4807692307692</v>
      </c>
      <c r="D151" s="45" t="s">
        <v>11</v>
      </c>
      <c r="F151" s="27"/>
      <c r="G151" s="28"/>
      <c r="H151" s="28"/>
      <c r="I151" s="27"/>
    </row>
    <row r="152" spans="1:9" ht="15">
      <c r="A152" s="61" t="s">
        <v>167</v>
      </c>
      <c r="B152" s="57" t="s">
        <v>168</v>
      </c>
      <c r="C152" s="58">
        <f>data!F245</f>
        <v>819.9999999999999</v>
      </c>
      <c r="D152" s="59" t="str">
        <f>data!G245</f>
        <v>pF</v>
      </c>
      <c r="F152" s="27"/>
      <c r="G152" s="28"/>
      <c r="H152" s="28"/>
      <c r="I152" s="27"/>
    </row>
    <row r="153" spans="1:9" ht="15.75" thickBot="1">
      <c r="A153" s="67" t="s">
        <v>187</v>
      </c>
      <c r="B153" s="68" t="s">
        <v>188</v>
      </c>
      <c r="C153" s="69">
        <f>(Vout_nom^2)/((R_fb1*MegOhm)+(R_fb2*kOhms))</f>
        <v>0.14837278106508875</v>
      </c>
      <c r="D153" s="70" t="s">
        <v>12</v>
      </c>
      <c r="F153" s="27"/>
      <c r="G153" s="28"/>
      <c r="H153" s="28"/>
      <c r="I153" s="27"/>
    </row>
    <row r="154" spans="1:9" ht="12.75">
      <c r="A154" s="208">
        <f>IF(Vout_min&lt;Vin_peak_max,"DO NOT PROCEED UNTIL RFB2 IS DECREASED SO MINIMUM OUTPUT VOLTAGE &gt; MAXIMUM RECTIFIED INPUT VOLTAGE","")</f>
      </c>
      <c r="B154" s="208"/>
      <c r="C154" s="208"/>
      <c r="D154" s="208"/>
      <c r="F154" s="27"/>
      <c r="G154" s="28"/>
      <c r="H154" s="28"/>
      <c r="I154" s="27"/>
    </row>
    <row r="155" spans="1:9" ht="13.5" thickBot="1">
      <c r="A155" s="209"/>
      <c r="B155" s="209"/>
      <c r="C155" s="209"/>
      <c r="D155" s="209"/>
      <c r="F155" s="27"/>
      <c r="G155" s="28"/>
      <c r="H155" s="28"/>
      <c r="I155" s="27"/>
    </row>
    <row r="156" spans="1:9" ht="15">
      <c r="A156" s="198" t="s">
        <v>129</v>
      </c>
      <c r="B156" s="199"/>
      <c r="C156" s="199"/>
      <c r="D156" s="200"/>
      <c r="F156" s="27"/>
      <c r="G156" s="28"/>
      <c r="H156" s="28"/>
      <c r="I156" s="27"/>
    </row>
    <row r="157" spans="6:9" ht="15.75" customHeight="1">
      <c r="F157" s="27"/>
      <c r="G157" s="28"/>
      <c r="H157" s="28"/>
      <c r="I157" s="27"/>
    </row>
    <row r="158" spans="1:9" ht="15" customHeight="1">
      <c r="A158" s="35"/>
      <c r="B158" s="1"/>
      <c r="C158" s="1"/>
      <c r="D158" s="34"/>
      <c r="F158" s="27"/>
      <c r="G158" s="28"/>
      <c r="H158" s="28"/>
      <c r="I158" s="27"/>
    </row>
    <row r="159" spans="1:9" ht="15" customHeight="1">
      <c r="A159" s="35"/>
      <c r="B159" s="1"/>
      <c r="C159" s="1"/>
      <c r="D159" s="34"/>
      <c r="F159" s="27"/>
      <c r="G159" s="28"/>
      <c r="H159" s="28"/>
      <c r="I159" s="27"/>
    </row>
    <row r="160" spans="1:9" ht="15" customHeight="1">
      <c r="A160" s="35"/>
      <c r="B160" s="1"/>
      <c r="C160" s="1"/>
      <c r="D160" s="34"/>
      <c r="F160" s="27"/>
      <c r="G160" s="28"/>
      <c r="H160" s="28"/>
      <c r="I160" s="27"/>
    </row>
    <row r="161" spans="1:9" ht="15" customHeight="1">
      <c r="A161" s="35"/>
      <c r="B161" s="1"/>
      <c r="C161" s="1"/>
      <c r="D161" s="34"/>
      <c r="F161" s="27"/>
      <c r="G161" s="28"/>
      <c r="H161" s="28"/>
      <c r="I161" s="27"/>
    </row>
    <row r="162" spans="1:9" ht="15" customHeight="1">
      <c r="A162" s="71"/>
      <c r="B162" s="72"/>
      <c r="C162" s="72"/>
      <c r="D162" s="73"/>
      <c r="F162" s="27"/>
      <c r="G162" s="28"/>
      <c r="H162" s="28"/>
      <c r="I162" s="27"/>
    </row>
    <row r="163" spans="1:9" ht="15" customHeight="1">
      <c r="A163" s="71"/>
      <c r="B163" s="72"/>
      <c r="C163" s="72"/>
      <c r="D163" s="73"/>
      <c r="F163" s="27"/>
      <c r="G163" s="28"/>
      <c r="H163" s="28"/>
      <c r="I163" s="27"/>
    </row>
    <row r="164" spans="1:9" ht="15" customHeight="1">
      <c r="A164" s="71"/>
      <c r="B164" s="72"/>
      <c r="C164" s="72"/>
      <c r="D164" s="73"/>
      <c r="F164" s="27"/>
      <c r="G164" s="28"/>
      <c r="H164" s="28"/>
      <c r="I164" s="27"/>
    </row>
    <row r="165" spans="1:9" ht="15" customHeight="1">
      <c r="A165" s="71"/>
      <c r="B165" s="72"/>
      <c r="C165" s="72"/>
      <c r="D165" s="73"/>
      <c r="F165" s="27"/>
      <c r="G165" s="28"/>
      <c r="H165" s="28"/>
      <c r="I165" s="27"/>
    </row>
    <row r="166" spans="1:9" ht="15" customHeight="1">
      <c r="A166" s="35"/>
      <c r="B166" s="1"/>
      <c r="C166" s="1"/>
      <c r="D166" s="34"/>
      <c r="F166" s="27"/>
      <c r="G166" s="28"/>
      <c r="H166" s="28"/>
      <c r="I166" s="27"/>
    </row>
    <row r="167" spans="1:9" ht="15" customHeight="1">
      <c r="A167" s="35"/>
      <c r="B167" s="1"/>
      <c r="C167" s="1"/>
      <c r="D167" s="34"/>
      <c r="F167" s="27"/>
      <c r="G167" s="28"/>
      <c r="H167" s="28"/>
      <c r="I167" s="27"/>
    </row>
    <row r="168" spans="1:9" ht="15" customHeight="1">
      <c r="A168" s="35"/>
      <c r="B168" s="1"/>
      <c r="C168" s="1"/>
      <c r="D168" s="34"/>
      <c r="F168" s="27"/>
      <c r="G168" s="28"/>
      <c r="H168" s="28"/>
      <c r="I168" s="27"/>
    </row>
    <row r="169" spans="1:9" ht="15" customHeight="1">
      <c r="A169" s="35"/>
      <c r="B169" s="1"/>
      <c r="C169" s="1"/>
      <c r="D169" s="34"/>
      <c r="F169" s="27"/>
      <c r="G169" s="28"/>
      <c r="H169" s="28"/>
      <c r="I169" s="27"/>
    </row>
    <row r="170" spans="1:9" ht="15" customHeight="1">
      <c r="A170" s="71"/>
      <c r="B170" s="72"/>
      <c r="C170" s="72"/>
      <c r="D170" s="74"/>
      <c r="F170" s="27"/>
      <c r="G170" s="28"/>
      <c r="H170" s="28"/>
      <c r="I170" s="27"/>
    </row>
    <row r="171" spans="1:9" ht="15" customHeight="1">
      <c r="A171" s="71"/>
      <c r="B171" s="72"/>
      <c r="C171" s="72"/>
      <c r="D171" s="74"/>
      <c r="F171" s="27"/>
      <c r="G171" s="28"/>
      <c r="H171" s="28"/>
      <c r="I171" s="27"/>
    </row>
    <row r="172" spans="1:9" ht="15" customHeight="1">
      <c r="A172" s="71"/>
      <c r="B172" s="72"/>
      <c r="C172" s="72"/>
      <c r="D172" s="74"/>
      <c r="F172" s="27"/>
      <c r="G172" s="28"/>
      <c r="H172" s="28"/>
      <c r="I172" s="27"/>
    </row>
    <row r="173" spans="1:9" ht="15" customHeight="1">
      <c r="A173" s="71"/>
      <c r="B173" s="72"/>
      <c r="C173" s="72"/>
      <c r="D173" s="74"/>
      <c r="F173" s="27"/>
      <c r="G173" s="28"/>
      <c r="H173" s="28"/>
      <c r="I173" s="27"/>
    </row>
    <row r="174" spans="1:9" ht="15" customHeight="1">
      <c r="A174" s="71"/>
      <c r="B174" s="72"/>
      <c r="C174" s="72"/>
      <c r="D174" s="74"/>
      <c r="F174" s="27"/>
      <c r="G174" s="28"/>
      <c r="H174" s="28"/>
      <c r="I174" s="27"/>
    </row>
    <row r="175" spans="1:9" ht="15" customHeight="1">
      <c r="A175" s="71"/>
      <c r="B175" s="72"/>
      <c r="C175" s="72"/>
      <c r="D175" s="74"/>
      <c r="F175" s="27"/>
      <c r="G175" s="28"/>
      <c r="H175" s="28"/>
      <c r="I175" s="27"/>
    </row>
    <row r="176" spans="1:9" ht="15" customHeight="1">
      <c r="A176" s="71"/>
      <c r="B176" s="72"/>
      <c r="C176" s="72"/>
      <c r="D176" s="74"/>
      <c r="F176" s="27"/>
      <c r="G176" s="28"/>
      <c r="H176" s="28"/>
      <c r="I176" s="27"/>
    </row>
    <row r="177" spans="1:9" ht="15" customHeight="1">
      <c r="A177" s="71"/>
      <c r="B177" s="72"/>
      <c r="C177" s="72"/>
      <c r="D177" s="74"/>
      <c r="F177" s="27"/>
      <c r="G177" s="28"/>
      <c r="H177" s="28"/>
      <c r="I177" s="27"/>
    </row>
    <row r="178" spans="1:9" ht="15" customHeight="1">
      <c r="A178" s="71"/>
      <c r="B178" s="72"/>
      <c r="C178" s="72"/>
      <c r="D178" s="74"/>
      <c r="F178" s="27"/>
      <c r="G178" s="28"/>
      <c r="H178" s="28"/>
      <c r="I178" s="27"/>
    </row>
    <row r="179" spans="1:9" ht="15" customHeight="1">
      <c r="A179" s="71"/>
      <c r="B179" s="72"/>
      <c r="C179" s="72"/>
      <c r="D179" s="74"/>
      <c r="F179" s="27"/>
      <c r="G179" s="28"/>
      <c r="H179" s="28"/>
      <c r="I179" s="27"/>
    </row>
    <row r="180" spans="1:20" ht="45" customHeight="1">
      <c r="A180" s="185" t="s">
        <v>482</v>
      </c>
      <c r="B180" s="186"/>
      <c r="C180" s="186"/>
      <c r="D180" s="187"/>
      <c r="F180" s="197" t="s">
        <v>478</v>
      </c>
      <c r="G180" s="197"/>
      <c r="H180" s="197"/>
      <c r="I180" s="197"/>
      <c r="J180" s="197"/>
      <c r="K180" s="197"/>
      <c r="L180" s="197"/>
      <c r="O180" s="121"/>
      <c r="P180" s="121"/>
      <c r="Q180" s="121"/>
      <c r="R180" s="121"/>
      <c r="S180" s="121"/>
      <c r="T180" s="121"/>
    </row>
    <row r="181" spans="1:14" ht="15" customHeight="1">
      <c r="A181" s="116" t="s">
        <v>464</v>
      </c>
      <c r="B181" s="89" t="s">
        <v>274</v>
      </c>
      <c r="C181" s="159">
        <v>220</v>
      </c>
      <c r="D181" s="115" t="s">
        <v>11</v>
      </c>
      <c r="G181" s="193" t="s">
        <v>472</v>
      </c>
      <c r="H181" s="194"/>
      <c r="I181" s="118" t="s">
        <v>467</v>
      </c>
      <c r="J181" s="160">
        <v>205</v>
      </c>
      <c r="K181" s="45" t="s">
        <v>124</v>
      </c>
      <c r="N181" s="32"/>
    </row>
    <row r="182" spans="1:11" ht="15" customHeight="1">
      <c r="A182" s="179" t="s">
        <v>149</v>
      </c>
      <c r="B182" s="180"/>
      <c r="C182" s="180"/>
      <c r="D182" s="181"/>
      <c r="G182" s="195" t="s">
        <v>466</v>
      </c>
      <c r="H182" s="196"/>
      <c r="I182" s="119" t="s">
        <v>468</v>
      </c>
      <c r="J182" s="120">
        <f>VCOMP!B44</f>
        <v>2.451772775639449</v>
      </c>
      <c r="K182" s="52" t="s">
        <v>11</v>
      </c>
    </row>
    <row r="183" spans="1:12" ht="15.75" customHeight="1">
      <c r="A183" s="43" t="s">
        <v>130</v>
      </c>
      <c r="B183" s="51" t="s">
        <v>248</v>
      </c>
      <c r="C183" s="46">
        <f>M1M2</f>
        <v>0.31758277264935053</v>
      </c>
      <c r="D183" s="75" t="s">
        <v>135</v>
      </c>
      <c r="F183" s="27"/>
      <c r="G183" s="195" t="s">
        <v>488</v>
      </c>
      <c r="H183" s="196"/>
      <c r="I183" s="119" t="s">
        <v>468</v>
      </c>
      <c r="J183" s="120">
        <f>VCOMP!B45</f>
        <v>5.604476186036043</v>
      </c>
      <c r="K183" s="52" t="s">
        <v>11</v>
      </c>
      <c r="L183" s="26">
        <f>IF(J183&gt;5.7,"DECREASE Rsense","")</f>
      </c>
    </row>
    <row r="184" spans="1:11" ht="15.75" customHeight="1">
      <c r="A184" s="61" t="s">
        <v>465</v>
      </c>
      <c r="B184" s="51" t="s">
        <v>132</v>
      </c>
      <c r="C184" s="101">
        <f>data!H69</f>
        <v>2.3784653666775846</v>
      </c>
      <c r="D184" s="75" t="s">
        <v>11</v>
      </c>
      <c r="F184" s="182" t="s">
        <v>479</v>
      </c>
      <c r="G184" s="182"/>
      <c r="H184" s="182"/>
      <c r="I184" s="182"/>
      <c r="J184" s="182"/>
      <c r="K184" s="182"/>
    </row>
    <row r="185" spans="1:11" ht="15">
      <c r="A185" s="76" t="s">
        <v>410</v>
      </c>
      <c r="B185" s="51" t="s">
        <v>133</v>
      </c>
      <c r="C185" s="77">
        <f>IF(Vcomp&lt;1,(0.068),IF(Vcomp&lt;2,(0.156*Vcomp-0.0088),IF(Vcomp&lt;4.5,(0.313*Vcomp-0.401),IF(Vcomp&lt;5,1.007,"VCOMP MUST BE &lt;5"))))</f>
        <v>0.34345965977008397</v>
      </c>
      <c r="D185" s="78"/>
      <c r="F185" s="182"/>
      <c r="G185" s="182"/>
      <c r="H185" s="182"/>
      <c r="I185" s="182"/>
      <c r="J185" s="182"/>
      <c r="K185" s="182"/>
    </row>
    <row r="186" spans="1:11" ht="15">
      <c r="A186" s="76" t="s">
        <v>411</v>
      </c>
      <c r="B186" s="51" t="s">
        <v>134</v>
      </c>
      <c r="C186" s="77">
        <f>IF(Vcomp&lt;=0.5,0,IF(Vcomp&lt;4.6,(((fsw*kHz)/ftyp)*0.1223*(Vcomp-0.5)^2),IF(Vcomp&lt;5,(((fsw*kHz)/ftyp)*2.056),"VCOMP MUST BE &lt;5")))</f>
        <v>0.9246581472244634</v>
      </c>
      <c r="D186" s="75" t="s">
        <v>135</v>
      </c>
      <c r="F186" s="27"/>
      <c r="G186" s="51" t="s">
        <v>473</v>
      </c>
      <c r="H186" s="122"/>
      <c r="I186" s="51" t="s">
        <v>474</v>
      </c>
      <c r="J186" s="104">
        <v>50</v>
      </c>
      <c r="K186" s="51" t="s">
        <v>475</v>
      </c>
    </row>
    <row r="187" spans="1:11" ht="15">
      <c r="A187" s="76" t="s">
        <v>412</v>
      </c>
      <c r="B187" s="44" t="s">
        <v>138</v>
      </c>
      <c r="C187" s="79">
        <f>IF(Vcomp&lt;0.5,(0),IF(Vcomp&lt;1,((fsw*kHz)/ftyp)*(0.0166328*Vcomp-0.0083164),IF(Vcomp&lt;2,((fsw*kHz)/ftyp)*(0.0572364*Vcomp^2-0.0596824*Vcomp+0.0155321),IF(Vcomp&lt;4.5,((fsw*kHz)/ftyp)*(0.1148397*Vcomp^2-0.1746444*Vcomp+0.058612275),IF(Vcomp&lt;4.6,((fsw*kHz)/ftyp)*(0.24631222*Vcomp-0.1231561),IF(Vcomp&lt;5,0,"VCOMP MUST BE &lt;5"))))))</f>
        <v>0.6275480271586839</v>
      </c>
      <c r="D187" s="75" t="s">
        <v>135</v>
      </c>
      <c r="E187" s="29"/>
      <c r="G187" s="44" t="s">
        <v>476</v>
      </c>
      <c r="H187" s="44"/>
      <c r="I187" s="44" t="s">
        <v>477</v>
      </c>
      <c r="J187" s="123">
        <f>VCOMP!E45</f>
        <v>2.1252607336859497</v>
      </c>
      <c r="K187" s="44" t="s">
        <v>11</v>
      </c>
    </row>
    <row r="188" spans="1:5" ht="15">
      <c r="A188" s="76" t="s">
        <v>413</v>
      </c>
      <c r="B188" s="51" t="s">
        <v>354</v>
      </c>
      <c r="C188" s="79">
        <f>data!F252</f>
        <v>2200</v>
      </c>
      <c r="D188" s="52" t="str">
        <f>data!G252</f>
        <v>pF</v>
      </c>
      <c r="E188" s="31"/>
    </row>
    <row r="189" spans="1:5" ht="15">
      <c r="A189" s="76" t="s">
        <v>414</v>
      </c>
      <c r="B189" s="51" t="s">
        <v>358</v>
      </c>
      <c r="C189" s="79">
        <f>data!F257</f>
        <v>1000</v>
      </c>
      <c r="D189" s="52" t="str">
        <f>data!G257</f>
        <v>pF</v>
      </c>
      <c r="E189" s="31"/>
    </row>
    <row r="190" spans="1:4" ht="15">
      <c r="A190" s="61" t="s">
        <v>140</v>
      </c>
      <c r="B190" s="57" t="s">
        <v>367</v>
      </c>
      <c r="C190" s="104">
        <v>2200</v>
      </c>
      <c r="D190" s="59" t="s">
        <v>82</v>
      </c>
    </row>
    <row r="191" spans="1:5" ht="15">
      <c r="A191" s="43" t="s">
        <v>162</v>
      </c>
      <c r="B191" s="51" t="s">
        <v>163</v>
      </c>
      <c r="C191" s="79">
        <f>((gmi*M_1)/(K_1*2*PI()*Cicomp*picoF))/kHz</f>
        <v>3.372086849014025</v>
      </c>
      <c r="D191" s="45" t="s">
        <v>139</v>
      </c>
      <c r="E191" s="26"/>
    </row>
    <row r="192" spans="1:4" ht="12.75">
      <c r="A192" s="35"/>
      <c r="B192" s="1"/>
      <c r="C192" s="1"/>
      <c r="D192" s="34"/>
    </row>
    <row r="193" spans="1:4" ht="12.75">
      <c r="A193" s="35"/>
      <c r="B193" s="1"/>
      <c r="C193" s="1"/>
      <c r="D193" s="34"/>
    </row>
    <row r="194" spans="1:4" ht="12.75">
      <c r="A194" s="36"/>
      <c r="B194" s="33"/>
      <c r="C194" s="33"/>
      <c r="D194" s="37"/>
    </row>
    <row r="195" spans="1:4" ht="12.75">
      <c r="A195" s="35"/>
      <c r="B195" s="1"/>
      <c r="C195" s="1"/>
      <c r="D195" s="34"/>
    </row>
    <row r="196" spans="1:4" ht="12.75">
      <c r="A196" s="35"/>
      <c r="B196" s="1"/>
      <c r="C196" s="1"/>
      <c r="D196" s="34"/>
    </row>
    <row r="197" spans="1:4" ht="12.75">
      <c r="A197" s="35"/>
      <c r="B197" s="1"/>
      <c r="C197" s="1"/>
      <c r="D197" s="34"/>
    </row>
    <row r="198" spans="1:4" ht="12.75">
      <c r="A198" s="35"/>
      <c r="B198" s="1"/>
      <c r="C198" s="1"/>
      <c r="D198" s="34"/>
    </row>
    <row r="199" spans="1:4" ht="12.75">
      <c r="A199" s="35"/>
      <c r="B199" s="1"/>
      <c r="C199" s="1"/>
      <c r="D199" s="34"/>
    </row>
    <row r="200" spans="1:4" ht="12.75">
      <c r="A200" s="35"/>
      <c r="B200" s="1"/>
      <c r="C200" s="1"/>
      <c r="D200" s="34"/>
    </row>
    <row r="201" spans="1:4" ht="12.75">
      <c r="A201" s="35"/>
      <c r="B201" s="1"/>
      <c r="C201" s="1"/>
      <c r="D201" s="34"/>
    </row>
    <row r="202" spans="1:4" ht="12.75">
      <c r="A202" s="35"/>
      <c r="B202" s="1"/>
      <c r="C202" s="1"/>
      <c r="D202" s="34"/>
    </row>
    <row r="203" spans="1:4" ht="12.75">
      <c r="A203" s="35"/>
      <c r="B203" s="1"/>
      <c r="C203" s="1"/>
      <c r="D203" s="34"/>
    </row>
    <row r="204" spans="1:4" ht="12.75">
      <c r="A204" s="35"/>
      <c r="B204" s="1"/>
      <c r="C204" s="1"/>
      <c r="D204" s="34"/>
    </row>
    <row r="205" spans="1:4" ht="12.75">
      <c r="A205" s="35"/>
      <c r="B205" s="1"/>
      <c r="C205" s="1"/>
      <c r="D205" s="34"/>
    </row>
    <row r="206" spans="1:4" ht="12.75">
      <c r="A206" s="35"/>
      <c r="B206" s="1"/>
      <c r="C206" s="1"/>
      <c r="D206" s="34"/>
    </row>
    <row r="207" spans="1:4" ht="12.75">
      <c r="A207" s="35"/>
      <c r="B207" s="1"/>
      <c r="C207" s="1"/>
      <c r="D207" s="34"/>
    </row>
    <row r="208" spans="1:4" ht="12.75">
      <c r="A208" s="35"/>
      <c r="B208" s="1"/>
      <c r="C208" s="1"/>
      <c r="D208" s="34"/>
    </row>
    <row r="209" spans="1:4" ht="12.75">
      <c r="A209" s="35"/>
      <c r="B209" s="1"/>
      <c r="C209" s="1"/>
      <c r="D209" s="34"/>
    </row>
    <row r="210" spans="1:4" ht="12.75">
      <c r="A210" s="35"/>
      <c r="B210" s="1"/>
      <c r="C210" s="1"/>
      <c r="D210" s="34"/>
    </row>
    <row r="211" spans="1:4" ht="12.75">
      <c r="A211" s="35"/>
      <c r="B211" s="1"/>
      <c r="C211" s="1"/>
      <c r="D211" s="34"/>
    </row>
    <row r="212" spans="1:4" ht="12.75">
      <c r="A212" s="35"/>
      <c r="B212" s="1"/>
      <c r="C212" s="1"/>
      <c r="D212" s="34"/>
    </row>
    <row r="213" spans="1:4" ht="12.75">
      <c r="A213" s="35"/>
      <c r="B213" s="1"/>
      <c r="C213" s="1"/>
      <c r="D213" s="34"/>
    </row>
    <row r="214" spans="1:4" ht="12.75">
      <c r="A214" s="35"/>
      <c r="B214" s="1"/>
      <c r="C214" s="1"/>
      <c r="D214" s="34"/>
    </row>
    <row r="215" spans="1:4" ht="12.75">
      <c r="A215" s="35"/>
      <c r="B215" s="1"/>
      <c r="C215" s="1"/>
      <c r="D215" s="34"/>
    </row>
    <row r="216" spans="1:4" ht="12.75">
      <c r="A216" s="35"/>
      <c r="B216" s="1"/>
      <c r="C216" s="1"/>
      <c r="D216" s="34"/>
    </row>
    <row r="217" spans="1:4" ht="12.75">
      <c r="A217" s="35"/>
      <c r="B217" s="1"/>
      <c r="C217" s="1"/>
      <c r="D217" s="34"/>
    </row>
    <row r="218" spans="1:4" ht="12.75">
      <c r="A218" s="35"/>
      <c r="B218" s="1"/>
      <c r="C218" s="1"/>
      <c r="D218" s="34"/>
    </row>
    <row r="219" spans="1:4" ht="12.75">
      <c r="A219" s="35"/>
      <c r="B219" s="1"/>
      <c r="C219" s="1"/>
      <c r="D219" s="34"/>
    </row>
    <row r="220" spans="1:4" ht="12.75">
      <c r="A220" s="35"/>
      <c r="B220" s="1"/>
      <c r="C220" s="1"/>
      <c r="D220" s="34"/>
    </row>
    <row r="221" spans="1:4" ht="12.75">
      <c r="A221" s="35"/>
      <c r="B221" s="1"/>
      <c r="C221" s="1"/>
      <c r="D221" s="34"/>
    </row>
    <row r="222" spans="1:4" ht="12.75">
      <c r="A222" s="35"/>
      <c r="B222" s="1"/>
      <c r="C222" s="1"/>
      <c r="D222" s="34"/>
    </row>
    <row r="223" spans="1:4" ht="12.75">
      <c r="A223" s="35"/>
      <c r="B223" s="1"/>
      <c r="C223" s="1"/>
      <c r="D223" s="34"/>
    </row>
    <row r="224" spans="1:4" ht="12.75">
      <c r="A224" s="35"/>
      <c r="B224" s="1"/>
      <c r="C224" s="1"/>
      <c r="D224" s="34"/>
    </row>
    <row r="225" spans="1:4" ht="12.75">
      <c r="A225" s="35"/>
      <c r="B225" s="1"/>
      <c r="C225" s="1"/>
      <c r="D225" s="34"/>
    </row>
    <row r="226" spans="1:4" ht="12.75">
      <c r="A226" s="35"/>
      <c r="B226" s="1"/>
      <c r="C226" s="1"/>
      <c r="D226" s="34"/>
    </row>
    <row r="227" spans="1:4" ht="12.75">
      <c r="A227" s="35"/>
      <c r="B227" s="1"/>
      <c r="C227" s="1"/>
      <c r="D227" s="34"/>
    </row>
    <row r="228" spans="1:4" ht="12.75">
      <c r="A228" s="35"/>
      <c r="B228" s="1"/>
      <c r="C228" s="1"/>
      <c r="D228" s="34"/>
    </row>
    <row r="229" spans="1:4" ht="12.75">
      <c r="A229" s="35"/>
      <c r="B229" s="1"/>
      <c r="C229" s="1"/>
      <c r="D229" s="34"/>
    </row>
    <row r="230" spans="1:4" ht="12.75">
      <c r="A230" s="35"/>
      <c r="B230" s="1"/>
      <c r="C230" s="1"/>
      <c r="D230" s="34"/>
    </row>
    <row r="231" spans="1:4" ht="12.75">
      <c r="A231" s="35"/>
      <c r="B231" s="1"/>
      <c r="C231" s="1"/>
      <c r="D231" s="34"/>
    </row>
    <row r="232" spans="1:4" ht="12.75">
      <c r="A232" s="35"/>
      <c r="B232" s="1"/>
      <c r="C232" s="1"/>
      <c r="D232" s="34"/>
    </row>
    <row r="233" spans="1:4" ht="12.75">
      <c r="A233" s="35"/>
      <c r="B233" s="1"/>
      <c r="C233" s="1"/>
      <c r="D233" s="34"/>
    </row>
    <row r="234" spans="1:4" ht="12.75">
      <c r="A234" s="35"/>
      <c r="B234" s="1"/>
      <c r="C234" s="1"/>
      <c r="D234" s="34"/>
    </row>
    <row r="235" spans="1:4" ht="12.75">
      <c r="A235" s="35"/>
      <c r="B235" s="1"/>
      <c r="C235" s="1"/>
      <c r="D235" s="34"/>
    </row>
    <row r="236" spans="1:4" ht="12.75">
      <c r="A236" s="35"/>
      <c r="B236" s="1"/>
      <c r="C236" s="1"/>
      <c r="D236" s="34"/>
    </row>
    <row r="237" spans="1:4" ht="12.75">
      <c r="A237" s="35"/>
      <c r="B237" s="1"/>
      <c r="C237" s="1"/>
      <c r="D237" s="34"/>
    </row>
    <row r="238" spans="1:4" ht="12.75">
      <c r="A238" s="35"/>
      <c r="B238" s="1"/>
      <c r="C238" s="1"/>
      <c r="D238" s="34"/>
    </row>
    <row r="239" spans="1:4" ht="12.75">
      <c r="A239" s="35"/>
      <c r="B239" s="1"/>
      <c r="C239" s="1"/>
      <c r="D239" s="34"/>
    </row>
    <row r="240" spans="1:4" ht="12.75">
      <c r="A240" s="35"/>
      <c r="B240" s="1"/>
      <c r="C240" s="1"/>
      <c r="D240" s="34"/>
    </row>
    <row r="241" spans="1:4" ht="12.75">
      <c r="A241" s="35"/>
      <c r="B241" s="1"/>
      <c r="C241" s="1"/>
      <c r="D241" s="34"/>
    </row>
    <row r="242" spans="1:4" ht="12.75">
      <c r="A242" s="35"/>
      <c r="B242" s="1"/>
      <c r="C242" s="1"/>
      <c r="D242" s="34"/>
    </row>
    <row r="243" spans="1:4" ht="12.75">
      <c r="A243" s="35"/>
      <c r="B243" s="1"/>
      <c r="C243" s="1"/>
      <c r="D243" s="34"/>
    </row>
    <row r="244" spans="1:4" ht="12.75">
      <c r="A244" s="35"/>
      <c r="B244" s="1"/>
      <c r="C244" s="1"/>
      <c r="D244" s="34"/>
    </row>
    <row r="245" spans="1:4" ht="12.75">
      <c r="A245" s="35"/>
      <c r="B245" s="1"/>
      <c r="C245" s="1"/>
      <c r="D245" s="34"/>
    </row>
    <row r="246" spans="1:4" ht="12.75">
      <c r="A246" s="35"/>
      <c r="B246" s="1"/>
      <c r="C246" s="1"/>
      <c r="D246" s="34"/>
    </row>
    <row r="247" spans="1:4" ht="12.75">
      <c r="A247" s="35"/>
      <c r="B247" s="1"/>
      <c r="C247" s="1"/>
      <c r="D247" s="34"/>
    </row>
    <row r="248" spans="1:4" ht="12.75">
      <c r="A248" s="35"/>
      <c r="B248" s="1"/>
      <c r="C248" s="1"/>
      <c r="D248" s="34"/>
    </row>
    <row r="249" spans="1:4" ht="12.75">
      <c r="A249" s="35"/>
      <c r="B249" s="1"/>
      <c r="C249" s="1"/>
      <c r="D249" s="34"/>
    </row>
    <row r="250" spans="1:4" ht="12.75">
      <c r="A250" s="35"/>
      <c r="B250" s="1"/>
      <c r="C250" s="1"/>
      <c r="D250" s="34"/>
    </row>
    <row r="251" spans="1:4" ht="12.75">
      <c r="A251" s="35"/>
      <c r="B251" s="1"/>
      <c r="C251" s="1"/>
      <c r="D251" s="34"/>
    </row>
    <row r="252" spans="1:4" ht="12.75">
      <c r="A252" s="35"/>
      <c r="B252" s="1"/>
      <c r="C252" s="1"/>
      <c r="D252" s="34"/>
    </row>
    <row r="253" spans="1:4" ht="12.75">
      <c r="A253" s="35"/>
      <c r="B253" s="1"/>
      <c r="C253" s="1"/>
      <c r="D253" s="34"/>
    </row>
    <row r="254" spans="1:4" ht="12.75">
      <c r="A254" s="35"/>
      <c r="B254" s="1"/>
      <c r="C254" s="1"/>
      <c r="D254" s="34"/>
    </row>
    <row r="255" spans="1:4" ht="12.75">
      <c r="A255" s="35"/>
      <c r="B255" s="1"/>
      <c r="C255" s="1"/>
      <c r="D255" s="34"/>
    </row>
    <row r="256" spans="1:4" ht="13.5" customHeight="1">
      <c r="A256" s="176" t="s">
        <v>148</v>
      </c>
      <c r="B256" s="177"/>
      <c r="C256" s="177"/>
      <c r="D256" s="178"/>
    </row>
    <row r="257" spans="1:4" ht="15">
      <c r="A257" s="43" t="s">
        <v>150</v>
      </c>
      <c r="B257" s="44" t="s">
        <v>151</v>
      </c>
      <c r="C257" s="46">
        <f>1/((2*PI()*K_1*2.5*Rsense*(Vout_nom^3)*(Cout*uF))/(K_FQ*(M1M2/us)*(Vacin_nom^2)))</f>
        <v>1.5605521815738628</v>
      </c>
      <c r="D257" s="45" t="s">
        <v>5</v>
      </c>
    </row>
    <row r="258" spans="1:4" ht="15">
      <c r="A258" s="61" t="s">
        <v>374</v>
      </c>
      <c r="B258" s="57" t="s">
        <v>375</v>
      </c>
      <c r="C258" s="104">
        <v>10</v>
      </c>
      <c r="D258" s="59" t="s">
        <v>5</v>
      </c>
    </row>
    <row r="259" spans="1:5" ht="15">
      <c r="A259" s="43" t="s">
        <v>160</v>
      </c>
      <c r="B259" s="44" t="s">
        <v>161</v>
      </c>
      <c r="C259" s="77">
        <f>20*LOG(IMABS(IMPRODUCT((R_fb2*kOhms)/((R_fb1*MegOhm)+(R_fb2*kOhms)),IMDIV((M_3*Vout_nom)/(M1M2),COMPLEX(1,(2*PI()*fv)/(2*PI()*fPWM_PSpole))))))</f>
        <v>3.6562692251429385</v>
      </c>
      <c r="D259" s="45" t="s">
        <v>157</v>
      </c>
      <c r="E259" s="26">
        <f>IF(fv&gt;20,"SET CROSSOVER FREQUENCY TO LESS THAN 20Hz","")</f>
      </c>
    </row>
    <row r="260" spans="1:4" ht="15">
      <c r="A260" s="76" t="s">
        <v>169</v>
      </c>
      <c r="B260" s="51" t="s">
        <v>371</v>
      </c>
      <c r="C260" s="103">
        <f>data!F262</f>
        <v>8.2</v>
      </c>
      <c r="D260" s="52" t="str">
        <f>data!G262</f>
        <v>µF</v>
      </c>
    </row>
    <row r="261" spans="1:4" ht="15">
      <c r="A261" s="61" t="s">
        <v>372</v>
      </c>
      <c r="B261" s="57" t="s">
        <v>373</v>
      </c>
      <c r="C261" s="104">
        <v>6.8</v>
      </c>
      <c r="D261" s="62" t="s">
        <v>369</v>
      </c>
    </row>
    <row r="262" spans="1:5" ht="15">
      <c r="A262" s="76" t="s">
        <v>175</v>
      </c>
      <c r="B262" s="51" t="s">
        <v>376</v>
      </c>
      <c r="C262" s="103">
        <f>data!F267</f>
        <v>14.7</v>
      </c>
      <c r="D262" s="52" t="s">
        <v>119</v>
      </c>
      <c r="E262" s="26"/>
    </row>
    <row r="263" spans="1:4" ht="15">
      <c r="A263" s="61" t="s">
        <v>377</v>
      </c>
      <c r="B263" s="57" t="s">
        <v>378</v>
      </c>
      <c r="C263" s="104">
        <v>15</v>
      </c>
      <c r="D263" s="59" t="s">
        <v>173</v>
      </c>
    </row>
    <row r="264" spans="1:5" ht="15">
      <c r="A264" s="43" t="s">
        <v>176</v>
      </c>
      <c r="B264" s="44" t="s">
        <v>177</v>
      </c>
      <c r="C264" s="77">
        <f>1/(2*PI()*(Rvcomp*kOhms)*(Cvcomp*uF))</f>
        <v>1.5603425793323074</v>
      </c>
      <c r="D264" s="45" t="s">
        <v>5</v>
      </c>
      <c r="E264" s="26">
        <f>IF(Rvcomp&gt;1.1*C262,"USE A SMALLER VALUE FOR VCOMP RESISTOR",IF(Rvcomp&lt;0.9*C262,"USE A LARGER VALUE FOR VCOMP RESISTOR",""))</f>
      </c>
    </row>
    <row r="265" spans="1:4" ht="15">
      <c r="A265" s="61" t="s">
        <v>415</v>
      </c>
      <c r="B265" s="57" t="s">
        <v>379</v>
      </c>
      <c r="C265" s="104">
        <v>20</v>
      </c>
      <c r="D265" s="59" t="s">
        <v>5</v>
      </c>
    </row>
    <row r="266" spans="1:5" ht="15">
      <c r="A266" s="76" t="s">
        <v>178</v>
      </c>
      <c r="B266" s="51" t="s">
        <v>370</v>
      </c>
      <c r="C266" s="80">
        <f>data!F271</f>
        <v>0.6799999999999999</v>
      </c>
      <c r="D266" s="52" t="str">
        <f>data!G271</f>
        <v>µF</v>
      </c>
      <c r="E266" s="26">
        <f>IF(fpole&gt;50,"POLE MUST BE &lt; 50Hz","")</f>
      </c>
    </row>
    <row r="267" spans="1:5" ht="15">
      <c r="A267" s="61" t="s">
        <v>181</v>
      </c>
      <c r="B267" s="57" t="s">
        <v>368</v>
      </c>
      <c r="C267" s="86">
        <v>0.68</v>
      </c>
      <c r="D267" s="62" t="s">
        <v>369</v>
      </c>
      <c r="E267" s="26">
        <f>IF(Cvcomp_p&lt;C266*0.75,"USE LARGER PARALLEL CAPACITOR ON VCOMP",IF(Cvcomp_p&gt;1.25*C266,"USE SMALLER PARALLEL CAPACITOR ON VCOMP",""))</f>
      </c>
    </row>
    <row r="268" spans="1:4" ht="12.75">
      <c r="A268" s="35"/>
      <c r="B268" s="1"/>
      <c r="C268" s="1"/>
      <c r="D268" s="34"/>
    </row>
    <row r="269" spans="1:4" ht="12.75">
      <c r="A269" s="35"/>
      <c r="B269" s="1"/>
      <c r="C269" s="1"/>
      <c r="D269" s="34"/>
    </row>
    <row r="270" spans="1:4" ht="12.75">
      <c r="A270" s="35"/>
      <c r="B270" s="1"/>
      <c r="C270" s="1"/>
      <c r="D270" s="34"/>
    </row>
    <row r="271" spans="1:4" ht="12.75">
      <c r="A271" s="35"/>
      <c r="B271" s="1"/>
      <c r="C271" s="1"/>
      <c r="D271" s="34"/>
    </row>
    <row r="272" spans="1:4" ht="12.75">
      <c r="A272" s="35"/>
      <c r="B272" s="1"/>
      <c r="C272" s="1"/>
      <c r="D272" s="34"/>
    </row>
    <row r="273" spans="1:4" ht="12.75">
      <c r="A273" s="35"/>
      <c r="B273" s="1"/>
      <c r="C273" s="1"/>
      <c r="D273" s="34"/>
    </row>
    <row r="274" spans="1:4" ht="12.75">
      <c r="A274" s="35"/>
      <c r="B274" s="1"/>
      <c r="C274" s="1"/>
      <c r="D274" s="34"/>
    </row>
    <row r="275" spans="1:4" ht="12.75">
      <c r="A275" s="35"/>
      <c r="B275" s="1"/>
      <c r="C275" s="1"/>
      <c r="D275" s="34"/>
    </row>
    <row r="276" spans="1:4" ht="12.75">
      <c r="A276" s="35"/>
      <c r="B276" s="1"/>
      <c r="C276" s="1"/>
      <c r="D276" s="34"/>
    </row>
    <row r="277" spans="1:4" ht="12.75">
      <c r="A277" s="35"/>
      <c r="B277" s="1"/>
      <c r="C277" s="1"/>
      <c r="D277" s="34"/>
    </row>
    <row r="278" spans="1:4" ht="12.75">
      <c r="A278" s="35"/>
      <c r="B278" s="1"/>
      <c r="C278" s="1"/>
      <c r="D278" s="34"/>
    </row>
    <row r="279" spans="1:4" ht="12.75">
      <c r="A279" s="35"/>
      <c r="B279" s="1"/>
      <c r="C279" s="1"/>
      <c r="D279" s="34"/>
    </row>
    <row r="280" spans="1:4" ht="12.75">
      <c r="A280" s="35"/>
      <c r="B280" s="1"/>
      <c r="C280" s="1"/>
      <c r="D280" s="34"/>
    </row>
    <row r="281" spans="1:4" ht="12.75">
      <c r="A281" s="35"/>
      <c r="B281" s="1"/>
      <c r="C281" s="1"/>
      <c r="D281" s="34"/>
    </row>
    <row r="282" spans="1:4" ht="12.75">
      <c r="A282" s="35"/>
      <c r="B282" s="1"/>
      <c r="C282" s="1"/>
      <c r="D282" s="34"/>
    </row>
    <row r="283" spans="1:4" ht="12.75">
      <c r="A283" s="35"/>
      <c r="B283" s="1"/>
      <c r="C283" s="1"/>
      <c r="D283" s="34"/>
    </row>
    <row r="284" spans="1:4" ht="12.75">
      <c r="A284" s="35"/>
      <c r="B284" s="1"/>
      <c r="C284" s="1"/>
      <c r="D284" s="34"/>
    </row>
    <row r="285" spans="1:4" ht="12.75">
      <c r="A285" s="35"/>
      <c r="B285" s="1"/>
      <c r="C285" s="81"/>
      <c r="D285" s="34"/>
    </row>
    <row r="286" spans="1:4" ht="12.75">
      <c r="A286" s="35"/>
      <c r="B286" s="1"/>
      <c r="C286" s="1"/>
      <c r="D286" s="34"/>
    </row>
    <row r="287" spans="1:4" ht="12.75">
      <c r="A287" s="35"/>
      <c r="B287" s="1"/>
      <c r="C287" s="1"/>
      <c r="D287" s="34"/>
    </row>
    <row r="288" spans="1:4" ht="12.75">
      <c r="A288" s="35"/>
      <c r="B288" s="1"/>
      <c r="C288" s="1"/>
      <c r="D288" s="34"/>
    </row>
    <row r="289" spans="1:4" ht="12.75">
      <c r="A289" s="35"/>
      <c r="B289" s="1"/>
      <c r="C289" s="1"/>
      <c r="D289" s="34"/>
    </row>
    <row r="290" spans="1:4" ht="12.75">
      <c r="A290" s="35"/>
      <c r="B290" s="1"/>
      <c r="C290" s="1"/>
      <c r="D290" s="34"/>
    </row>
    <row r="291" spans="1:4" ht="12.75">
      <c r="A291" s="35"/>
      <c r="B291" s="1"/>
      <c r="C291" s="1"/>
      <c r="D291" s="34"/>
    </row>
    <row r="292" spans="1:4" ht="12.75">
      <c r="A292" s="35"/>
      <c r="B292" s="1"/>
      <c r="C292" s="1"/>
      <c r="D292" s="34"/>
    </row>
    <row r="293" spans="1:4" ht="12.75">
      <c r="A293" s="35"/>
      <c r="B293" s="1"/>
      <c r="C293" s="1"/>
      <c r="D293" s="34"/>
    </row>
    <row r="294" spans="1:4" ht="12.75">
      <c r="A294" s="35"/>
      <c r="B294" s="1"/>
      <c r="C294" s="1"/>
      <c r="D294" s="34"/>
    </row>
    <row r="295" spans="1:4" ht="12.75">
      <c r="A295" s="35"/>
      <c r="B295" s="1"/>
      <c r="C295" s="1"/>
      <c r="D295" s="34"/>
    </row>
    <row r="296" spans="1:4" ht="12.75">
      <c r="A296" s="35"/>
      <c r="B296" s="1"/>
      <c r="C296" s="1"/>
      <c r="D296" s="34"/>
    </row>
    <row r="297" spans="1:4" ht="12.75">
      <c r="A297" s="35"/>
      <c r="B297" s="1"/>
      <c r="C297" s="1"/>
      <c r="D297" s="34"/>
    </row>
    <row r="298" spans="1:5" ht="12.75">
      <c r="A298" s="35"/>
      <c r="B298" s="1"/>
      <c r="C298" s="1"/>
      <c r="D298" s="34"/>
      <c r="E298" s="117"/>
    </row>
    <row r="299" spans="1:4" ht="12.75">
      <c r="A299" s="35"/>
      <c r="B299" s="1"/>
      <c r="C299" s="1"/>
      <c r="D299" s="34"/>
    </row>
    <row r="300" spans="1:4" ht="13.5" thickBot="1">
      <c r="A300" s="82"/>
      <c r="B300" s="83"/>
      <c r="C300" s="83"/>
      <c r="D300" s="84"/>
    </row>
    <row r="301" spans="1:4" ht="13.5" thickBot="1">
      <c r="A301" s="82"/>
      <c r="B301" s="83"/>
      <c r="C301" s="83"/>
      <c r="D301" s="84"/>
    </row>
    <row r="302" spans="1:4" ht="12.75">
      <c r="A302" s="23"/>
      <c r="B302" s="23"/>
      <c r="C302" s="23"/>
      <c r="D302" s="23"/>
    </row>
    <row r="303" s="23" customFormat="1" ht="12.75">
      <c r="A303" s="117"/>
    </row>
    <row r="304" s="23" customFormat="1" ht="12.75">
      <c r="A304" s="117"/>
    </row>
    <row r="305" s="23" customFormat="1" ht="12.75">
      <c r="A305" s="117"/>
    </row>
    <row r="306" s="23" customFormat="1" ht="12.75"/>
    <row r="307" s="23" customFormat="1" ht="12.75"/>
    <row r="308" s="23" customFormat="1" ht="12.75"/>
    <row r="309" s="23" customFormat="1" ht="12.75"/>
    <row r="310" s="23" customFormat="1" ht="12.75"/>
    <row r="311" s="23" customFormat="1" ht="12.75"/>
    <row r="312" s="23" customFormat="1" ht="12.75"/>
    <row r="313" s="23" customFormat="1" ht="12.75"/>
    <row r="314" s="23" customFormat="1" ht="12.75"/>
    <row r="315" spans="1:3" s="23" customFormat="1" ht="12.75">
      <c r="A315" s="32"/>
      <c r="C315" s="24"/>
    </row>
    <row r="317" spans="1:4" ht="12.75">
      <c r="A317" s="30"/>
      <c r="B317" s="30"/>
      <c r="C317" s="30"/>
      <c r="D317" s="30"/>
    </row>
    <row r="318" spans="1:4" ht="12.75">
      <c r="A318" s="30"/>
      <c r="B318" s="30"/>
      <c r="C318" s="30"/>
      <c r="D318" s="30"/>
    </row>
  </sheetData>
  <sheetProtection/>
  <mergeCells count="41">
    <mergeCell ref="A1:D1"/>
    <mergeCell ref="A3:D3"/>
    <mergeCell ref="A31:D31"/>
    <mergeCell ref="C4:D4"/>
    <mergeCell ref="A5:D5"/>
    <mergeCell ref="A83:D83"/>
    <mergeCell ref="A18:D20"/>
    <mergeCell ref="A6:D6"/>
    <mergeCell ref="A7:D11"/>
    <mergeCell ref="A12:D16"/>
    <mergeCell ref="A29:D30"/>
    <mergeCell ref="A44:D44"/>
    <mergeCell ref="A96:D96"/>
    <mergeCell ref="A71:D72"/>
    <mergeCell ref="A94:D95"/>
    <mergeCell ref="A154:D155"/>
    <mergeCell ref="A81:D82"/>
    <mergeCell ref="A115:D115"/>
    <mergeCell ref="A129:D129"/>
    <mergeCell ref="A127:D128"/>
    <mergeCell ref="A52:D52"/>
    <mergeCell ref="A63:D63"/>
    <mergeCell ref="A113:D114"/>
    <mergeCell ref="G181:H181"/>
    <mergeCell ref="G182:H182"/>
    <mergeCell ref="F180:L180"/>
    <mergeCell ref="A142:D142"/>
    <mergeCell ref="A17:D17"/>
    <mergeCell ref="A73:D73"/>
    <mergeCell ref="A61:D62"/>
    <mergeCell ref="A50:D51"/>
    <mergeCell ref="A22:D22"/>
    <mergeCell ref="A256:D256"/>
    <mergeCell ref="A182:D182"/>
    <mergeCell ref="F184:K185"/>
    <mergeCell ref="E147:F147"/>
    <mergeCell ref="A180:D180"/>
    <mergeCell ref="A136:D136"/>
    <mergeCell ref="A140:D141"/>
    <mergeCell ref="G183:H183"/>
    <mergeCell ref="A156:D156"/>
  </mergeCells>
  <printOptions/>
  <pageMargins left="0.75" right="0.75" top="1" bottom="1" header="0.5" footer="0.5"/>
  <pageSetup horizontalDpi="600" verticalDpi="600" orientation="portrait" r:id="rId2"/>
  <headerFooter alignWithMargins="0">
    <oddHeader>&amp;L&amp;F
&amp;D</oddHeader>
  </headerFooter>
  <drawing r:id="rId1"/>
</worksheet>
</file>

<file path=xl/worksheets/sheet2.xml><?xml version="1.0" encoding="utf-8"?>
<worksheet xmlns="http://schemas.openxmlformats.org/spreadsheetml/2006/main" xmlns:r="http://schemas.openxmlformats.org/officeDocument/2006/relationships">
  <dimension ref="A1:P103"/>
  <sheetViews>
    <sheetView zoomScale="70" zoomScaleNormal="70" zoomScalePageLayoutView="0" workbookViewId="0" topLeftCell="A1">
      <selection activeCell="A1" sqref="A1:IV16384"/>
    </sheetView>
  </sheetViews>
  <sheetFormatPr defaultColWidth="9.140625" defaultRowHeight="12.75"/>
  <cols>
    <col min="1" max="1" width="9.140625" style="3" customWidth="1"/>
    <col min="2" max="2" width="39.00390625" style="3" customWidth="1"/>
    <col min="3" max="3" width="44.57421875" style="3" customWidth="1"/>
    <col min="4" max="4" width="17.57421875" style="3" customWidth="1"/>
    <col min="5" max="5" width="66.57421875" style="3" customWidth="1"/>
    <col min="6" max="16384" width="9.140625" style="3" customWidth="1"/>
  </cols>
  <sheetData>
    <row r="1" spans="1:16" ht="21">
      <c r="A1" s="260" t="s">
        <v>416</v>
      </c>
      <c r="B1" s="260"/>
      <c r="C1" s="260"/>
      <c r="D1" s="260"/>
      <c r="E1" s="260"/>
      <c r="F1" s="260"/>
      <c r="G1" s="2"/>
      <c r="H1" s="2"/>
      <c r="I1" s="2"/>
      <c r="J1" s="2"/>
      <c r="K1" s="2"/>
      <c r="L1" s="2"/>
      <c r="M1" s="2"/>
      <c r="N1" s="2"/>
      <c r="O1" s="2"/>
      <c r="P1" s="2"/>
    </row>
    <row r="2" spans="1:7" ht="12.75" customHeight="1">
      <c r="A2" s="260"/>
      <c r="B2" s="260"/>
      <c r="C2" s="260"/>
      <c r="D2" s="260"/>
      <c r="E2" s="260"/>
      <c r="F2" s="260"/>
      <c r="G2" s="2"/>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3.5" thickBot="1"/>
    <row r="38" spans="2:5" ht="17.25">
      <c r="B38" s="251" t="s">
        <v>424</v>
      </c>
      <c r="C38" s="252"/>
      <c r="D38" s="252"/>
      <c r="E38" s="253"/>
    </row>
    <row r="39" spans="2:5" ht="21" thickBot="1">
      <c r="B39" s="4" t="s">
        <v>199</v>
      </c>
      <c r="C39" s="256" t="s">
        <v>200</v>
      </c>
      <c r="D39" s="256"/>
      <c r="E39" s="257"/>
    </row>
    <row r="40" spans="2:5" ht="20.25">
      <c r="B40" s="242" t="s">
        <v>418</v>
      </c>
      <c r="C40" s="5" t="s">
        <v>215</v>
      </c>
      <c r="D40" s="245" t="s">
        <v>216</v>
      </c>
      <c r="E40" s="246"/>
    </row>
    <row r="41" spans="2:5" ht="20.25">
      <c r="B41" s="243"/>
      <c r="C41" s="6" t="s">
        <v>206</v>
      </c>
      <c r="D41" s="6">
        <f>IF(Vacin_max&lt;270,250,350)</f>
        <v>250</v>
      </c>
      <c r="E41" s="7" t="str">
        <f>'DESIGN INPUTS AND CALCULATIONS'!D24</f>
        <v>VRMS</v>
      </c>
    </row>
    <row r="42" spans="2:5" ht="21" thickBot="1">
      <c r="B42" s="244"/>
      <c r="C42" s="8" t="s">
        <v>222</v>
      </c>
      <c r="D42" s="9">
        <f>Ifuse</f>
        <v>14.04596201246919</v>
      </c>
      <c r="E42" s="10" t="str">
        <f>'DESIGN INPUTS AND CALCULATIONS'!D49</f>
        <v>A</v>
      </c>
    </row>
    <row r="43" spans="2:5" ht="20.25">
      <c r="B43" s="242" t="s">
        <v>419</v>
      </c>
      <c r="C43" s="5" t="s">
        <v>202</v>
      </c>
      <c r="D43" s="11">
        <f>Vrated</f>
        <v>398.24253916426363</v>
      </c>
      <c r="E43" s="12" t="str">
        <f>'DESIGN INPUTS AND CALCULATIONS'!D58</f>
        <v>V</v>
      </c>
    </row>
    <row r="44" spans="2:5" ht="20.25">
      <c r="B44" s="243"/>
      <c r="C44" s="6" t="s">
        <v>222</v>
      </c>
      <c r="D44" s="13">
        <f>Ibridge</f>
        <v>12.645808775948915</v>
      </c>
      <c r="E44" s="7" t="str">
        <f>'DESIGN INPUTS AND CALCULATIONS'!D57</f>
        <v>A</v>
      </c>
    </row>
    <row r="45" spans="2:5" ht="21" thickBot="1">
      <c r="B45" s="244"/>
      <c r="C45" s="8" t="s">
        <v>205</v>
      </c>
      <c r="D45" s="9">
        <f>Pbridge</f>
        <v>17.70413228632848</v>
      </c>
      <c r="E45" s="10" t="str">
        <f>'DESIGN INPUTS AND CALCULATIONS'!D59</f>
        <v>W</v>
      </c>
    </row>
    <row r="46" spans="2:5" ht="20.25">
      <c r="B46" s="242" t="s">
        <v>417</v>
      </c>
      <c r="C46" s="5" t="s">
        <v>215</v>
      </c>
      <c r="D46" s="245" t="s">
        <v>209</v>
      </c>
      <c r="E46" s="246"/>
    </row>
    <row r="47" spans="2:5" ht="20.25">
      <c r="B47" s="243"/>
      <c r="C47" s="6" t="s">
        <v>201</v>
      </c>
      <c r="D47" s="13">
        <f>IF(Cin="",Cin_rcmd,Cin)</f>
        <v>0.3</v>
      </c>
      <c r="E47" s="7" t="str">
        <f>data!G228</f>
        <v>µF</v>
      </c>
    </row>
    <row r="48" spans="2:5" ht="24" thickBot="1">
      <c r="B48" s="243"/>
      <c r="C48" s="6" t="s">
        <v>204</v>
      </c>
      <c r="D48" s="15">
        <f>Vacin_max</f>
        <v>256</v>
      </c>
      <c r="E48" s="16" t="s">
        <v>232</v>
      </c>
    </row>
    <row r="49" spans="2:5" ht="20.25">
      <c r="B49" s="242" t="s">
        <v>421</v>
      </c>
      <c r="C49" s="5" t="s">
        <v>203</v>
      </c>
      <c r="D49" s="17">
        <f>IF(Lbst="",Lbst_rcmd,Lbst)</f>
        <v>0.25</v>
      </c>
      <c r="E49" s="12" t="str">
        <f>'DESIGN INPUTS AND CALCULATIONS'!D77</f>
        <v>mH</v>
      </c>
    </row>
    <row r="50" spans="2:5" ht="20.25">
      <c r="B50" s="243"/>
      <c r="C50" s="6" t="s">
        <v>207</v>
      </c>
      <c r="D50" s="13">
        <f>Il_peak_actual</f>
        <v>14.624854030722165</v>
      </c>
      <c r="E50" s="7" t="str">
        <f>'DESIGN INPUTS AND CALCULATIONS'!D79</f>
        <v>A</v>
      </c>
    </row>
    <row r="51" spans="2:5" ht="20.25">
      <c r="B51" s="243"/>
      <c r="C51" s="6" t="s">
        <v>208</v>
      </c>
      <c r="D51" s="13">
        <f>Iripple_actual</f>
        <v>2.7643880952960354</v>
      </c>
      <c r="E51" s="7" t="str">
        <f>'DESIGN INPUTS AND CALCULATIONS'!D78</f>
        <v>A</v>
      </c>
    </row>
    <row r="52" spans="2:5" ht="21" thickBot="1">
      <c r="B52" s="244"/>
      <c r="C52" s="8" t="s">
        <v>30</v>
      </c>
      <c r="D52" s="18">
        <f>Dmax</f>
        <v>0.3535023714865851</v>
      </c>
      <c r="E52" s="10"/>
    </row>
    <row r="53" spans="2:5" ht="20.25">
      <c r="B53" s="242" t="s">
        <v>422</v>
      </c>
      <c r="C53" s="5" t="s">
        <v>215</v>
      </c>
      <c r="D53" s="245" t="s">
        <v>227</v>
      </c>
      <c r="E53" s="246"/>
    </row>
    <row r="54" spans="2:5" ht="20.25">
      <c r="B54" s="243"/>
      <c r="C54" s="6" t="s">
        <v>223</v>
      </c>
      <c r="D54" s="13">
        <f>Iin_avg_max</f>
        <v>8.430539183965942</v>
      </c>
      <c r="E54" s="7" t="str">
        <f>'DESIGN INPUTS AND CALCULATIONS'!D48</f>
        <v>A</v>
      </c>
    </row>
    <row r="55" spans="2:5" ht="20.25">
      <c r="B55" s="243"/>
      <c r="C55" s="6" t="s">
        <v>204</v>
      </c>
      <c r="D55" s="6">
        <f>Vdiode_blocking</f>
        <v>423.50000000000006</v>
      </c>
      <c r="E55" s="7" t="str">
        <f>'DESIGN INPUTS AND CALCULATIONS'!D33</f>
        <v>V</v>
      </c>
    </row>
    <row r="56" spans="2:5" ht="21" thickBot="1">
      <c r="B56" s="244"/>
      <c r="C56" s="8" t="s">
        <v>205</v>
      </c>
      <c r="D56" s="9">
        <f>Pdiode</f>
        <v>7.5345407467532475</v>
      </c>
      <c r="E56" s="10" t="str">
        <f>'DESIGN INPUTS AND CALCULATIONS'!D91</f>
        <v>W</v>
      </c>
    </row>
    <row r="57" spans="2:5" ht="20.25">
      <c r="B57" s="242" t="s">
        <v>423</v>
      </c>
      <c r="C57" s="5" t="s">
        <v>215</v>
      </c>
      <c r="D57" s="245" t="s">
        <v>226</v>
      </c>
      <c r="E57" s="246"/>
    </row>
    <row r="58" spans="2:5" ht="20.25">
      <c r="B58" s="243"/>
      <c r="C58" s="6" t="s">
        <v>210</v>
      </c>
      <c r="D58" s="13">
        <f>Ids_rms</f>
        <v>5.915899528895074</v>
      </c>
      <c r="E58" s="7" t="str">
        <f>'DESIGN INPUTS AND CALCULATIONS'!D99</f>
        <v>A</v>
      </c>
    </row>
    <row r="59" spans="2:5" ht="20.25">
      <c r="B59" s="243"/>
      <c r="C59" s="6" t="s">
        <v>207</v>
      </c>
      <c r="D59" s="13">
        <f>Il_peak_actual</f>
        <v>14.624854030722165</v>
      </c>
      <c r="E59" s="7" t="str">
        <f>'DESIGN INPUTS AND CALCULATIONS'!D79</f>
        <v>A</v>
      </c>
    </row>
    <row r="60" spans="2:5" ht="20.25">
      <c r="B60" s="243"/>
      <c r="C60" s="6" t="s">
        <v>206</v>
      </c>
      <c r="D60" s="15">
        <f>Vin_peak_max</f>
        <v>362.03867196751236</v>
      </c>
      <c r="E60" s="7" t="str">
        <f>'DESIGN INPUTS AND CALCULATIONS'!D28</f>
        <v>V</v>
      </c>
    </row>
    <row r="61" spans="2:5" ht="21" thickBot="1">
      <c r="B61" s="244"/>
      <c r="C61" s="8" t="s">
        <v>205</v>
      </c>
      <c r="D61" s="9">
        <f>P_FET</f>
        <v>32.1198611754671</v>
      </c>
      <c r="E61" s="10" t="str">
        <f>'DESIGN INPUTS AND CALCULATIONS'!D111</f>
        <v>W</v>
      </c>
    </row>
    <row r="62" spans="2:5" ht="20.25">
      <c r="B62" s="242" t="s">
        <v>425</v>
      </c>
      <c r="C62" s="5" t="s">
        <v>215</v>
      </c>
      <c r="D62" s="245" t="s">
        <v>225</v>
      </c>
      <c r="E62" s="246"/>
    </row>
    <row r="63" spans="2:5" ht="21">
      <c r="B63" s="243"/>
      <c r="C63" s="6" t="s">
        <v>201</v>
      </c>
      <c r="D63" s="6">
        <f>IF(Rsense="",Rsense_ideal,Rsense)</f>
        <v>0.01</v>
      </c>
      <c r="E63" s="14" t="s">
        <v>12</v>
      </c>
    </row>
    <row r="64" spans="2:5" ht="21" thickBot="1">
      <c r="B64" s="244"/>
      <c r="C64" s="8" t="s">
        <v>205</v>
      </c>
      <c r="D64" s="19">
        <f>P_Rsense</f>
        <v>0.8768402171365668</v>
      </c>
      <c r="E64" s="10" t="str">
        <f>'DESIGN INPUTS AND CALCULATIONS'!D120</f>
        <v>W</v>
      </c>
    </row>
    <row r="65" spans="2:5" ht="20.25">
      <c r="B65" s="242" t="s">
        <v>426</v>
      </c>
      <c r="C65" s="5" t="s">
        <v>215</v>
      </c>
      <c r="D65" s="254" t="s">
        <v>211</v>
      </c>
      <c r="E65" s="255"/>
    </row>
    <row r="66" spans="2:5" ht="21" thickBot="1">
      <c r="B66" s="244"/>
      <c r="C66" s="8" t="s">
        <v>201</v>
      </c>
      <c r="D66" s="8">
        <f>Risense</f>
        <v>220</v>
      </c>
      <c r="E66" s="20" t="s">
        <v>12</v>
      </c>
    </row>
    <row r="67" spans="2:5" ht="20.25">
      <c r="B67" s="242" t="s">
        <v>427</v>
      </c>
      <c r="C67" s="5" t="s">
        <v>215</v>
      </c>
      <c r="D67" s="245" t="s">
        <v>212</v>
      </c>
      <c r="E67" s="246"/>
    </row>
    <row r="68" spans="2:5" ht="21" thickBot="1">
      <c r="B68" s="244"/>
      <c r="C68" s="8" t="s">
        <v>201</v>
      </c>
      <c r="D68" s="21">
        <f>Cisense</f>
        <v>680</v>
      </c>
      <c r="E68" s="10" t="str">
        <f>'DESIGN INPUTS AND CALCULATIONS'!D126</f>
        <v>pF</v>
      </c>
    </row>
    <row r="69" spans="2:5" ht="20.25">
      <c r="B69" s="242" t="s">
        <v>428</v>
      </c>
      <c r="C69" s="5" t="s">
        <v>215</v>
      </c>
      <c r="D69" s="245" t="s">
        <v>213</v>
      </c>
      <c r="E69" s="246"/>
    </row>
    <row r="70" spans="2:5" ht="20.25">
      <c r="B70" s="243"/>
      <c r="C70" s="6" t="s">
        <v>201</v>
      </c>
      <c r="D70" s="6">
        <f>IF(Cout="",Cout_rcmd,Cout)</f>
        <v>1080</v>
      </c>
      <c r="E70" s="7" t="str">
        <f>'DESIGN INPUTS AND CALCULATIONS'!D133</f>
        <v>µF</v>
      </c>
    </row>
    <row r="71" spans="2:5" ht="20.25">
      <c r="B71" s="243"/>
      <c r="C71" s="6" t="s">
        <v>206</v>
      </c>
      <c r="D71" s="22">
        <f>Vovp</f>
        <v>420.48846153846154</v>
      </c>
      <c r="E71" s="7" t="s">
        <v>11</v>
      </c>
    </row>
    <row r="72" spans="2:5" ht="24">
      <c r="B72" s="243"/>
      <c r="C72" s="6" t="s">
        <v>238</v>
      </c>
      <c r="D72" s="22">
        <f>Icout_2fline</f>
        <v>2.8467935346471394</v>
      </c>
      <c r="E72" s="7" t="s">
        <v>233</v>
      </c>
    </row>
    <row r="73" spans="2:5" ht="24" thickBot="1">
      <c r="B73" s="244"/>
      <c r="C73" s="8" t="s">
        <v>224</v>
      </c>
      <c r="D73" s="18">
        <f>Icout_HF</f>
        <v>4.2719408896772055</v>
      </c>
      <c r="E73" s="10" t="s">
        <v>233</v>
      </c>
    </row>
    <row r="74" spans="2:5" ht="20.25">
      <c r="B74" s="242" t="s">
        <v>432</v>
      </c>
      <c r="C74" s="5" t="s">
        <v>215</v>
      </c>
      <c r="D74" s="245" t="s">
        <v>219</v>
      </c>
      <c r="E74" s="246"/>
    </row>
    <row r="75" spans="2:5" ht="21" thickBot="1">
      <c r="B75" s="244"/>
      <c r="C75" s="8" t="s">
        <v>201</v>
      </c>
      <c r="D75" s="8">
        <f>IF(R_fb1="",Rfb1_rcmd,R_fb1)</f>
        <v>0.99</v>
      </c>
      <c r="E75" s="10" t="s">
        <v>234</v>
      </c>
    </row>
    <row r="76" spans="2:5" ht="20.25">
      <c r="B76" s="242" t="s">
        <v>433</v>
      </c>
      <c r="C76" s="5" t="s">
        <v>215</v>
      </c>
      <c r="D76" s="245" t="s">
        <v>214</v>
      </c>
      <c r="E76" s="246"/>
    </row>
    <row r="77" spans="2:5" ht="21" thickBot="1">
      <c r="B77" s="244"/>
      <c r="C77" s="8" t="s">
        <v>201</v>
      </c>
      <c r="D77" s="8">
        <f>IF(R_fb2="",R_fb2_rcmd,R_fb2)</f>
        <v>13</v>
      </c>
      <c r="E77" s="10" t="s">
        <v>235</v>
      </c>
    </row>
    <row r="78" spans="2:5" ht="20.25">
      <c r="B78" s="242" t="s">
        <v>434</v>
      </c>
      <c r="C78" s="5" t="s">
        <v>215</v>
      </c>
      <c r="D78" s="245" t="s">
        <v>217</v>
      </c>
      <c r="E78" s="246"/>
    </row>
    <row r="79" spans="2:5" ht="21" thickBot="1">
      <c r="B79" s="244"/>
      <c r="C79" s="8" t="s">
        <v>201</v>
      </c>
      <c r="D79" s="21">
        <f>Cvsense</f>
        <v>819.9999999999999</v>
      </c>
      <c r="E79" s="10" t="s">
        <v>82</v>
      </c>
    </row>
    <row r="80" spans="2:5" ht="20.25">
      <c r="B80" s="242" t="s">
        <v>435</v>
      </c>
      <c r="C80" s="5" t="s">
        <v>215</v>
      </c>
      <c r="D80" s="245" t="s">
        <v>217</v>
      </c>
      <c r="E80" s="246"/>
    </row>
    <row r="81" spans="2:5" ht="20.25">
      <c r="B81" s="243"/>
      <c r="C81" s="249" t="s">
        <v>444</v>
      </c>
      <c r="D81" s="111">
        <f>Cicomp_minrcmd</f>
        <v>1000</v>
      </c>
      <c r="E81" s="7" t="s">
        <v>443</v>
      </c>
    </row>
    <row r="82" spans="2:5" ht="21" thickBot="1">
      <c r="B82" s="244"/>
      <c r="C82" s="250"/>
      <c r="D82" s="8">
        <f>Cicomp_maxrcmd</f>
        <v>2200</v>
      </c>
      <c r="E82" s="10" t="s">
        <v>443</v>
      </c>
    </row>
    <row r="83" spans="2:5" ht="20.25" customHeight="1">
      <c r="B83" s="242" t="s">
        <v>436</v>
      </c>
      <c r="C83" s="5" t="s">
        <v>215</v>
      </c>
      <c r="D83" s="245" t="s">
        <v>218</v>
      </c>
      <c r="E83" s="246"/>
    </row>
    <row r="84" spans="2:5" ht="21" thickBot="1">
      <c r="B84" s="244"/>
      <c r="C84" s="8" t="s">
        <v>201</v>
      </c>
      <c r="D84" s="8">
        <f>IF(Cvcomp="",Cvcomp_rcmd,Cvcomp)</f>
        <v>6.8</v>
      </c>
      <c r="E84" s="20" t="s">
        <v>231</v>
      </c>
    </row>
    <row r="85" spans="2:5" ht="20.25">
      <c r="B85" s="243" t="s">
        <v>437</v>
      </c>
      <c r="C85" s="6" t="s">
        <v>215</v>
      </c>
      <c r="D85" s="247" t="s">
        <v>214</v>
      </c>
      <c r="E85" s="248"/>
    </row>
    <row r="86" spans="2:5" ht="21" thickBot="1">
      <c r="B86" s="244"/>
      <c r="C86" s="8" t="s">
        <v>201</v>
      </c>
      <c r="D86" s="8">
        <f>IF(Rvcomp="",Rvcomp_rcmd,Rvcomp)</f>
        <v>15</v>
      </c>
      <c r="E86" s="10" t="s">
        <v>235</v>
      </c>
    </row>
    <row r="87" spans="2:5" ht="20.25">
      <c r="B87" s="242" t="s">
        <v>438</v>
      </c>
      <c r="C87" s="5" t="s">
        <v>215</v>
      </c>
      <c r="D87" s="245" t="s">
        <v>218</v>
      </c>
      <c r="E87" s="246"/>
    </row>
    <row r="88" spans="2:5" ht="21" thickBot="1">
      <c r="B88" s="244"/>
      <c r="C88" s="8" t="s">
        <v>201</v>
      </c>
      <c r="D88" s="8">
        <f>IF(Cvcomp_p="",Cvcomp_p_rcmd,Cvcomp_p)</f>
        <v>0.68</v>
      </c>
      <c r="E88" s="20" t="s">
        <v>236</v>
      </c>
    </row>
    <row r="89" spans="2:5" ht="20.25">
      <c r="B89" s="243" t="s">
        <v>439</v>
      </c>
      <c r="C89" s="6" t="s">
        <v>215</v>
      </c>
      <c r="D89" s="247" t="s">
        <v>214</v>
      </c>
      <c r="E89" s="248"/>
    </row>
    <row r="90" spans="2:5" ht="21" thickBot="1">
      <c r="B90" s="244"/>
      <c r="C90" s="8" t="s">
        <v>201</v>
      </c>
      <c r="D90" s="8">
        <f>IF(Rfreq="",Rfreq_rcmd,Rfreq)</f>
        <v>15</v>
      </c>
      <c r="E90" s="10" t="s">
        <v>391</v>
      </c>
    </row>
    <row r="91" spans="2:5" ht="20.25">
      <c r="B91" s="243" t="s">
        <v>440</v>
      </c>
      <c r="C91" s="6" t="s">
        <v>215</v>
      </c>
      <c r="D91" s="247" t="s">
        <v>220</v>
      </c>
      <c r="E91" s="248"/>
    </row>
    <row r="92" spans="2:5" ht="21">
      <c r="B92" s="243"/>
      <c r="C92" s="249" t="s">
        <v>221</v>
      </c>
      <c r="D92" s="6">
        <v>0.1</v>
      </c>
      <c r="E92" s="14" t="s">
        <v>441</v>
      </c>
    </row>
    <row r="93" spans="2:5" ht="21" thickBot="1">
      <c r="B93" s="244"/>
      <c r="C93" s="250"/>
      <c r="D93" s="8">
        <v>1</v>
      </c>
      <c r="E93" s="20" t="s">
        <v>442</v>
      </c>
    </row>
    <row r="94" spans="2:5" ht="20.25">
      <c r="B94" s="242" t="s">
        <v>445</v>
      </c>
      <c r="C94" s="5" t="s">
        <v>215</v>
      </c>
      <c r="D94" s="245" t="s">
        <v>446</v>
      </c>
      <c r="E94" s="246"/>
    </row>
    <row r="95" spans="2:5" ht="20.25">
      <c r="B95" s="243"/>
      <c r="C95" s="6" t="s">
        <v>223</v>
      </c>
      <c r="D95" s="112">
        <f>Iinrush</f>
        <v>7.70295046739388</v>
      </c>
      <c r="E95" s="100" t="s">
        <v>18</v>
      </c>
    </row>
    <row r="96" spans="2:5" ht="21" thickBot="1">
      <c r="B96" s="244"/>
      <c r="C96" s="6" t="s">
        <v>204</v>
      </c>
      <c r="D96" s="112">
        <f>Vovp</f>
        <v>420.48846153846154</v>
      </c>
      <c r="E96" s="10" t="s">
        <v>11</v>
      </c>
    </row>
    <row r="97" spans="2:5" ht="20.25">
      <c r="B97" s="242" t="s">
        <v>447</v>
      </c>
      <c r="C97" s="5" t="s">
        <v>215</v>
      </c>
      <c r="D97" s="245" t="s">
        <v>448</v>
      </c>
      <c r="E97" s="246"/>
    </row>
    <row r="98" spans="2:5" ht="20.25">
      <c r="B98" s="243"/>
      <c r="C98" s="6" t="s">
        <v>223</v>
      </c>
      <c r="D98" s="111">
        <v>2</v>
      </c>
      <c r="E98" s="100" t="s">
        <v>18</v>
      </c>
    </row>
    <row r="99" spans="2:5" ht="21" thickBot="1">
      <c r="B99" s="244"/>
      <c r="C99" s="8" t="s">
        <v>204</v>
      </c>
      <c r="D99" s="18">
        <v>40</v>
      </c>
      <c r="E99" s="10" t="s">
        <v>11</v>
      </c>
    </row>
    <row r="100" spans="2:5" ht="20.25">
      <c r="B100" s="242" t="s">
        <v>449</v>
      </c>
      <c r="C100" s="5" t="s">
        <v>215</v>
      </c>
      <c r="D100" s="245" t="s">
        <v>214</v>
      </c>
      <c r="E100" s="246"/>
    </row>
    <row r="101" spans="2:5" ht="21" thickBot="1">
      <c r="B101" s="244"/>
      <c r="C101" s="8" t="s">
        <v>201</v>
      </c>
      <c r="D101" s="258" t="s">
        <v>450</v>
      </c>
      <c r="E101" s="259"/>
    </row>
    <row r="102" spans="2:5" ht="20.25" customHeight="1">
      <c r="B102" s="242" t="s">
        <v>451</v>
      </c>
      <c r="C102" s="5" t="s">
        <v>215</v>
      </c>
      <c r="D102" s="245" t="s">
        <v>214</v>
      </c>
      <c r="E102" s="246"/>
    </row>
    <row r="103" spans="2:5" ht="21" thickBot="1">
      <c r="B103" s="244"/>
      <c r="C103" s="8" t="s">
        <v>201</v>
      </c>
      <c r="D103" s="113">
        <v>10</v>
      </c>
      <c r="E103" s="114" t="s">
        <v>452</v>
      </c>
    </row>
  </sheetData>
  <sheetProtection password="E85D" sheet="1" objects="1" selectLockedCells="1" selectUnlockedCells="1"/>
  <mergeCells count="50">
    <mergeCell ref="B100:B101"/>
    <mergeCell ref="D100:E100"/>
    <mergeCell ref="D101:E101"/>
    <mergeCell ref="B102:B103"/>
    <mergeCell ref="D102:E102"/>
    <mergeCell ref="A1:F2"/>
    <mergeCell ref="B67:B68"/>
    <mergeCell ref="B57:B61"/>
    <mergeCell ref="B65:B66"/>
    <mergeCell ref="B40:B42"/>
    <mergeCell ref="D89:E89"/>
    <mergeCell ref="B43:B45"/>
    <mergeCell ref="D57:E57"/>
    <mergeCell ref="D62:E62"/>
    <mergeCell ref="D65:E65"/>
    <mergeCell ref="C39:E39"/>
    <mergeCell ref="B69:B73"/>
    <mergeCell ref="B62:B64"/>
    <mergeCell ref="D67:E67"/>
    <mergeCell ref="D69:E69"/>
    <mergeCell ref="D74:E74"/>
    <mergeCell ref="D76:E76"/>
    <mergeCell ref="D78:E78"/>
    <mergeCell ref="D80:E80"/>
    <mergeCell ref="B38:E38"/>
    <mergeCell ref="D40:E40"/>
    <mergeCell ref="D46:E46"/>
    <mergeCell ref="D53:E53"/>
    <mergeCell ref="B46:B48"/>
    <mergeCell ref="B49:B52"/>
    <mergeCell ref="B91:B93"/>
    <mergeCell ref="C92:C93"/>
    <mergeCell ref="B87:B88"/>
    <mergeCell ref="B89:B90"/>
    <mergeCell ref="B53:B56"/>
    <mergeCell ref="B83:B84"/>
    <mergeCell ref="B85:B86"/>
    <mergeCell ref="B74:B75"/>
    <mergeCell ref="B76:B77"/>
    <mergeCell ref="B78:B79"/>
    <mergeCell ref="B94:B96"/>
    <mergeCell ref="D97:E97"/>
    <mergeCell ref="D91:E91"/>
    <mergeCell ref="D87:E87"/>
    <mergeCell ref="D83:E83"/>
    <mergeCell ref="C81:C82"/>
    <mergeCell ref="D85:E85"/>
    <mergeCell ref="B80:B82"/>
    <mergeCell ref="B97:B99"/>
    <mergeCell ref="D94:E94"/>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2:Y278"/>
  <sheetViews>
    <sheetView zoomScale="70" zoomScaleNormal="70" zoomScalePageLayoutView="0" workbookViewId="0" topLeftCell="A22">
      <selection activeCell="E54" sqref="E54"/>
    </sheetView>
  </sheetViews>
  <sheetFormatPr defaultColWidth="9.140625" defaultRowHeight="12.75"/>
  <cols>
    <col min="1" max="2" width="9.140625" style="127" customWidth="1"/>
    <col min="3" max="3" width="12.00390625" style="127" customWidth="1"/>
    <col min="4" max="4" width="29.421875" style="127" customWidth="1"/>
    <col min="5" max="5" width="13.421875" style="127" customWidth="1"/>
    <col min="6" max="6" width="11.421875" style="127" bestFit="1" customWidth="1"/>
    <col min="7" max="7" width="14.140625" style="127" bestFit="1" customWidth="1"/>
    <col min="8" max="8" width="12.57421875" style="127" customWidth="1"/>
    <col min="9" max="9" width="13.421875" style="127" customWidth="1"/>
    <col min="10" max="10" width="20.421875" style="127" customWidth="1"/>
    <col min="11" max="11" width="43.140625" style="127" customWidth="1"/>
    <col min="12" max="12" width="14.421875" style="127" customWidth="1"/>
    <col min="13" max="13" width="24.8515625" style="127" customWidth="1"/>
    <col min="14" max="14" width="9.140625" style="127" customWidth="1"/>
    <col min="15" max="15" width="16.00390625" style="127" customWidth="1"/>
    <col min="16" max="16" width="33.57421875" style="127" customWidth="1"/>
    <col min="17" max="17" width="9.140625" style="127" customWidth="1"/>
    <col min="18" max="18" width="23.140625" style="127" customWidth="1"/>
    <col min="19" max="19" width="20.57421875" style="127" customWidth="1"/>
    <col min="20" max="20" width="19.8515625" style="127" customWidth="1"/>
    <col min="21" max="16384" width="9.140625" style="127" customWidth="1"/>
  </cols>
  <sheetData>
    <row r="2" spans="1:4" ht="13.5">
      <c r="A2" s="268" t="s">
        <v>141</v>
      </c>
      <c r="B2" s="268"/>
      <c r="C2" s="268"/>
      <c r="D2" s="268"/>
    </row>
    <row r="3" spans="1:4" ht="13.5">
      <c r="A3" s="128"/>
      <c r="B3" s="128"/>
      <c r="C3" s="128"/>
      <c r="D3" s="128"/>
    </row>
    <row r="4" spans="1:4" ht="13.5">
      <c r="A4" s="126" t="s">
        <v>132</v>
      </c>
      <c r="B4" s="126" t="s">
        <v>136</v>
      </c>
      <c r="C4" s="126" t="s">
        <v>137</v>
      </c>
      <c r="D4" s="126" t="s">
        <v>131</v>
      </c>
    </row>
    <row r="5" spans="1:8" ht="13.5">
      <c r="A5" s="126">
        <v>0</v>
      </c>
      <c r="B5" s="129">
        <f>IF(A5&lt;1,(0.068),IF(A5&lt;2,(0.156*A5-0.088),IF(A5&lt;4.5,(0.313*A5-0.401),IF(A5&lt;=5,1.007,"VCOMP MUST BE &lt; 5"))))</f>
        <v>0.068</v>
      </c>
      <c r="C5" s="129">
        <f aca="true" t="shared" si="0" ref="C5:C36">IF(A5&lt;=0.5,0,IF(A5&lt;4.6,((fSW_target/65)*0.1223*(A5-0.5)^2),IF(A5&lt;=5,((fSW_target/65)*2.056),"VCOMP MUST BE &lt; 5")))</f>
        <v>0</v>
      </c>
      <c r="D5" s="130">
        <f>B5*C5</f>
        <v>0</v>
      </c>
      <c r="G5" s="87" t="s">
        <v>256</v>
      </c>
      <c r="H5" s="88">
        <f>10^-3</f>
        <v>0.001</v>
      </c>
    </row>
    <row r="6" spans="1:8" ht="13.5">
      <c r="A6" s="126">
        <f>A5+0.05</f>
        <v>0.05</v>
      </c>
      <c r="B6" s="129">
        <f aca="true" t="shared" si="1" ref="B6:B69">IF(A6&lt;1,(0.068),IF(A6&lt;2,(0.156*A6-0.088),IF(A6&lt;4.5,(0.313*A6-0.401),IF(A6&lt;=5,1.007,"VCOMP MUST BE &lt; 5"))))</f>
        <v>0.068</v>
      </c>
      <c r="C6" s="129">
        <f t="shared" si="0"/>
        <v>0</v>
      </c>
      <c r="D6" s="130">
        <f aca="true" t="shared" si="2" ref="D6:D69">B6*C6</f>
        <v>0</v>
      </c>
      <c r="G6" s="87" t="s">
        <v>257</v>
      </c>
      <c r="H6" s="88">
        <f>(10^-6)</f>
        <v>1E-06</v>
      </c>
    </row>
    <row r="7" spans="1:8" ht="13.5">
      <c r="A7" s="126">
        <f aca="true" t="shared" si="3" ref="A7:A70">A6+0.05</f>
        <v>0.1</v>
      </c>
      <c r="B7" s="129">
        <f t="shared" si="1"/>
        <v>0.068</v>
      </c>
      <c r="C7" s="129">
        <f t="shared" si="0"/>
        <v>0</v>
      </c>
      <c r="D7" s="130">
        <f t="shared" si="2"/>
        <v>0</v>
      </c>
      <c r="G7" s="87" t="s">
        <v>258</v>
      </c>
      <c r="H7" s="88">
        <f>10^3</f>
        <v>1000</v>
      </c>
    </row>
    <row r="8" spans="1:8" ht="13.5">
      <c r="A8" s="126">
        <f t="shared" si="3"/>
        <v>0.15000000000000002</v>
      </c>
      <c r="B8" s="129">
        <f t="shared" si="1"/>
        <v>0.068</v>
      </c>
      <c r="C8" s="129">
        <f t="shared" si="0"/>
        <v>0</v>
      </c>
      <c r="D8" s="130">
        <f t="shared" si="2"/>
        <v>0</v>
      </c>
      <c r="G8" s="87" t="s">
        <v>259</v>
      </c>
      <c r="H8" s="88">
        <f>10^-3</f>
        <v>0.001</v>
      </c>
    </row>
    <row r="9" spans="1:8" ht="13.5">
      <c r="A9" s="126">
        <f t="shared" si="3"/>
        <v>0.2</v>
      </c>
      <c r="B9" s="129">
        <f t="shared" si="1"/>
        <v>0.068</v>
      </c>
      <c r="C9" s="129">
        <f t="shared" si="0"/>
        <v>0</v>
      </c>
      <c r="D9" s="130">
        <f t="shared" si="2"/>
        <v>0</v>
      </c>
      <c r="G9" s="87" t="s">
        <v>260</v>
      </c>
      <c r="H9" s="88">
        <f>10^-3</f>
        <v>0.001</v>
      </c>
    </row>
    <row r="10" spans="1:8" ht="13.5">
      <c r="A10" s="126">
        <f t="shared" si="3"/>
        <v>0.25</v>
      </c>
      <c r="B10" s="129">
        <f t="shared" si="1"/>
        <v>0.068</v>
      </c>
      <c r="C10" s="129">
        <f t="shared" si="0"/>
        <v>0</v>
      </c>
      <c r="D10" s="130">
        <f t="shared" si="2"/>
        <v>0</v>
      </c>
      <c r="G10" s="87" t="s">
        <v>261</v>
      </c>
      <c r="H10" s="88">
        <f>10^-3</f>
        <v>0.001</v>
      </c>
    </row>
    <row r="11" spans="1:8" ht="13.5">
      <c r="A11" s="126">
        <f t="shared" si="3"/>
        <v>0.3</v>
      </c>
      <c r="B11" s="129">
        <f t="shared" si="1"/>
        <v>0.068</v>
      </c>
      <c r="C11" s="129">
        <f t="shared" si="0"/>
        <v>0</v>
      </c>
      <c r="D11" s="130">
        <f t="shared" si="2"/>
        <v>0</v>
      </c>
      <c r="G11" s="87" t="s">
        <v>262</v>
      </c>
      <c r="H11" s="88">
        <f>10^-6</f>
        <v>1E-06</v>
      </c>
    </row>
    <row r="12" spans="1:8" ht="13.5">
      <c r="A12" s="126">
        <f t="shared" si="3"/>
        <v>0.35</v>
      </c>
      <c r="B12" s="129">
        <f t="shared" si="1"/>
        <v>0.068</v>
      </c>
      <c r="C12" s="129">
        <f t="shared" si="0"/>
        <v>0</v>
      </c>
      <c r="D12" s="130">
        <f t="shared" si="2"/>
        <v>0</v>
      </c>
      <c r="G12" s="87" t="s">
        <v>263</v>
      </c>
      <c r="H12" s="88">
        <f>10^-6</f>
        <v>1E-06</v>
      </c>
    </row>
    <row r="13" spans="1:8" ht="13.5">
      <c r="A13" s="126">
        <f t="shared" si="3"/>
        <v>0.39999999999999997</v>
      </c>
      <c r="B13" s="129">
        <f t="shared" si="1"/>
        <v>0.068</v>
      </c>
      <c r="C13" s="129">
        <f t="shared" si="0"/>
        <v>0</v>
      </c>
      <c r="D13" s="130">
        <f t="shared" si="2"/>
        <v>0</v>
      </c>
      <c r="G13" s="87" t="s">
        <v>264</v>
      </c>
      <c r="H13" s="88">
        <f>10^-9</f>
        <v>1E-09</v>
      </c>
    </row>
    <row r="14" spans="1:8" ht="13.5">
      <c r="A14" s="126">
        <f t="shared" si="3"/>
        <v>0.44999999999999996</v>
      </c>
      <c r="B14" s="129">
        <f t="shared" si="1"/>
        <v>0.068</v>
      </c>
      <c r="C14" s="129">
        <f t="shared" si="0"/>
        <v>0</v>
      </c>
      <c r="D14" s="130">
        <f t="shared" si="2"/>
        <v>0</v>
      </c>
      <c r="G14" s="87" t="s">
        <v>265</v>
      </c>
      <c r="H14" s="88">
        <f>10^-3</f>
        <v>0.001</v>
      </c>
    </row>
    <row r="15" spans="1:8" ht="13.5">
      <c r="A15" s="126">
        <f t="shared" si="3"/>
        <v>0.49999999999999994</v>
      </c>
      <c r="B15" s="129">
        <f t="shared" si="1"/>
        <v>0.068</v>
      </c>
      <c r="C15" s="129">
        <f t="shared" si="0"/>
        <v>0</v>
      </c>
      <c r="D15" s="130">
        <f t="shared" si="2"/>
        <v>0</v>
      </c>
      <c r="G15" s="87" t="s">
        <v>266</v>
      </c>
      <c r="H15" s="88">
        <f>10^-12</f>
        <v>1E-12</v>
      </c>
    </row>
    <row r="16" spans="1:8" ht="13.5">
      <c r="A16" s="126">
        <f t="shared" si="3"/>
        <v>0.5499999999999999</v>
      </c>
      <c r="B16" s="129">
        <f t="shared" si="1"/>
        <v>0.068</v>
      </c>
      <c r="C16" s="129">
        <f t="shared" si="0"/>
        <v>0.0006585384615384599</v>
      </c>
      <c r="D16" s="130">
        <f t="shared" si="2"/>
        <v>4.4780615384615276E-05</v>
      </c>
      <c r="G16" s="87" t="s">
        <v>267</v>
      </c>
      <c r="H16" s="88">
        <f>10^6</f>
        <v>1000000</v>
      </c>
    </row>
    <row r="17" spans="1:8" ht="13.5">
      <c r="A17" s="126">
        <f t="shared" si="3"/>
        <v>0.6</v>
      </c>
      <c r="B17" s="129">
        <f t="shared" si="1"/>
        <v>0.068</v>
      </c>
      <c r="C17" s="129">
        <f t="shared" si="0"/>
        <v>0.0026341538461538447</v>
      </c>
      <c r="D17" s="130">
        <f t="shared" si="2"/>
        <v>0.00017912246153846146</v>
      </c>
      <c r="G17" s="87" t="s">
        <v>268</v>
      </c>
      <c r="H17" s="88">
        <f>10^-6</f>
        <v>1E-06</v>
      </c>
    </row>
    <row r="18" spans="1:8" ht="14.25">
      <c r="A18" s="126">
        <f t="shared" si="3"/>
        <v>0.65</v>
      </c>
      <c r="B18" s="129">
        <f t="shared" si="1"/>
        <v>0.068</v>
      </c>
      <c r="C18" s="129">
        <f t="shared" si="0"/>
        <v>0.005926846153846155</v>
      </c>
      <c r="D18" s="130">
        <f t="shared" si="2"/>
        <v>0.00040302553846153854</v>
      </c>
      <c r="G18" s="87" t="s">
        <v>269</v>
      </c>
      <c r="H18" s="88">
        <f>10^3</f>
        <v>1000</v>
      </c>
    </row>
    <row r="19" spans="1:8" ht="13.5">
      <c r="A19" s="126">
        <f t="shared" si="3"/>
        <v>0.7000000000000001</v>
      </c>
      <c r="B19" s="129">
        <f t="shared" si="1"/>
        <v>0.068</v>
      </c>
      <c r="C19" s="129">
        <f t="shared" si="0"/>
        <v>0.010536615384615393</v>
      </c>
      <c r="D19" s="130">
        <f t="shared" si="2"/>
        <v>0.0007164898461538467</v>
      </c>
      <c r="G19" s="87" t="s">
        <v>270</v>
      </c>
      <c r="H19" s="88">
        <f>10^-9</f>
        <v>1E-09</v>
      </c>
    </row>
    <row r="20" spans="1:8" ht="13.5">
      <c r="A20" s="126">
        <f t="shared" si="3"/>
        <v>0.7500000000000001</v>
      </c>
      <c r="B20" s="129">
        <f t="shared" si="1"/>
        <v>0.068</v>
      </c>
      <c r="C20" s="129">
        <f t="shared" si="0"/>
        <v>0.016463461538461552</v>
      </c>
      <c r="D20" s="130">
        <f t="shared" si="2"/>
        <v>0.0011195153846153855</v>
      </c>
      <c r="G20" s="87" t="s">
        <v>271</v>
      </c>
      <c r="H20" s="88">
        <f>10^-9</f>
        <v>1E-09</v>
      </c>
    </row>
    <row r="21" spans="1:8" ht="13.5">
      <c r="A21" s="126">
        <f t="shared" si="3"/>
        <v>0.8000000000000002</v>
      </c>
      <c r="B21" s="129">
        <f t="shared" si="1"/>
        <v>0.068</v>
      </c>
      <c r="C21" s="129">
        <f t="shared" si="0"/>
        <v>0.02370738461538464</v>
      </c>
      <c r="D21" s="130">
        <f t="shared" si="2"/>
        <v>0.0016121021538461557</v>
      </c>
      <c r="G21" s="87" t="s">
        <v>272</v>
      </c>
      <c r="H21" s="88">
        <f>10^-6</f>
        <v>1E-06</v>
      </c>
    </row>
    <row r="22" spans="1:8" ht="13.5">
      <c r="A22" s="126">
        <f t="shared" si="3"/>
        <v>0.8500000000000002</v>
      </c>
      <c r="B22" s="129">
        <f t="shared" si="1"/>
        <v>0.068</v>
      </c>
      <c r="C22" s="129">
        <f t="shared" si="0"/>
        <v>0.03226838461538465</v>
      </c>
      <c r="D22" s="130">
        <f t="shared" si="2"/>
        <v>0.0021942501538461563</v>
      </c>
      <c r="G22" s="128" t="s">
        <v>273</v>
      </c>
      <c r="H22" s="88">
        <f>10^6</f>
        <v>1000000</v>
      </c>
    </row>
    <row r="23" spans="1:8" ht="13.5">
      <c r="A23" s="126">
        <f t="shared" si="3"/>
        <v>0.9000000000000002</v>
      </c>
      <c r="B23" s="129">
        <f t="shared" si="1"/>
        <v>0.068</v>
      </c>
      <c r="C23" s="129">
        <f t="shared" si="0"/>
        <v>0.04214646153846159</v>
      </c>
      <c r="D23" s="130">
        <f t="shared" si="2"/>
        <v>0.0028659593846153885</v>
      </c>
      <c r="G23" s="128" t="s">
        <v>298</v>
      </c>
      <c r="H23" s="88">
        <f>10^-3</f>
        <v>0.001</v>
      </c>
    </row>
    <row r="24" spans="1:4" ht="13.5">
      <c r="A24" s="126">
        <f t="shared" si="3"/>
        <v>0.9500000000000003</v>
      </c>
      <c r="B24" s="129">
        <f t="shared" si="1"/>
        <v>0.068</v>
      </c>
      <c r="C24" s="129">
        <f t="shared" si="0"/>
        <v>0.05334161538461545</v>
      </c>
      <c r="D24" s="130">
        <f t="shared" si="2"/>
        <v>0.003627229846153851</v>
      </c>
    </row>
    <row r="25" spans="1:4" ht="13.5">
      <c r="A25" s="126">
        <f t="shared" si="3"/>
        <v>1.0000000000000002</v>
      </c>
      <c r="B25" s="129">
        <f t="shared" si="1"/>
        <v>0.06800000000000003</v>
      </c>
      <c r="C25" s="129">
        <f t="shared" si="0"/>
        <v>0.06585384615384621</v>
      </c>
      <c r="D25" s="130">
        <f t="shared" si="2"/>
        <v>0.004478061538461545</v>
      </c>
    </row>
    <row r="26" spans="1:4" ht="13.5">
      <c r="A26" s="126">
        <f t="shared" si="3"/>
        <v>1.0500000000000003</v>
      </c>
      <c r="B26" s="129">
        <f t="shared" si="1"/>
        <v>0.07580000000000003</v>
      </c>
      <c r="C26" s="129">
        <f t="shared" si="0"/>
        <v>0.07968315384615392</v>
      </c>
      <c r="D26" s="130">
        <f t="shared" si="2"/>
        <v>0.006039983061538469</v>
      </c>
    </row>
    <row r="27" spans="1:4" ht="13.5">
      <c r="A27" s="126">
        <f t="shared" si="3"/>
        <v>1.1000000000000003</v>
      </c>
      <c r="B27" s="129">
        <f t="shared" si="1"/>
        <v>0.08360000000000006</v>
      </c>
      <c r="C27" s="129">
        <f t="shared" si="0"/>
        <v>0.09482953846153856</v>
      </c>
      <c r="D27" s="130">
        <f t="shared" si="2"/>
        <v>0.007927749415384629</v>
      </c>
    </row>
    <row r="28" spans="1:4" ht="13.5">
      <c r="A28" s="126">
        <f t="shared" si="3"/>
        <v>1.1500000000000004</v>
      </c>
      <c r="B28" s="129">
        <f t="shared" si="1"/>
        <v>0.09140000000000006</v>
      </c>
      <c r="C28" s="129">
        <f t="shared" si="0"/>
        <v>0.11129300000000013</v>
      </c>
      <c r="D28" s="130">
        <f t="shared" si="2"/>
        <v>0.01017218020000002</v>
      </c>
    </row>
    <row r="29" spans="1:4" ht="13.5">
      <c r="A29" s="126">
        <f t="shared" si="3"/>
        <v>1.2000000000000004</v>
      </c>
      <c r="B29" s="129">
        <f t="shared" si="1"/>
        <v>0.09920000000000007</v>
      </c>
      <c r="C29" s="129">
        <f t="shared" si="0"/>
        <v>0.1290735384615386</v>
      </c>
      <c r="D29" s="130">
        <f t="shared" si="2"/>
        <v>0.012804095015384638</v>
      </c>
    </row>
    <row r="30" spans="1:4" ht="13.5">
      <c r="A30" s="126">
        <f t="shared" si="3"/>
        <v>1.2500000000000004</v>
      </c>
      <c r="B30" s="129">
        <f t="shared" si="1"/>
        <v>0.10700000000000007</v>
      </c>
      <c r="C30" s="129">
        <f t="shared" si="0"/>
        <v>0.148171153846154</v>
      </c>
      <c r="D30" s="130">
        <f t="shared" si="2"/>
        <v>0.01585431346153849</v>
      </c>
    </row>
    <row r="31" spans="1:8" ht="15.75">
      <c r="A31" s="126">
        <f t="shared" si="3"/>
        <v>1.3000000000000005</v>
      </c>
      <c r="B31" s="129">
        <f t="shared" si="1"/>
        <v>0.11480000000000007</v>
      </c>
      <c r="C31" s="129">
        <f t="shared" si="0"/>
        <v>0.16858584615384636</v>
      </c>
      <c r="D31" s="130">
        <f t="shared" si="2"/>
        <v>0.019353655138461573</v>
      </c>
      <c r="G31" s="128" t="s">
        <v>313</v>
      </c>
      <c r="H31" s="128">
        <v>7</v>
      </c>
    </row>
    <row r="32" spans="1:8" ht="15.75">
      <c r="A32" s="126">
        <f t="shared" si="3"/>
        <v>1.3500000000000005</v>
      </c>
      <c r="B32" s="129">
        <f t="shared" si="1"/>
        <v>0.1226000000000001</v>
      </c>
      <c r="C32" s="129">
        <f t="shared" si="0"/>
        <v>0.1903176153846156</v>
      </c>
      <c r="D32" s="130">
        <f t="shared" si="2"/>
        <v>0.02333293964615389</v>
      </c>
      <c r="G32" s="128" t="s">
        <v>314</v>
      </c>
      <c r="H32" s="128">
        <f>1/(fsw*kHz)</f>
        <v>7.180228818950741E-06</v>
      </c>
    </row>
    <row r="33" spans="1:11" ht="15.75">
      <c r="A33" s="126">
        <f t="shared" si="3"/>
        <v>1.4000000000000006</v>
      </c>
      <c r="B33" s="129">
        <f t="shared" si="1"/>
        <v>0.1304000000000001</v>
      </c>
      <c r="C33" s="129">
        <f t="shared" si="0"/>
        <v>0.2133664615384618</v>
      </c>
      <c r="D33" s="130">
        <f t="shared" si="2"/>
        <v>0.02782298658461544</v>
      </c>
      <c r="G33" s="128" t="s">
        <v>323</v>
      </c>
      <c r="H33" s="128">
        <f>65*kHz</f>
        <v>65000</v>
      </c>
      <c r="J33" s="128" t="s">
        <v>274</v>
      </c>
      <c r="K33" s="128">
        <f>(Vacin_min+Vacin_max)/2</f>
        <v>216</v>
      </c>
    </row>
    <row r="34" spans="1:8" ht="13.5">
      <c r="A34" s="126">
        <f>A33+0.05</f>
        <v>1.4500000000000006</v>
      </c>
      <c r="B34" s="129">
        <f t="shared" si="1"/>
        <v>0.1382000000000001</v>
      </c>
      <c r="C34" s="129">
        <f t="shared" si="0"/>
        <v>0.23773238461538493</v>
      </c>
      <c r="D34" s="130">
        <f t="shared" si="2"/>
        <v>0.03285461555384622</v>
      </c>
      <c r="G34" s="261"/>
      <c r="H34" s="262"/>
    </row>
    <row r="35" spans="1:11" ht="13.5">
      <c r="A35" s="126">
        <f t="shared" si="3"/>
        <v>1.5000000000000007</v>
      </c>
      <c r="B35" s="129">
        <f t="shared" si="1"/>
        <v>0.1460000000000001</v>
      </c>
      <c r="C35" s="129">
        <f t="shared" si="0"/>
        <v>0.26341538461538494</v>
      </c>
      <c r="D35" s="130">
        <f t="shared" si="2"/>
        <v>0.03845864615384623</v>
      </c>
      <c r="G35" s="128" t="s">
        <v>131</v>
      </c>
      <c r="H35" s="128">
        <f>(Iout*(Vout_nom^2)*2.5*Rsense*K_1)/(eff*(VINnom^2)*K_FQ)*us</f>
        <v>0.31758277264935053</v>
      </c>
      <c r="J35" s="128" t="s">
        <v>131</v>
      </c>
      <c r="K35" s="128">
        <f>(Iout*(Vout_nom^2)*2.5*Rsense*K_1)/(eff*(Vacin_nom^2)*K_FQ)*us</f>
        <v>0.32945400797814994</v>
      </c>
    </row>
    <row r="36" spans="1:11" ht="13.5">
      <c r="A36" s="126">
        <f t="shared" si="3"/>
        <v>1.5500000000000007</v>
      </c>
      <c r="B36" s="129">
        <f t="shared" si="1"/>
        <v>0.1538000000000001</v>
      </c>
      <c r="C36" s="129">
        <f t="shared" si="0"/>
        <v>0.2904154615384619</v>
      </c>
      <c r="D36" s="130">
        <f t="shared" si="2"/>
        <v>0.044665897984615476</v>
      </c>
      <c r="G36" s="261"/>
      <c r="H36" s="262"/>
      <c r="J36" s="261"/>
      <c r="K36" s="262"/>
    </row>
    <row r="37" spans="1:11" ht="13.5">
      <c r="A37" s="126">
        <f t="shared" si="3"/>
        <v>1.6000000000000008</v>
      </c>
      <c r="B37" s="129">
        <f t="shared" si="1"/>
        <v>0.16160000000000013</v>
      </c>
      <c r="C37" s="129">
        <f aca="true" t="shared" si="4" ref="C37:C68">IF(A37&lt;=0.5,0,IF(A37&lt;4.6,((fSW_target/65)*0.1223*(A37-0.5)^2),IF(A37&lt;=5,((fSW_target/65)*2.056),"VCOMP MUST BE &lt; 5")))</f>
        <v>0.31873261538461584</v>
      </c>
      <c r="D37" s="130">
        <f t="shared" si="2"/>
        <v>0.05150719064615396</v>
      </c>
      <c r="G37" s="128" t="s">
        <v>321</v>
      </c>
      <c r="H37" s="128">
        <f>(1*10^-9*(5*10^8*SQRT(fsw*kHz)+(1.09655978*10^10)*SQRT(ftyp)*SQRT(M1M2)))/SQRT(fsw*kHz)</f>
        <v>4.72169254150212</v>
      </c>
      <c r="J37" s="128" t="s">
        <v>321</v>
      </c>
      <c r="K37" s="128">
        <f>(1*10^-9*(5*10^8*SQRT(fsw*kHz)+(1.09655978*10^10)*SQRT(ftyp)*SQRT(M1M2)))/SQRT(fsw*kHz)</f>
        <v>4.72169254150212</v>
      </c>
    </row>
    <row r="38" spans="1:11" ht="13.5">
      <c r="A38" s="126">
        <f t="shared" si="3"/>
        <v>1.6500000000000008</v>
      </c>
      <c r="B38" s="129">
        <f t="shared" si="1"/>
        <v>0.16940000000000013</v>
      </c>
      <c r="C38" s="129">
        <f t="shared" si="4"/>
        <v>0.3483668461538466</v>
      </c>
      <c r="D38" s="130">
        <f t="shared" si="2"/>
        <v>0.05901334373846166</v>
      </c>
      <c r="G38" s="261"/>
      <c r="H38" s="262"/>
      <c r="J38" s="261"/>
      <c r="K38" s="262"/>
    </row>
    <row r="39" spans="1:11" ht="15.75">
      <c r="A39" s="126">
        <f t="shared" si="3"/>
        <v>1.7000000000000008</v>
      </c>
      <c r="B39" s="129">
        <f t="shared" si="1"/>
        <v>0.17720000000000016</v>
      </c>
      <c r="C39" s="129">
        <f t="shared" si="4"/>
        <v>0.37931815384615436</v>
      </c>
      <c r="D39" s="130">
        <f t="shared" si="2"/>
        <v>0.06721517686153862</v>
      </c>
      <c r="G39" s="128" t="s">
        <v>328</v>
      </c>
      <c r="H39" s="128">
        <v>0.156</v>
      </c>
      <c r="J39" s="128" t="s">
        <v>328</v>
      </c>
      <c r="K39" s="128">
        <v>0.156</v>
      </c>
    </row>
    <row r="40" spans="1:11" ht="15.75">
      <c r="A40" s="126">
        <f t="shared" si="3"/>
        <v>1.7500000000000009</v>
      </c>
      <c r="B40" s="129">
        <f t="shared" si="1"/>
        <v>0.18500000000000014</v>
      </c>
      <c r="C40" s="129">
        <f t="shared" si="4"/>
        <v>0.41158653846153903</v>
      </c>
      <c r="D40" s="130">
        <f t="shared" si="2"/>
        <v>0.07614350961538478</v>
      </c>
      <c r="G40" s="128" t="s">
        <v>329</v>
      </c>
      <c r="H40" s="128">
        <v>0.088</v>
      </c>
      <c r="J40" s="128" t="s">
        <v>329</v>
      </c>
      <c r="K40" s="128">
        <v>0.088</v>
      </c>
    </row>
    <row r="41" spans="1:11" ht="15.75">
      <c r="A41" s="126">
        <f t="shared" si="3"/>
        <v>1.800000000000001</v>
      </c>
      <c r="B41" s="129">
        <f t="shared" si="1"/>
        <v>0.19280000000000017</v>
      </c>
      <c r="C41" s="129">
        <f t="shared" si="4"/>
        <v>0.4451720000000006</v>
      </c>
      <c r="D41" s="130">
        <f t="shared" si="2"/>
        <v>0.08582916160000019</v>
      </c>
      <c r="G41" s="128" t="s">
        <v>330</v>
      </c>
      <c r="H41" s="128">
        <v>0.1223</v>
      </c>
      <c r="J41" s="128" t="s">
        <v>330</v>
      </c>
      <c r="K41" s="128">
        <v>0.1223</v>
      </c>
    </row>
    <row r="42" spans="1:11" ht="15.75">
      <c r="A42" s="126">
        <f t="shared" si="3"/>
        <v>1.850000000000001</v>
      </c>
      <c r="B42" s="129">
        <f t="shared" si="1"/>
        <v>0.20060000000000014</v>
      </c>
      <c r="C42" s="129">
        <f t="shared" si="4"/>
        <v>0.48007453846153914</v>
      </c>
      <c r="D42" s="130">
        <f t="shared" si="2"/>
        <v>0.09630295241538482</v>
      </c>
      <c r="G42" s="128" t="s">
        <v>331</v>
      </c>
      <c r="H42" s="128">
        <v>0.5</v>
      </c>
      <c r="J42" s="128" t="s">
        <v>331</v>
      </c>
      <c r="K42" s="128">
        <v>0.5</v>
      </c>
    </row>
    <row r="43" spans="1:11" ht="15.75">
      <c r="A43" s="126">
        <f t="shared" si="3"/>
        <v>1.900000000000001</v>
      </c>
      <c r="B43" s="129">
        <f t="shared" si="1"/>
        <v>0.20840000000000017</v>
      </c>
      <c r="C43" s="129">
        <f t="shared" si="4"/>
        <v>0.5162941538461546</v>
      </c>
      <c r="D43" s="130">
        <f t="shared" si="2"/>
        <v>0.10759570166153871</v>
      </c>
      <c r="G43" s="128" t="s">
        <v>332</v>
      </c>
      <c r="H43" s="128">
        <f>(b_1^3/(27*a_1^3))-(d_1^3/27)+SQRT((ftyp)^2*M1M2^2/(4*a_1^2*c_1^2*(fsw*kHz)^2))+(b_1^3*(ftyp)*M1M2/(27*a_1^4*c_1*(fsw*kHz))-(d_1^3*(ftyp)*M1M2/(27*a_1*c_1*(fsw*kHz)))+(b_1*d_1^2*(ftyp)*M1M2/(9*a_1^2*c_1*(fsw*kHz)))-(b_1^2*d_1*(ftyp)*M1M2/(9*a_1^3*c_1*(fsw*kHz))))</f>
        <v>3.886526485522573</v>
      </c>
      <c r="J43" s="128" t="s">
        <v>332</v>
      </c>
      <c r="K43" s="128">
        <f>(b_1^3/(27*a_1^3))-(d_1^3/27)+SQRT((ftyp)^2*M1M2^2/(4*a_1^2*c_1^2*(fsw*kHz)^2))+(b_1^3*(ftyp)*M1M2/(27*a_1^4*c_1*(fsw*kHz))-(d_1^3*(ftyp)*M1M2/(27*a_1*c_1*(fsw*kHz)))+(b_1*d_1^2*(ftyp)*M1M2/(9*a_1^2*c_1*(fsw*kHz)))-(b_1^2*d_1*(ftyp)*M1M2/(9*a_1^3*c_1*(fsw*kHz))))</f>
        <v>3.886526485522573</v>
      </c>
    </row>
    <row r="44" spans="1:11" ht="15.75">
      <c r="A44" s="126">
        <f t="shared" si="3"/>
        <v>1.950000000000001</v>
      </c>
      <c r="B44" s="129">
        <f t="shared" si="1"/>
        <v>0.2162000000000002</v>
      </c>
      <c r="C44" s="129">
        <f t="shared" si="4"/>
        <v>0.5538308461538469</v>
      </c>
      <c r="D44" s="130">
        <f t="shared" si="2"/>
        <v>0.11973822893846181</v>
      </c>
      <c r="G44" s="128" t="s">
        <v>333</v>
      </c>
      <c r="H44" s="128">
        <f>(b_1*d_1^2/(9*a_1))-(b_1^2*d_1/(9*a_1^2))+(ftyp*M1M2/(2*a_1*c_1*fsw*kHz))</f>
        <v>3.8824231137961855</v>
      </c>
      <c r="J44" s="128" t="s">
        <v>333</v>
      </c>
      <c r="K44" s="128">
        <f>(b_1*d_1^2/(9*a_1))-(b_1^2*d_1/(9*a_1^2))+(ftyp*M1M2/(2*a_1*c_1*fsw*kHz))</f>
        <v>3.8824231137961855</v>
      </c>
    </row>
    <row r="45" spans="1:11" ht="15.75">
      <c r="A45" s="126">
        <f t="shared" si="3"/>
        <v>2.000000000000001</v>
      </c>
      <c r="B45" s="129">
        <f t="shared" si="1"/>
        <v>0.2250000000000003</v>
      </c>
      <c r="C45" s="129">
        <f t="shared" si="4"/>
        <v>0.592684615384616</v>
      </c>
      <c r="D45" s="130">
        <f t="shared" si="2"/>
        <v>0.1333540384615388</v>
      </c>
      <c r="G45" s="128" t="s">
        <v>334</v>
      </c>
      <c r="H45" s="128">
        <f>(d_1^2/9)+(b_1^2/(9*a_1^2))-(2*b_1*d_1/(9*a_1))</f>
        <v>0.00045657096939147324</v>
      </c>
      <c r="J45" s="128" t="s">
        <v>334</v>
      </c>
      <c r="K45" s="128">
        <f>(d_1^2/9)+(b_1^2/(9*a_1^2))-(2*b_1*d_1/(9*a_1))</f>
        <v>0.00045657096939147324</v>
      </c>
    </row>
    <row r="46" spans="1:11" ht="15.75">
      <c r="A46" s="126">
        <f t="shared" si="3"/>
        <v>2.0500000000000007</v>
      </c>
      <c r="B46" s="129">
        <f t="shared" si="1"/>
        <v>0.24065000000000025</v>
      </c>
      <c r="C46" s="129">
        <f t="shared" si="4"/>
        <v>0.6328554615384621</v>
      </c>
      <c r="D46" s="130">
        <f t="shared" si="2"/>
        <v>0.15229666681923104</v>
      </c>
      <c r="G46" s="128" t="s">
        <v>335</v>
      </c>
      <c r="H46" s="128">
        <f>((b_1*c_1*fsw*kHz)+(2*a_1*c_1*d_1*fsw*kHz))/(3*a_1*c_1*fsw*kHz)</f>
        <v>0.5213675213675214</v>
      </c>
      <c r="J46" s="128" t="s">
        <v>335</v>
      </c>
      <c r="K46" s="128">
        <f>((b_1*c_1*fsw*kHz)+(2*a_1*c_1*d_1*fsw*kHz))/(3*a_1*c_1*fsw*kHz)</f>
        <v>0.5213675213675214</v>
      </c>
    </row>
    <row r="47" spans="1:11" ht="13.5">
      <c r="A47" s="126">
        <f t="shared" si="3"/>
        <v>2.1000000000000005</v>
      </c>
      <c r="B47" s="129">
        <f t="shared" si="1"/>
        <v>0.2563000000000002</v>
      </c>
      <c r="C47" s="129">
        <f t="shared" si="4"/>
        <v>0.6743433846153851</v>
      </c>
      <c r="D47" s="130">
        <f t="shared" si="2"/>
        <v>0.17283420947692335</v>
      </c>
      <c r="G47" s="128" t="s">
        <v>322</v>
      </c>
      <c r="H47" s="128">
        <f>(K_1V2+K_2V2)^(1/3)+(K_3V2/(K_1V2^(1/3)))+K_4V2</f>
        <v>2.5022153206032067</v>
      </c>
      <c r="J47" s="128" t="s">
        <v>322</v>
      </c>
      <c r="K47" s="128">
        <f>(K_1V2+K_2V2)^(1/3)+(K_3V2/(K_1V2^(1/3)))+K_4V2</f>
        <v>2.5022153206032067</v>
      </c>
    </row>
    <row r="48" spans="1:11" ht="13.5">
      <c r="A48" s="126">
        <f t="shared" si="3"/>
        <v>2.1500000000000004</v>
      </c>
      <c r="B48" s="129">
        <f t="shared" si="1"/>
        <v>0.27195000000000014</v>
      </c>
      <c r="C48" s="129">
        <f t="shared" si="4"/>
        <v>0.7171483846153849</v>
      </c>
      <c r="D48" s="130">
        <f t="shared" si="2"/>
        <v>0.19502850319615403</v>
      </c>
      <c r="G48" s="261"/>
      <c r="H48" s="262"/>
      <c r="J48" s="261"/>
      <c r="K48" s="262"/>
    </row>
    <row r="49" spans="1:11" ht="15.75">
      <c r="A49" s="126">
        <f t="shared" si="3"/>
        <v>2.2</v>
      </c>
      <c r="B49" s="129">
        <f t="shared" si="1"/>
        <v>0.2876000000000001</v>
      </c>
      <c r="C49" s="129">
        <f t="shared" si="4"/>
        <v>0.7612704615384617</v>
      </c>
      <c r="D49" s="130">
        <f t="shared" si="2"/>
        <v>0.21894138473846164</v>
      </c>
      <c r="G49" s="128" t="s">
        <v>324</v>
      </c>
      <c r="H49" s="128">
        <v>0.313</v>
      </c>
      <c r="J49" s="128" t="s">
        <v>324</v>
      </c>
      <c r="K49" s="128">
        <v>0.313</v>
      </c>
    </row>
    <row r="50" spans="1:11" ht="15.75">
      <c r="A50" s="126">
        <f t="shared" si="3"/>
        <v>2.25</v>
      </c>
      <c r="B50" s="129">
        <f t="shared" si="1"/>
        <v>0.30325</v>
      </c>
      <c r="C50" s="129">
        <f t="shared" si="4"/>
        <v>0.8067096153846154</v>
      </c>
      <c r="D50" s="130">
        <f t="shared" si="2"/>
        <v>0.24463469086538464</v>
      </c>
      <c r="G50" s="128" t="s">
        <v>325</v>
      </c>
      <c r="H50" s="128">
        <v>0.401</v>
      </c>
      <c r="J50" s="128" t="s">
        <v>325</v>
      </c>
      <c r="K50" s="128">
        <v>0.401</v>
      </c>
    </row>
    <row r="51" spans="1:11" ht="15.75">
      <c r="A51" s="126">
        <f t="shared" si="3"/>
        <v>2.3</v>
      </c>
      <c r="B51" s="129">
        <f t="shared" si="1"/>
        <v>0.31889999999999996</v>
      </c>
      <c r="C51" s="129">
        <f t="shared" si="4"/>
        <v>0.8534658461538459</v>
      </c>
      <c r="D51" s="130">
        <f t="shared" si="2"/>
        <v>0.2721702583384614</v>
      </c>
      <c r="G51" s="128" t="s">
        <v>326</v>
      </c>
      <c r="H51" s="128">
        <v>0.1223</v>
      </c>
      <c r="J51" s="128" t="s">
        <v>326</v>
      </c>
      <c r="K51" s="128">
        <v>0.1223</v>
      </c>
    </row>
    <row r="52" spans="1:11" ht="15.75">
      <c r="A52" s="126">
        <f t="shared" si="3"/>
        <v>2.3499999999999996</v>
      </c>
      <c r="B52" s="129">
        <f t="shared" si="1"/>
        <v>0.3345499999999999</v>
      </c>
      <c r="C52" s="129">
        <f t="shared" si="4"/>
        <v>0.9015391538461535</v>
      </c>
      <c r="D52" s="130">
        <f t="shared" si="2"/>
        <v>0.3016099239192305</v>
      </c>
      <c r="G52" s="128" t="s">
        <v>327</v>
      </c>
      <c r="H52" s="128">
        <v>0.5</v>
      </c>
      <c r="J52" s="128" t="s">
        <v>327</v>
      </c>
      <c r="K52" s="128">
        <v>0.5</v>
      </c>
    </row>
    <row r="53" spans="1:11" ht="15.75">
      <c r="A53" s="126">
        <f t="shared" si="3"/>
        <v>2.3999999999999995</v>
      </c>
      <c r="B53" s="129">
        <f t="shared" si="1"/>
        <v>0.35019999999999984</v>
      </c>
      <c r="C53" s="129">
        <f t="shared" si="4"/>
        <v>0.9509295384615379</v>
      </c>
      <c r="D53" s="130">
        <f t="shared" si="2"/>
        <v>0.33301552436923043</v>
      </c>
      <c r="G53" s="128" t="s">
        <v>336</v>
      </c>
      <c r="H53" s="128">
        <f>(b_2^3/(27*a_2^3))-(d_2^3/27)</f>
        <v>0.07325223505585884</v>
      </c>
      <c r="J53" s="128" t="s">
        <v>336</v>
      </c>
      <c r="K53" s="128">
        <f>(b_2^3/(27*a_2^3))-(d_2^3/27)</f>
        <v>0.07325223505585884</v>
      </c>
    </row>
    <row r="54" spans="1:11" ht="15.75">
      <c r="A54" s="126">
        <f t="shared" si="3"/>
        <v>2.4499999999999993</v>
      </c>
      <c r="B54" s="129">
        <f t="shared" si="1"/>
        <v>0.3658499999999998</v>
      </c>
      <c r="C54" s="129">
        <f t="shared" si="4"/>
        <v>1.0016369999999992</v>
      </c>
      <c r="D54" s="130">
        <f t="shared" si="2"/>
        <v>0.3664488964499995</v>
      </c>
      <c r="G54" s="128" t="s">
        <v>337</v>
      </c>
      <c r="H54" s="128">
        <f>(ftyp^2*M1M2^2/(4*a_2^2*c_2^2*(fsw*kHz)^2))+(b_2^3*ftyp*M1M2/(27*a_2^4*c_2*(fsw*kHz)))-(d_2^3*ftyp*M1M2/(27*a_2*c_2*(fsw*kHz)))+(b_2*d_2^2*ftyp*M1M2/(9*a_2^2*c_2*(fsw*kHz)))-(b_2^2*d_2*ftyp*M1M2/(9*a_2^3*c_2*(fsw*kHz)))</f>
        <v>3.8164941618311703</v>
      </c>
      <c r="J54" s="128" t="s">
        <v>337</v>
      </c>
      <c r="K54" s="128">
        <f>(ftyp^2*M1M2^2/(4*a_2^2*c_2^2*(fsw*kHz)^2))+(b_2^3*ftyp*M1M2/(27*a_2^4*c_2*(fsw*kHz)))-(d_2^3*ftyp*M1M2/(27*a_2*c_2*(fsw*kHz)))+(b_2*d_2^2*ftyp*M1M2/(9*a_2^2*c_2*(fsw*kHz)))-(b_2^2*d_2*ftyp*M1M2/(9*a_2^3*c_2*(fsw*kHz)))</f>
        <v>3.8164941618311703</v>
      </c>
    </row>
    <row r="55" spans="1:11" ht="15.75">
      <c r="A55" s="126">
        <f t="shared" si="3"/>
        <v>2.499999999999999</v>
      </c>
      <c r="B55" s="129">
        <f t="shared" si="1"/>
        <v>0.38149999999999973</v>
      </c>
      <c r="C55" s="129">
        <f t="shared" si="4"/>
        <v>1.0536615384615375</v>
      </c>
      <c r="D55" s="130">
        <f t="shared" si="2"/>
        <v>0.4019718769230763</v>
      </c>
      <c r="G55" s="128" t="s">
        <v>338</v>
      </c>
      <c r="H55" s="128">
        <f>(b_2*d_2^2/(9*a_2))-(b_2^2*d_2/(9*a_2^2))+(ftyp*M1M2/(2*a_2*c_2*(fsw*kHz)))</f>
        <v>1.880412480497552</v>
      </c>
      <c r="J55" s="128" t="s">
        <v>338</v>
      </c>
      <c r="K55" s="128">
        <f>(b_2*d_2^2/(9*a_2))-(b_2^2*d_2/(9*a_2^2))+(ftyp*M1M2/(2*a_2*c_2*(fsw*kHz)))</f>
        <v>1.880412480497552</v>
      </c>
    </row>
    <row r="56" spans="1:11" ht="15.75">
      <c r="A56" s="126">
        <f t="shared" si="3"/>
        <v>2.549999999999999</v>
      </c>
      <c r="B56" s="129">
        <f t="shared" si="1"/>
        <v>0.39714999999999967</v>
      </c>
      <c r="C56" s="129">
        <f t="shared" si="4"/>
        <v>1.1070031538461527</v>
      </c>
      <c r="D56" s="130">
        <f t="shared" si="2"/>
        <v>0.43964630254999915</v>
      </c>
      <c r="G56" s="128" t="s">
        <v>339</v>
      </c>
      <c r="H56" s="128">
        <f>(d_2^2/9)+(b_2^2/(9*a_2^2))-(2*b_2*d_2/(9*a_2))</f>
        <v>0.06779950800763512</v>
      </c>
      <c r="J56" s="128" t="s">
        <v>339</v>
      </c>
      <c r="K56" s="128">
        <f>(d_2^2/9)+(b_2^2/(9*a_2^2))-(2*b_2*d_2/(9*a_2))</f>
        <v>0.06779950800763512</v>
      </c>
    </row>
    <row r="57" spans="1:11" ht="15.75">
      <c r="A57" s="126">
        <f t="shared" si="3"/>
        <v>2.5999999999999988</v>
      </c>
      <c r="B57" s="129">
        <f t="shared" si="1"/>
        <v>0.4127999999999996</v>
      </c>
      <c r="C57" s="129">
        <f t="shared" si="4"/>
        <v>1.1616618461538448</v>
      </c>
      <c r="D57" s="130">
        <f t="shared" si="2"/>
        <v>0.4795340100923067</v>
      </c>
      <c r="G57" s="128" t="s">
        <v>341</v>
      </c>
      <c r="H57" s="128">
        <f>(b_2*c_2*(fsw*kHz)+2*a_2*c_2*d_2*(fsw*kHz))/(3*a_2*c_2*(fsw*kHz))</f>
        <v>0.7603833865814694</v>
      </c>
      <c r="J57" s="128" t="s">
        <v>341</v>
      </c>
      <c r="K57" s="128">
        <f>(b_2*c_2*(fsw*kHz)+2*a_2*c_2*d_2*(fsw*kHz))/(3*a_2*c_2*(fsw*kHz))</f>
        <v>0.7603833865814694</v>
      </c>
    </row>
    <row r="58" spans="1:11" ht="13.5">
      <c r="A58" s="126">
        <f t="shared" si="3"/>
        <v>2.6499999999999986</v>
      </c>
      <c r="B58" s="129">
        <f t="shared" si="1"/>
        <v>0.42844999999999955</v>
      </c>
      <c r="C58" s="129">
        <f t="shared" si="4"/>
        <v>1.2176376153846138</v>
      </c>
      <c r="D58" s="130">
        <f t="shared" si="2"/>
        <v>0.5216968363115372</v>
      </c>
      <c r="G58" s="128" t="s">
        <v>340</v>
      </c>
      <c r="H58" s="128">
        <f>((K_1V3+SQRT(K_2V3)+K_3V3)^(1/3))+(K_4V3/((K_1V3+SQRT(K_2V3)+K_3V3)^(1/3)))+K_5V3</f>
        <v>2.3784653666775846</v>
      </c>
      <c r="J58" s="128" t="s">
        <v>340</v>
      </c>
      <c r="K58" s="128">
        <f>((K_1V3+SQRT(K_2V3)+K_3V3)^(1/3))+(K_4V3/((K_1V3+SQRT(K_2V3)+K_3V3)^(1/3)))+K_5V3</f>
        <v>2.3784653666775846</v>
      </c>
    </row>
    <row r="59" spans="1:11" ht="13.5">
      <c r="A59" s="126">
        <f t="shared" si="3"/>
        <v>2.6999999999999984</v>
      </c>
      <c r="B59" s="129">
        <f t="shared" si="1"/>
        <v>0.4440999999999995</v>
      </c>
      <c r="C59" s="129">
        <f t="shared" si="4"/>
        <v>1.2749304615384596</v>
      </c>
      <c r="D59" s="130">
        <f t="shared" si="2"/>
        <v>0.5661966179692293</v>
      </c>
      <c r="G59" s="261"/>
      <c r="H59" s="262"/>
      <c r="J59" s="261"/>
      <c r="K59" s="262"/>
    </row>
    <row r="60" spans="1:11" ht="15.75">
      <c r="A60" s="126">
        <f t="shared" si="3"/>
        <v>2.7499999999999982</v>
      </c>
      <c r="B60" s="129">
        <f t="shared" si="1"/>
        <v>0.45974999999999944</v>
      </c>
      <c r="C60" s="129">
        <f t="shared" si="4"/>
        <v>1.3335403846153824</v>
      </c>
      <c r="D60" s="130">
        <f t="shared" si="2"/>
        <v>0.6130951918269213</v>
      </c>
      <c r="G60" s="128" t="s">
        <v>342</v>
      </c>
      <c r="H60" s="128">
        <v>1.007</v>
      </c>
      <c r="J60" s="128" t="s">
        <v>342</v>
      </c>
      <c r="K60" s="128">
        <v>1.007</v>
      </c>
    </row>
    <row r="61" spans="1:11" ht="15.75">
      <c r="A61" s="126">
        <f>A60+0.05</f>
        <v>2.799999999999998</v>
      </c>
      <c r="B61" s="129">
        <f t="shared" si="1"/>
        <v>0.4753999999999994</v>
      </c>
      <c r="C61" s="129">
        <f t="shared" si="4"/>
        <v>1.3934673846153822</v>
      </c>
      <c r="D61" s="130">
        <f t="shared" si="2"/>
        <v>0.6624543946461519</v>
      </c>
      <c r="G61" s="128" t="s">
        <v>343</v>
      </c>
      <c r="H61" s="128">
        <v>0.1223</v>
      </c>
      <c r="J61" s="128" t="s">
        <v>343</v>
      </c>
      <c r="K61" s="128">
        <v>0.1223</v>
      </c>
    </row>
    <row r="62" spans="1:11" ht="15.75">
      <c r="A62" s="126">
        <f t="shared" si="3"/>
        <v>2.849999999999998</v>
      </c>
      <c r="B62" s="129">
        <f t="shared" si="1"/>
        <v>0.4910499999999993</v>
      </c>
      <c r="C62" s="129">
        <f t="shared" si="4"/>
        <v>1.4547114615384589</v>
      </c>
      <c r="D62" s="130">
        <f t="shared" si="2"/>
        <v>0.7143360631884592</v>
      </c>
      <c r="G62" s="128" t="s">
        <v>344</v>
      </c>
      <c r="H62" s="128">
        <v>0.5</v>
      </c>
      <c r="J62" s="128" t="s">
        <v>344</v>
      </c>
      <c r="K62" s="128">
        <v>0.5</v>
      </c>
    </row>
    <row r="63" spans="1:11" ht="13.5">
      <c r="A63" s="126">
        <f t="shared" si="3"/>
        <v>2.8999999999999977</v>
      </c>
      <c r="B63" s="129">
        <f t="shared" si="1"/>
        <v>0.5066999999999993</v>
      </c>
      <c r="C63" s="129">
        <f t="shared" si="4"/>
        <v>1.5172726153846126</v>
      </c>
      <c r="D63" s="130">
        <f t="shared" si="2"/>
        <v>0.7688020342153821</v>
      </c>
      <c r="G63" s="128" t="s">
        <v>345</v>
      </c>
      <c r="H63" s="128">
        <f>c_3+(SQRT(ftyp)*SQRT(M1M2)/(SQRT(a_3)*SQRT(b_3)*SQRT(fsw*kHz)))</f>
        <v>1.597049755014036</v>
      </c>
      <c r="J63" s="128" t="s">
        <v>345</v>
      </c>
      <c r="K63" s="128">
        <f>c_3+(SQRT(ftyp)*SQRT(M1M2)/(SQRT(a_3)*SQRT(b_3)*SQRT(fsw*kHz)))</f>
        <v>1.597049755014036</v>
      </c>
    </row>
    <row r="64" spans="1:11" ht="13.5">
      <c r="A64" s="126">
        <f t="shared" si="3"/>
        <v>2.9499999999999975</v>
      </c>
      <c r="B64" s="129">
        <f t="shared" si="1"/>
        <v>0.5223499999999992</v>
      </c>
      <c r="C64" s="129">
        <f t="shared" si="4"/>
        <v>1.5811508461538428</v>
      </c>
      <c r="D64" s="130">
        <f t="shared" si="2"/>
        <v>0.8259141444884586</v>
      </c>
      <c r="G64" s="261"/>
      <c r="H64" s="262"/>
      <c r="J64" s="261"/>
      <c r="K64" s="262"/>
    </row>
    <row r="65" spans="1:11" ht="15.75">
      <c r="A65" s="126">
        <f t="shared" si="3"/>
        <v>2.9999999999999973</v>
      </c>
      <c r="B65" s="129">
        <f t="shared" si="1"/>
        <v>0.5379999999999991</v>
      </c>
      <c r="C65" s="129">
        <f t="shared" si="4"/>
        <v>1.6463461538461504</v>
      </c>
      <c r="D65" s="130">
        <f t="shared" si="2"/>
        <v>0.8857342307692275</v>
      </c>
      <c r="G65" s="128" t="s">
        <v>346</v>
      </c>
      <c r="H65" s="128">
        <v>1.007</v>
      </c>
      <c r="J65" s="128" t="s">
        <v>346</v>
      </c>
      <c r="K65" s="128">
        <v>1.007</v>
      </c>
    </row>
    <row r="66" spans="1:11" ht="15">
      <c r="A66" s="126">
        <f t="shared" si="3"/>
        <v>3.049999999999997</v>
      </c>
      <c r="B66" s="129">
        <f t="shared" si="1"/>
        <v>0.5536499999999991</v>
      </c>
      <c r="C66" s="129">
        <f t="shared" si="4"/>
        <v>1.7128585384615345</v>
      </c>
      <c r="D66" s="130">
        <f t="shared" si="2"/>
        <v>0.948324129819227</v>
      </c>
      <c r="G66" s="128" t="s">
        <v>347</v>
      </c>
      <c r="H66" s="128">
        <v>2.056</v>
      </c>
      <c r="J66" s="128" t="s">
        <v>347</v>
      </c>
      <c r="K66" s="128">
        <v>2.056</v>
      </c>
    </row>
    <row r="67" spans="1:11" ht="13.5">
      <c r="A67" s="126">
        <f t="shared" si="3"/>
        <v>3.099999999999997</v>
      </c>
      <c r="B67" s="129">
        <f t="shared" si="1"/>
        <v>0.569299999999999</v>
      </c>
      <c r="C67" s="129">
        <f t="shared" si="4"/>
        <v>1.7806879999999958</v>
      </c>
      <c r="D67" s="130">
        <f t="shared" si="2"/>
        <v>1.0137456783999959</v>
      </c>
      <c r="G67" s="128" t="s">
        <v>348</v>
      </c>
      <c r="H67" s="128">
        <f>(a_4*(fsw*kHz)*b_4/ftyp)</f>
        <v>4.43609603795875</v>
      </c>
      <c r="J67" s="128" t="s">
        <v>348</v>
      </c>
      <c r="K67" s="128">
        <f>(a_4*(fsw*kHz)*b_4/ftyp)</f>
        <v>4.43609603795875</v>
      </c>
    </row>
    <row r="68" spans="1:11" ht="13.5">
      <c r="A68" s="126">
        <f t="shared" si="3"/>
        <v>3.149999999999997</v>
      </c>
      <c r="B68" s="129">
        <f t="shared" si="1"/>
        <v>0.584949999999999</v>
      </c>
      <c r="C68" s="129">
        <f t="shared" si="4"/>
        <v>1.849834538461534</v>
      </c>
      <c r="D68" s="130">
        <f t="shared" si="2"/>
        <v>1.0820607132730724</v>
      </c>
      <c r="G68" s="261"/>
      <c r="H68" s="262"/>
      <c r="J68" s="261"/>
      <c r="K68" s="262"/>
    </row>
    <row r="69" spans="1:11" ht="13.5">
      <c r="A69" s="126">
        <f t="shared" si="3"/>
        <v>3.1999999999999966</v>
      </c>
      <c r="B69" s="129">
        <f t="shared" si="1"/>
        <v>0.6005999999999989</v>
      </c>
      <c r="C69" s="129">
        <f aca="true" t="shared" si="5" ref="C69:C105">IF(A69&lt;=0.5,0,IF(A69&lt;4.6,((fSW_target/65)*0.1223*(A69-0.5)^2),IF(A69&lt;=5,((fSW_target/65)*2.056),"VCOMP MUST BE &lt; 5")))</f>
        <v>1.9202981538461488</v>
      </c>
      <c r="D69" s="130">
        <f t="shared" si="2"/>
        <v>1.153331071199995</v>
      </c>
      <c r="G69" s="128" t="s">
        <v>349</v>
      </c>
      <c r="H69" s="128">
        <f>IF(VCOMP1&gt;=0.5,IF(VCOMP1&lt;1,VCOMP1,IF(VCOMP2&gt;=1,IF(VCOMP2&lt;2,VCOMP2,IF(VCOMP3&gt;=2,IF(VCOMP3&lt;4.5,VCOMP3,IF(VCOMP4&gt;=4.5,IF(VCOMP4&lt;4.6,VCOMP4,VCOMP5))))))))</f>
        <v>2.3784653666775846</v>
      </c>
      <c r="J69" s="128" t="s">
        <v>349</v>
      </c>
      <c r="K69" s="128">
        <f>IF(VCOMP1&gt;=0.5,IF(VCOMP1&lt;1,VCOMP1,IF(VCOMP2&gt;=1,IF(VCOMP2&lt;2,VCOMP2,IF(VCOMP3&gt;=2,IF(VCOMP3&lt;4.5,VCOMP3,IF(VCOMP4&gt;=4.5,IF(VCOMP4&lt;4.6,VCOMP4,VCOMP5))))))))</f>
        <v>2.3784653666775846</v>
      </c>
    </row>
    <row r="70" spans="1:4" ht="13.5">
      <c r="A70" s="126">
        <f t="shared" si="3"/>
        <v>3.2499999999999964</v>
      </c>
      <c r="B70" s="129">
        <f aca="true" t="shared" si="6" ref="B70:B105">IF(A70&lt;1,(0.068),IF(A70&lt;2,(0.156*A70-0.088),IF(A70&lt;4.5,(0.313*A70-0.401),IF(A70&lt;=5,1.007,"VCOMP MUST BE &lt; 5"))))</f>
        <v>0.6162499999999989</v>
      </c>
      <c r="C70" s="129">
        <f t="shared" si="5"/>
        <v>1.992078846153841</v>
      </c>
      <c r="D70" s="130">
        <f aca="true" t="shared" si="7" ref="D70:D105">B70*C70</f>
        <v>1.2276185889423021</v>
      </c>
    </row>
    <row r="71" spans="1:4" ht="13.5">
      <c r="A71" s="126">
        <f aca="true" t="shared" si="8" ref="A71:A87">A70+0.05</f>
        <v>3.2999999999999963</v>
      </c>
      <c r="B71" s="129">
        <f t="shared" si="6"/>
        <v>0.6318999999999988</v>
      </c>
      <c r="C71" s="129">
        <f t="shared" si="5"/>
        <v>2.06517661538461</v>
      </c>
      <c r="D71" s="130">
        <f t="shared" si="7"/>
        <v>1.3049851032615327</v>
      </c>
    </row>
    <row r="72" spans="1:4" ht="13.5">
      <c r="A72" s="126">
        <f t="shared" si="8"/>
        <v>3.349999999999996</v>
      </c>
      <c r="B72" s="129">
        <f t="shared" si="6"/>
        <v>0.6475499999999987</v>
      </c>
      <c r="C72" s="129">
        <f t="shared" si="5"/>
        <v>2.1395914615384557</v>
      </c>
      <c r="D72" s="130">
        <f t="shared" si="7"/>
        <v>1.3854924509192243</v>
      </c>
    </row>
    <row r="73" spans="1:4" ht="13.5">
      <c r="A73" s="126">
        <f t="shared" si="8"/>
        <v>3.399999999999996</v>
      </c>
      <c r="B73" s="129">
        <f t="shared" si="6"/>
        <v>0.6631999999999987</v>
      </c>
      <c r="C73" s="129">
        <f t="shared" si="5"/>
        <v>2.2153233846153784</v>
      </c>
      <c r="D73" s="130">
        <f t="shared" si="7"/>
        <v>1.469202468676916</v>
      </c>
    </row>
    <row r="74" spans="1:4" ht="13.5">
      <c r="A74" s="126">
        <f t="shared" si="8"/>
        <v>3.4499999999999957</v>
      </c>
      <c r="B74" s="129">
        <f t="shared" si="6"/>
        <v>0.6788499999999986</v>
      </c>
      <c r="C74" s="129">
        <f t="shared" si="5"/>
        <v>2.292372384615378</v>
      </c>
      <c r="D74" s="130">
        <f t="shared" si="7"/>
        <v>1.5561769932961462</v>
      </c>
    </row>
    <row r="75" spans="1:4" ht="13.5">
      <c r="A75" s="126">
        <f t="shared" si="8"/>
        <v>3.4999999999999956</v>
      </c>
      <c r="B75" s="129">
        <f t="shared" si="6"/>
        <v>0.6944999999999986</v>
      </c>
      <c r="C75" s="129">
        <f t="shared" si="5"/>
        <v>2.3707384615384544</v>
      </c>
      <c r="D75" s="130">
        <f t="shared" si="7"/>
        <v>1.6464778615384532</v>
      </c>
    </row>
    <row r="76" spans="1:4" ht="13.5">
      <c r="A76" s="126">
        <f t="shared" si="8"/>
        <v>3.5499999999999954</v>
      </c>
      <c r="B76" s="129">
        <f t="shared" si="6"/>
        <v>0.7101499999999985</v>
      </c>
      <c r="C76" s="129">
        <f t="shared" si="5"/>
        <v>2.4504216153846077</v>
      </c>
      <c r="D76" s="130">
        <f t="shared" si="7"/>
        <v>1.7401669101653754</v>
      </c>
    </row>
    <row r="77" spans="1:4" ht="13.5">
      <c r="A77" s="126">
        <f t="shared" si="8"/>
        <v>3.599999999999995</v>
      </c>
      <c r="B77" s="129">
        <f t="shared" si="6"/>
        <v>0.7257999999999984</v>
      </c>
      <c r="C77" s="129">
        <f t="shared" si="5"/>
        <v>2.5314218461538385</v>
      </c>
      <c r="D77" s="130">
        <f t="shared" si="7"/>
        <v>1.837305975938452</v>
      </c>
    </row>
    <row r="78" spans="1:4" ht="13.5">
      <c r="A78" s="126">
        <f t="shared" si="8"/>
        <v>3.649999999999995</v>
      </c>
      <c r="B78" s="129">
        <f t="shared" si="6"/>
        <v>0.7414499999999984</v>
      </c>
      <c r="C78" s="129">
        <f t="shared" si="5"/>
        <v>2.613739153846146</v>
      </c>
      <c r="D78" s="130">
        <f t="shared" si="7"/>
        <v>1.9379568956192206</v>
      </c>
    </row>
    <row r="79" spans="1:4" ht="13.5">
      <c r="A79" s="126">
        <f t="shared" si="8"/>
        <v>3.699999999999995</v>
      </c>
      <c r="B79" s="129">
        <f t="shared" si="6"/>
        <v>0.7570999999999983</v>
      </c>
      <c r="C79" s="129">
        <f t="shared" si="5"/>
        <v>2.6973735384615294</v>
      </c>
      <c r="D79" s="130">
        <f t="shared" si="7"/>
        <v>2.042181505969219</v>
      </c>
    </row>
    <row r="80" spans="1:4" ht="13.5">
      <c r="A80" s="126">
        <f t="shared" si="8"/>
        <v>3.7499999999999947</v>
      </c>
      <c r="B80" s="129">
        <f t="shared" si="6"/>
        <v>0.7727499999999983</v>
      </c>
      <c r="C80" s="129">
        <f t="shared" si="5"/>
        <v>2.7823249999999904</v>
      </c>
      <c r="D80" s="130">
        <f t="shared" si="7"/>
        <v>2.150041643749988</v>
      </c>
    </row>
    <row r="81" spans="1:4" ht="13.5">
      <c r="A81" s="126">
        <f t="shared" si="8"/>
        <v>3.7999999999999945</v>
      </c>
      <c r="B81" s="129">
        <f t="shared" si="6"/>
        <v>0.7883999999999982</v>
      </c>
      <c r="C81" s="129">
        <f t="shared" si="5"/>
        <v>2.868593538461529</v>
      </c>
      <c r="D81" s="130">
        <f t="shared" si="7"/>
        <v>2.261599145723064</v>
      </c>
    </row>
    <row r="82" spans="1:4" ht="13.5">
      <c r="A82" s="126">
        <f t="shared" si="8"/>
        <v>3.8499999999999943</v>
      </c>
      <c r="B82" s="129">
        <f t="shared" si="6"/>
        <v>0.8040499999999982</v>
      </c>
      <c r="C82" s="129">
        <f t="shared" si="5"/>
        <v>2.9561791538461435</v>
      </c>
      <c r="D82" s="130">
        <f t="shared" si="7"/>
        <v>2.376915848649986</v>
      </c>
    </row>
    <row r="83" spans="1:4" ht="13.5">
      <c r="A83" s="126">
        <f t="shared" si="8"/>
        <v>3.899999999999994</v>
      </c>
      <c r="B83" s="129">
        <f t="shared" si="6"/>
        <v>0.8196999999999981</v>
      </c>
      <c r="C83" s="129">
        <f t="shared" si="5"/>
        <v>3.0450818461538356</v>
      </c>
      <c r="D83" s="130">
        <f t="shared" si="7"/>
        <v>2.496053589292293</v>
      </c>
    </row>
    <row r="84" spans="1:4" ht="13.5">
      <c r="A84" s="126">
        <f t="shared" si="8"/>
        <v>3.949999999999994</v>
      </c>
      <c r="B84" s="129">
        <f t="shared" si="6"/>
        <v>0.835349999999998</v>
      </c>
      <c r="C84" s="129">
        <f t="shared" si="5"/>
        <v>3.1353016153846043</v>
      </c>
      <c r="D84" s="130">
        <f t="shared" si="7"/>
        <v>2.619074204411523</v>
      </c>
    </row>
    <row r="85" spans="1:4" ht="13.5">
      <c r="A85" s="126">
        <f t="shared" si="8"/>
        <v>3.999999999999994</v>
      </c>
      <c r="B85" s="129">
        <f t="shared" si="6"/>
        <v>0.850999999999998</v>
      </c>
      <c r="C85" s="129">
        <f t="shared" si="5"/>
        <v>3.22683846153845</v>
      </c>
      <c r="D85" s="130">
        <f t="shared" si="7"/>
        <v>2.7460395307692145</v>
      </c>
    </row>
    <row r="86" spans="1:4" ht="13.5">
      <c r="A86" s="126">
        <f t="shared" si="8"/>
        <v>4.049999999999994</v>
      </c>
      <c r="B86" s="129">
        <f t="shared" si="6"/>
        <v>0.8666499999999979</v>
      </c>
      <c r="C86" s="129">
        <f t="shared" si="5"/>
        <v>3.3196923846153727</v>
      </c>
      <c r="D86" s="130">
        <f t="shared" si="7"/>
        <v>2.877011405126906</v>
      </c>
    </row>
    <row r="87" spans="1:4" ht="13.5">
      <c r="A87" s="126">
        <f t="shared" si="8"/>
        <v>4.099999999999993</v>
      </c>
      <c r="B87" s="129">
        <f t="shared" si="6"/>
        <v>0.8822999999999979</v>
      </c>
      <c r="C87" s="129">
        <f t="shared" si="5"/>
        <v>3.413863384615372</v>
      </c>
      <c r="D87" s="130">
        <f t="shared" si="7"/>
        <v>3.0120516642461355</v>
      </c>
    </row>
    <row r="88" spans="1:4" ht="13.5">
      <c r="A88" s="126">
        <f>A87+0.05</f>
        <v>4.149999999999993</v>
      </c>
      <c r="B88" s="129">
        <f t="shared" si="6"/>
        <v>0.8979499999999978</v>
      </c>
      <c r="C88" s="129">
        <f t="shared" si="5"/>
        <v>3.5093514615384485</v>
      </c>
      <c r="D88" s="130">
        <f t="shared" si="7"/>
        <v>3.151222144888442</v>
      </c>
    </row>
    <row r="89" spans="1:4" ht="13.5">
      <c r="A89" s="126">
        <f aca="true" t="shared" si="9" ref="A89:A105">A88+0.05</f>
        <v>4.199999999999993</v>
      </c>
      <c r="B89" s="129">
        <f t="shared" si="6"/>
        <v>0.9135999999999977</v>
      </c>
      <c r="C89" s="129">
        <f t="shared" si="5"/>
        <v>3.6061566153846014</v>
      </c>
      <c r="D89" s="130">
        <f t="shared" si="7"/>
        <v>3.294584683815364</v>
      </c>
    </row>
    <row r="90" spans="1:4" ht="13.5">
      <c r="A90" s="126">
        <f t="shared" si="9"/>
        <v>4.249999999999993</v>
      </c>
      <c r="B90" s="129">
        <f t="shared" si="6"/>
        <v>0.9292499999999977</v>
      </c>
      <c r="C90" s="129">
        <f t="shared" si="5"/>
        <v>3.704278846153832</v>
      </c>
      <c r="D90" s="130">
        <f t="shared" si="7"/>
        <v>3.4422011177884397</v>
      </c>
    </row>
    <row r="91" spans="1:4" ht="13.5">
      <c r="A91" s="126">
        <f t="shared" si="9"/>
        <v>4.299999999999993</v>
      </c>
      <c r="B91" s="129">
        <f t="shared" si="6"/>
        <v>0.9448999999999976</v>
      </c>
      <c r="C91" s="129">
        <f t="shared" si="5"/>
        <v>3.803718153846139</v>
      </c>
      <c r="D91" s="130">
        <f t="shared" si="7"/>
        <v>3.5941332835692075</v>
      </c>
    </row>
    <row r="92" spans="1:4" ht="13.5">
      <c r="A92" s="126">
        <f t="shared" si="9"/>
        <v>4.3499999999999925</v>
      </c>
      <c r="B92" s="129">
        <f t="shared" si="6"/>
        <v>0.9605499999999976</v>
      </c>
      <c r="C92" s="129">
        <f t="shared" si="5"/>
        <v>3.9044745384615234</v>
      </c>
      <c r="D92" s="130">
        <f t="shared" si="7"/>
        <v>3.7504430179192068</v>
      </c>
    </row>
    <row r="93" spans="1:4" ht="13.5">
      <c r="A93" s="126">
        <f t="shared" si="9"/>
        <v>4.399999999999992</v>
      </c>
      <c r="B93" s="129">
        <f t="shared" si="6"/>
        <v>0.9761999999999975</v>
      </c>
      <c r="C93" s="129">
        <f t="shared" si="5"/>
        <v>4.0065479999999845</v>
      </c>
      <c r="D93" s="130">
        <f t="shared" si="7"/>
        <v>3.911192157599975</v>
      </c>
    </row>
    <row r="94" spans="1:4" ht="13.5">
      <c r="A94" s="126">
        <f t="shared" si="9"/>
        <v>4.449999999999992</v>
      </c>
      <c r="B94" s="129">
        <f t="shared" si="6"/>
        <v>0.9918499999999975</v>
      </c>
      <c r="C94" s="129">
        <f t="shared" si="5"/>
        <v>4.109938538461522</v>
      </c>
      <c r="D94" s="130">
        <f t="shared" si="7"/>
        <v>4.07644253937305</v>
      </c>
    </row>
    <row r="95" spans="1:4" ht="13.5">
      <c r="A95" s="126">
        <f t="shared" si="9"/>
        <v>4.499999999999992</v>
      </c>
      <c r="B95" s="129">
        <f t="shared" si="6"/>
        <v>1.0074999999999974</v>
      </c>
      <c r="C95" s="129">
        <f t="shared" si="5"/>
        <v>4.214646153846137</v>
      </c>
      <c r="D95" s="130">
        <f t="shared" si="7"/>
        <v>4.246255999999972</v>
      </c>
    </row>
    <row r="96" spans="1:4" ht="13.5">
      <c r="A96" s="126">
        <f t="shared" si="9"/>
        <v>4.549999999999992</v>
      </c>
      <c r="B96" s="129">
        <f t="shared" si="6"/>
        <v>1.007</v>
      </c>
      <c r="C96" s="129">
        <f t="shared" si="5"/>
        <v>4.320670846153829</v>
      </c>
      <c r="D96" s="130">
        <f t="shared" si="7"/>
        <v>4.350915542076905</v>
      </c>
    </row>
    <row r="97" spans="1:4" ht="13.5">
      <c r="A97" s="126">
        <f t="shared" si="9"/>
        <v>4.599999999999992</v>
      </c>
      <c r="B97" s="129">
        <f t="shared" si="6"/>
        <v>1.007</v>
      </c>
      <c r="C97" s="129">
        <f t="shared" si="5"/>
        <v>4.428012615384597</v>
      </c>
      <c r="D97" s="130">
        <f t="shared" si="7"/>
        <v>4.459008703692289</v>
      </c>
    </row>
    <row r="98" spans="1:4" ht="13.5">
      <c r="A98" s="126">
        <f t="shared" si="9"/>
        <v>4.6499999999999915</v>
      </c>
      <c r="B98" s="129">
        <f t="shared" si="6"/>
        <v>1.007</v>
      </c>
      <c r="C98" s="129">
        <f t="shared" si="5"/>
        <v>4.428307692307692</v>
      </c>
      <c r="D98" s="130">
        <f t="shared" si="7"/>
        <v>4.459305846153845</v>
      </c>
    </row>
    <row r="99" spans="1:4" ht="13.5">
      <c r="A99" s="126">
        <f t="shared" si="9"/>
        <v>4.699999999999991</v>
      </c>
      <c r="B99" s="129">
        <f t="shared" si="6"/>
        <v>1.007</v>
      </c>
      <c r="C99" s="129">
        <f t="shared" si="5"/>
        <v>4.428307692307692</v>
      </c>
      <c r="D99" s="130">
        <f t="shared" si="7"/>
        <v>4.459305846153845</v>
      </c>
    </row>
    <row r="100" spans="1:4" ht="13.5">
      <c r="A100" s="126">
        <f t="shared" si="9"/>
        <v>4.749999999999991</v>
      </c>
      <c r="B100" s="129">
        <f t="shared" si="6"/>
        <v>1.007</v>
      </c>
      <c r="C100" s="129">
        <f t="shared" si="5"/>
        <v>4.428307692307692</v>
      </c>
      <c r="D100" s="130">
        <f t="shared" si="7"/>
        <v>4.459305846153845</v>
      </c>
    </row>
    <row r="101" spans="1:4" ht="13.5">
      <c r="A101" s="126">
        <f t="shared" si="9"/>
        <v>4.799999999999991</v>
      </c>
      <c r="B101" s="129">
        <f t="shared" si="6"/>
        <v>1.007</v>
      </c>
      <c r="C101" s="129">
        <f t="shared" si="5"/>
        <v>4.428307692307692</v>
      </c>
      <c r="D101" s="130">
        <f t="shared" si="7"/>
        <v>4.459305846153845</v>
      </c>
    </row>
    <row r="102" spans="1:4" ht="13.5">
      <c r="A102" s="126">
        <f t="shared" si="9"/>
        <v>4.849999999999991</v>
      </c>
      <c r="B102" s="129">
        <f t="shared" si="6"/>
        <v>1.007</v>
      </c>
      <c r="C102" s="129">
        <f t="shared" si="5"/>
        <v>4.428307692307692</v>
      </c>
      <c r="D102" s="130">
        <f t="shared" si="7"/>
        <v>4.459305846153845</v>
      </c>
    </row>
    <row r="103" spans="1:4" ht="13.5">
      <c r="A103" s="126">
        <f t="shared" si="9"/>
        <v>4.899999999999991</v>
      </c>
      <c r="B103" s="129">
        <f t="shared" si="6"/>
        <v>1.007</v>
      </c>
      <c r="C103" s="129">
        <f t="shared" si="5"/>
        <v>4.428307692307692</v>
      </c>
      <c r="D103" s="130">
        <f t="shared" si="7"/>
        <v>4.459305846153845</v>
      </c>
    </row>
    <row r="104" spans="1:4" ht="13.5">
      <c r="A104" s="126">
        <f t="shared" si="9"/>
        <v>4.94999999999999</v>
      </c>
      <c r="B104" s="129">
        <f t="shared" si="6"/>
        <v>1.007</v>
      </c>
      <c r="C104" s="129">
        <f t="shared" si="5"/>
        <v>4.428307692307692</v>
      </c>
      <c r="D104" s="130">
        <f t="shared" si="7"/>
        <v>4.459305846153845</v>
      </c>
    </row>
    <row r="105" spans="1:4" ht="13.5">
      <c r="A105" s="126">
        <f t="shared" si="9"/>
        <v>4.99999999999999</v>
      </c>
      <c r="B105" s="129">
        <f t="shared" si="6"/>
        <v>1.007</v>
      </c>
      <c r="C105" s="129">
        <f t="shared" si="5"/>
        <v>4.428307692307692</v>
      </c>
      <c r="D105" s="130">
        <f t="shared" si="7"/>
        <v>4.459305846153845</v>
      </c>
    </row>
    <row r="106" ht="13.5">
      <c r="A106" s="131"/>
    </row>
    <row r="107" ht="13.5">
      <c r="A107" s="131"/>
    </row>
    <row r="109" ht="14.25" thickBot="1"/>
    <row r="110" spans="1:16" ht="14.25" thickBot="1">
      <c r="A110" s="265" t="s">
        <v>142</v>
      </c>
      <c r="B110" s="266"/>
      <c r="C110" s="266"/>
      <c r="D110" s="266"/>
      <c r="E110" s="266"/>
      <c r="F110" s="267"/>
      <c r="G110" s="262" t="s">
        <v>153</v>
      </c>
      <c r="H110" s="268"/>
      <c r="I110" s="268"/>
      <c r="J110" s="268"/>
      <c r="K110" s="268"/>
      <c r="L110" s="268"/>
      <c r="M110" s="268"/>
      <c r="N110" s="268"/>
      <c r="O110" s="268"/>
      <c r="P110" s="127" t="s">
        <v>179</v>
      </c>
    </row>
    <row r="111" spans="1:20" ht="13.5">
      <c r="A111" s="271" t="s">
        <v>144</v>
      </c>
      <c r="B111" s="128"/>
      <c r="C111" s="128"/>
      <c r="D111" s="128"/>
      <c r="E111" s="128"/>
      <c r="F111" s="132"/>
      <c r="G111" s="272" t="s">
        <v>144</v>
      </c>
      <c r="H111" s="128"/>
      <c r="I111" s="128"/>
      <c r="J111" s="126"/>
      <c r="K111" s="126"/>
      <c r="L111" s="126"/>
      <c r="M111" s="128"/>
      <c r="N111" s="128"/>
      <c r="O111" s="273" t="s">
        <v>159</v>
      </c>
      <c r="P111" s="265" t="s">
        <v>180</v>
      </c>
      <c r="Q111" s="266"/>
      <c r="R111" s="266" t="s">
        <v>185</v>
      </c>
      <c r="S111" s="266"/>
      <c r="T111" s="267"/>
    </row>
    <row r="112" spans="1:20" ht="13.5">
      <c r="A112" s="271"/>
      <c r="B112" s="128" t="s">
        <v>145</v>
      </c>
      <c r="C112" s="133" t="s">
        <v>146</v>
      </c>
      <c r="D112" s="268" t="s">
        <v>143</v>
      </c>
      <c r="E112" s="268"/>
      <c r="F112" s="132" t="s">
        <v>147</v>
      </c>
      <c r="G112" s="272"/>
      <c r="H112" s="128" t="s">
        <v>145</v>
      </c>
      <c r="I112" s="133" t="s">
        <v>146</v>
      </c>
      <c r="J112" s="128" t="s">
        <v>155</v>
      </c>
      <c r="K112" s="268" t="s">
        <v>156</v>
      </c>
      <c r="L112" s="268"/>
      <c r="M112" s="269" t="s">
        <v>158</v>
      </c>
      <c r="N112" s="269"/>
      <c r="O112" s="273"/>
      <c r="P112" s="134"/>
      <c r="Q112" s="128" t="s">
        <v>157</v>
      </c>
      <c r="R112" s="128"/>
      <c r="S112" s="128" t="s">
        <v>157</v>
      </c>
      <c r="T112" s="132" t="s">
        <v>186</v>
      </c>
    </row>
    <row r="113" spans="1:25" ht="13.5">
      <c r="A113" s="271"/>
      <c r="B113" s="128" t="s">
        <v>5</v>
      </c>
      <c r="C113" s="128" t="s">
        <v>170</v>
      </c>
      <c r="D113" s="128"/>
      <c r="E113" s="128" t="s">
        <v>157</v>
      </c>
      <c r="F113" s="132" t="s">
        <v>171</v>
      </c>
      <c r="G113" s="272"/>
      <c r="H113" s="128" t="s">
        <v>5</v>
      </c>
      <c r="I113" s="128" t="s">
        <v>170</v>
      </c>
      <c r="J113" s="128" t="s">
        <v>172</v>
      </c>
      <c r="K113" s="128"/>
      <c r="L113" s="135" t="s">
        <v>157</v>
      </c>
      <c r="M113" s="128"/>
      <c r="N113" s="128" t="s">
        <v>157</v>
      </c>
      <c r="O113" s="136" t="s">
        <v>171</v>
      </c>
      <c r="P113" s="134"/>
      <c r="Q113" s="128"/>
      <c r="R113" s="128"/>
      <c r="S113" s="128"/>
      <c r="T113" s="132"/>
      <c r="W113" s="127" t="s">
        <v>182</v>
      </c>
      <c r="X113" s="127" t="s">
        <v>183</v>
      </c>
      <c r="Y113" s="127" t="s">
        <v>184</v>
      </c>
    </row>
    <row r="114" spans="1:25" ht="13.5">
      <c r="A114" s="134">
        <v>1</v>
      </c>
      <c r="B114" s="128">
        <f>10^A114</f>
        <v>10</v>
      </c>
      <c r="C114" s="128">
        <f aca="true" t="shared" si="10" ref="C114:C145">2*PI()*B114</f>
        <v>62.83185307179586</v>
      </c>
      <c r="D114" s="128" t="str">
        <f aca="true" t="shared" si="11" ref="D114:D145">IMDIV((K_1*2.5*Rsense*Vout_nom)/(K_FQ*M_1*(M_2/us)*Lbst*mH),IMPRODUCT((COMPLEX(0,C114*1)),COMPLEX(1,(C114/(2*PI()*fiavg*kHz)))))</f>
        <v>-5.58917831514338-1884.71946932894i</v>
      </c>
      <c r="E114" s="128">
        <f aca="true" t="shared" si="12" ref="E114:E145">20*LOG(IMABS(D114))</f>
        <v>65.50497253073532</v>
      </c>
      <c r="F114" s="132">
        <f>IMARGUMENT(D114)*180/(PI())</f>
        <v>-90.16991143502574</v>
      </c>
      <c r="G114" s="137">
        <v>-2</v>
      </c>
      <c r="H114" s="138">
        <f>10^G114</f>
        <v>0.01</v>
      </c>
      <c r="I114" s="138">
        <f>2*PI()*H114</f>
        <v>0.06283185307179587</v>
      </c>
      <c r="J114" s="138">
        <f aca="true" t="shared" si="13" ref="J114:J145">(R_fb2*kOhms)/((R_fb1*MegOhm)+(R_fb2*kOhms))</f>
        <v>0.01296111665004985</v>
      </c>
      <c r="K114" s="138" t="str">
        <f aca="true" t="shared" si="14" ref="K114:K145">IMDIV(((M_3/us)*Vout_nom)/(M1M2/us),COMPLEX(1,(I114/(2*PI()*fPWM_PSpole))))</f>
        <v>762.2541278724-4.88451547389877i</v>
      </c>
      <c r="L114" s="128">
        <f aca="true" t="shared" si="15" ref="L114:L145">20*LOG(IMABS(K114))</f>
        <v>57.64217402570108</v>
      </c>
      <c r="M114" s="128" t="str">
        <f aca="true" t="shared" si="16" ref="M114:M145">IMPRODUCT(J114,K114)</f>
        <v>9.87966466833619-0.0633087748361755i</v>
      </c>
      <c r="N114" s="128">
        <f aca="true" t="shared" si="17" ref="N114:N145">20*LOG(IMABS(M114))</f>
        <v>19.89502241142946</v>
      </c>
      <c r="O114" s="136">
        <f aca="true" t="shared" si="18" ref="O114:O145">180/PI()*IMARGUMENT(M114)</f>
        <v>-0.3671456550860599</v>
      </c>
      <c r="P114" s="134" t="str">
        <f>IMPRODUCT(gmv,IMDIV((COMPLEX(1,I114*(Rvcomp*kOhms)*(Cvcomp*uF))),IMPRODUCT((COMPLEX(0,data!I114*((Cvcomp*uF)+(Cvcomp_p*uF)))),(COMPLEX(1,I114*((Rvcomp*kOhms)*(Cvcomp*uF)*(Cvcomp_p*uF))/((Cvcomp*uF)+(Cvcomp_p*uF)))))))</f>
        <v>0.694214640382497-119.153837795996i</v>
      </c>
      <c r="Q114" s="128">
        <f aca="true" t="shared" si="19" ref="Q114:Q145">20*LOG(IMABS(P114))</f>
        <v>41.52230811707447</v>
      </c>
      <c r="R114" s="128" t="str">
        <f aca="true" t="shared" si="20" ref="R114:R145">IMPRODUCT((M114),(P114))</f>
        <v>-0.684875633064219-1177.24391124812i</v>
      </c>
      <c r="S114" s="128">
        <f aca="true" t="shared" si="21" ref="S114:S145">20*LOG(IMABS(R114))</f>
        <v>61.41733052850394</v>
      </c>
      <c r="T114" s="132">
        <f aca="true" t="shared" si="22" ref="T114:T145">(180/PI()*IMARGUMENT(R114))+180</f>
        <v>89.96666750325565</v>
      </c>
      <c r="W114" s="127" t="str">
        <f>COMPLEX(1,I114*('DESIGN INPUTS AND CALCULATIONS'!C263*10^3)*('DESIGN INPUTS AND CALCULATIONS'!C261*10^-6))</f>
        <v>1+0.00640884901332318i</v>
      </c>
      <c r="X114" s="127" t="str">
        <f>COMPLEX(0,data!I114*(('DESIGN INPUTS AND CALCULATIONS'!C261*10^-6)+('DESIGN INPUTS AND CALCULATIONS'!C267*10^-6)))</f>
        <v>4.69982260977033E-07i</v>
      </c>
      <c r="Y114" s="127" t="str">
        <f>COMPLEX(1,I114*(('DESIGN INPUTS AND CALCULATIONS'!C263*10^3)*('DESIGN INPUTS AND CALCULATIONS'!C261*10^-6)*('DESIGN INPUTS AND CALCULATIONS'!C267*10^-6))/(('DESIGN INPUTS AND CALCULATIONS'!C261*10^-6)+('DESIGN INPUTS AND CALCULATIONS'!C267*10^-6)))</f>
        <v>1+0.000582622637574835i</v>
      </c>
    </row>
    <row r="115" spans="1:20" ht="13.5">
      <c r="A115" s="134">
        <v>1.1</v>
      </c>
      <c r="B115" s="128">
        <f aca="true" t="shared" si="23" ref="B115:B164">10^A115</f>
        <v>12.58925411794168</v>
      </c>
      <c r="C115" s="128">
        <f t="shared" si="10"/>
        <v>79.10061650220126</v>
      </c>
      <c r="D115" s="128" t="str">
        <f t="shared" si="11"/>
        <v>-5.58914956626036-1497.07818850832i</v>
      </c>
      <c r="E115" s="128">
        <f t="shared" si="12"/>
        <v>63.50495019200739</v>
      </c>
      <c r="F115" s="132">
        <f aca="true" t="shared" si="24" ref="F115:F145">180/PI()*IMARGUMENT(D115)</f>
        <v>-90.21390545655355</v>
      </c>
      <c r="G115" s="137">
        <v>-1.9</v>
      </c>
      <c r="H115" s="138">
        <f aca="true" t="shared" si="25" ref="H115:H174">10^G115</f>
        <v>0.012589254117941664</v>
      </c>
      <c r="I115" s="138">
        <f aca="true" t="shared" si="26" ref="I115:I174">2*PI()*H115</f>
        <v>0.07910061650220117</v>
      </c>
      <c r="J115" s="138">
        <f t="shared" si="13"/>
        <v>0.01296111665004985</v>
      </c>
      <c r="K115" s="138" t="str">
        <f t="shared" si="14"/>
        <v>762.235821954992-6.14909297727661i</v>
      </c>
      <c r="L115" s="128">
        <f t="shared" si="15"/>
        <v>57.64206972643801</v>
      </c>
      <c r="M115" s="128" t="str">
        <f t="shared" si="16"/>
        <v>9.87942740320528-0.0796991113704845i</v>
      </c>
      <c r="N115" s="128">
        <f t="shared" si="17"/>
        <v>19.894918112166383</v>
      </c>
      <c r="O115" s="136">
        <f t="shared" si="18"/>
        <v>-0.4622052949011273</v>
      </c>
      <c r="P115" s="134" t="str">
        <f>IMPRODUCT(gmv,IMDIV((COMPLEX(1,I115*(Rvcomp*kOhms)*(Cvcomp*uF))),IMPRODUCT((COMPLEX(0,data!I115*((Cvcomp*uF)+(Cvcomp_p*uF)))),(COMPLEX(1,I115*((Rvcomp*kOhms)*(Cvcomp*uF)*(Cvcomp_p*uF))/((Cvcomp*uF)+(Cvcomp_p*uF)))))))</f>
        <v>0.694214502552161-94.6474455503892i</v>
      </c>
      <c r="Q115" s="128">
        <f t="shared" si="19"/>
        <v>39.52241158210478</v>
      </c>
      <c r="R115" s="128" t="str">
        <f t="shared" si="20"/>
        <v>-0.684875523635994-935.117895492849i</v>
      </c>
      <c r="S115" s="128">
        <f t="shared" si="21"/>
        <v>59.417329694271174</v>
      </c>
      <c r="T115" s="132">
        <f t="shared" si="22"/>
        <v>89.95803687409999</v>
      </c>
    </row>
    <row r="116" spans="1:20" ht="13.5">
      <c r="A116" s="134">
        <v>1.2</v>
      </c>
      <c r="B116" s="128">
        <f t="shared" si="23"/>
        <v>15.848931924611136</v>
      </c>
      <c r="C116" s="128">
        <f t="shared" si="10"/>
        <v>99.58177620320618</v>
      </c>
      <c r="D116" s="128" t="str">
        <f t="shared" si="11"/>
        <v>-5.58910400295716-1189.16178047789i</v>
      </c>
      <c r="E116" s="128">
        <f t="shared" si="12"/>
        <v>61.504914787744916</v>
      </c>
      <c r="F116" s="132">
        <f t="shared" si="24"/>
        <v>-90.26929028321055</v>
      </c>
      <c r="G116" s="137">
        <v>-1.8</v>
      </c>
      <c r="H116" s="138">
        <f t="shared" si="25"/>
        <v>0.015848931924611124</v>
      </c>
      <c r="I116" s="138">
        <f t="shared" si="26"/>
        <v>0.0995817762032061</v>
      </c>
      <c r="J116" s="138">
        <f t="shared" si="13"/>
        <v>0.01296111665004985</v>
      </c>
      <c r="K116" s="138" t="str">
        <f t="shared" si="14"/>
        <v>762.206810832092-7.74095477228422i</v>
      </c>
      <c r="L116" s="128">
        <f t="shared" si="15"/>
        <v>57.64190442837667</v>
      </c>
      <c r="M116" s="128" t="str">
        <f t="shared" si="16"/>
        <v>9.87905138665722-0.100331417786336i</v>
      </c>
      <c r="N116" s="128">
        <f t="shared" si="17"/>
        <v>19.894752814105043</v>
      </c>
      <c r="O116" s="136">
        <f t="shared" si="18"/>
        <v>-0.5818746087887493</v>
      </c>
      <c r="P116" s="134" t="str">
        <f>IMPRODUCT(gmv,IMDIV((COMPLEX(1,I116*(Rvcomp*kOhms)*(Cvcomp*uF))),IMPRODUCT((COMPLEX(0,data!I116*((Cvcomp*uF)+(Cvcomp_p*uF)))),(COMPLEX(1,I116*((Rvcomp*kOhms)*(Cvcomp*uF)*(Cvcomp_p*uF))/((Cvcomp*uF)+(Cvcomp_p*uF)))))))</f>
        <v>0.69421428410591-75.181374913876i</v>
      </c>
      <c r="Q116" s="128">
        <f t="shared" si="19"/>
        <v>37.52257555799393</v>
      </c>
      <c r="R116" s="128" t="str">
        <f t="shared" si="20"/>
        <v>-0.684875350201513-742.790317597095i</v>
      </c>
      <c r="S116" s="128">
        <f t="shared" si="21"/>
        <v>57.41732837209898</v>
      </c>
      <c r="T116" s="132">
        <f t="shared" si="22"/>
        <v>89.9471715570202</v>
      </c>
    </row>
    <row r="117" spans="1:20" ht="13.5">
      <c r="A117" s="134">
        <v>1.3</v>
      </c>
      <c r="B117" s="128">
        <f t="shared" si="23"/>
        <v>19.952623149688804</v>
      </c>
      <c r="C117" s="128">
        <f t="shared" si="10"/>
        <v>125.36602861381597</v>
      </c>
      <c r="D117" s="128" t="str">
        <f t="shared" si="11"/>
        <v>-5.58903179150975-944.572573815452i</v>
      </c>
      <c r="E117" s="128">
        <f t="shared" si="12"/>
        <v>59.50485867636157</v>
      </c>
      <c r="F117" s="132">
        <f t="shared" si="24"/>
        <v>-90.33901492063612</v>
      </c>
      <c r="G117" s="137">
        <v>-1.7</v>
      </c>
      <c r="H117" s="138">
        <f t="shared" si="25"/>
        <v>0.019952623149688792</v>
      </c>
      <c r="I117" s="138">
        <f t="shared" si="26"/>
        <v>0.1253660286138159</v>
      </c>
      <c r="J117" s="138">
        <f t="shared" si="13"/>
        <v>0.01296111665004985</v>
      </c>
      <c r="K117" s="138" t="str">
        <f t="shared" si="14"/>
        <v>762.16083582421-9.74469685551655i</v>
      </c>
      <c r="L117" s="128">
        <f t="shared" si="15"/>
        <v>57.641642461491216</v>
      </c>
      <c r="M117" s="128" t="str">
        <f t="shared" si="16"/>
        <v>9.87845549921708-0.126302152663724i</v>
      </c>
      <c r="N117" s="128">
        <f t="shared" si="17"/>
        <v>19.89449084721959</v>
      </c>
      <c r="O117" s="136">
        <f t="shared" si="18"/>
        <v>-0.7325220024708434</v>
      </c>
      <c r="P117" s="134" t="str">
        <f>IMPRODUCT(gmv,IMDIV((COMPLEX(1,I117*(Rvcomp*kOhms)*(Cvcomp*uF))),IMPRODUCT((COMPLEX(0,data!I117*((Cvcomp*uF)+(Cvcomp_p*uF)))),(COMPLEX(1,I117*((Rvcomp*kOhms)*(Cvcomp*uF)*(Cvcomp_p*uF))/((Cvcomp*uF)+(Cvcomp_p*uF)))))))</f>
        <v>0.694213937892227-59.7189866415554i</v>
      </c>
      <c r="Q117" s="128">
        <f t="shared" si="19"/>
        <v>35.5228354293717</v>
      </c>
      <c r="R117" s="128" t="str">
        <f t="shared" si="20"/>
        <v>-0.68487507532001-590.019032711709i</v>
      </c>
      <c r="S117" s="128">
        <f t="shared" si="21"/>
        <v>55.41732627659129</v>
      </c>
      <c r="T117" s="132">
        <f t="shared" si="22"/>
        <v>89.9334929358037</v>
      </c>
    </row>
    <row r="118" spans="1:20" ht="13.5">
      <c r="A118" s="134">
        <v>1.4</v>
      </c>
      <c r="B118" s="128">
        <f t="shared" si="23"/>
        <v>25.1188643150958</v>
      </c>
      <c r="C118" s="128">
        <f t="shared" si="10"/>
        <v>157.82647919764753</v>
      </c>
      <c r="D118" s="128" t="str">
        <f t="shared" si="11"/>
        <v>-5.58891734790043-750.285301623101i</v>
      </c>
      <c r="E118" s="128">
        <f t="shared" si="12"/>
        <v>57.50476974729703</v>
      </c>
      <c r="F118" s="132">
        <f t="shared" si="24"/>
        <v>-90.42679158544797</v>
      </c>
      <c r="G118" s="137">
        <v>-1.6</v>
      </c>
      <c r="H118" s="138">
        <f t="shared" si="25"/>
        <v>0.02511886431509578</v>
      </c>
      <c r="I118" s="138">
        <f t="shared" si="26"/>
        <v>0.15782647919764742</v>
      </c>
      <c r="J118" s="138">
        <f t="shared" si="13"/>
        <v>0.01296111665004985</v>
      </c>
      <c r="K118" s="138" t="str">
        <f t="shared" si="14"/>
        <v>762.087981707025-12.2666738316677i</v>
      </c>
      <c r="L118" s="128">
        <f t="shared" si="15"/>
        <v>57.641227304323465</v>
      </c>
      <c r="M118" s="128" t="str">
        <f t="shared" si="16"/>
        <v>9.87751122850581-0.158989790440359i</v>
      </c>
      <c r="N118" s="128">
        <f t="shared" si="17"/>
        <v>19.89407569005184</v>
      </c>
      <c r="O118" s="136">
        <f t="shared" si="18"/>
        <v>-0.9221611781172233</v>
      </c>
      <c r="P118" s="134" t="str">
        <f>IMPRODUCT(gmv,IMDIV((COMPLEX(1,I118*(Rvcomp*kOhms)*(Cvcomp*uF))),IMPRODUCT((COMPLEX(0,data!I118*((Cvcomp*uF)+(Cvcomp_p*uF)))),(COMPLEX(1,I118*((Rvcomp*kOhms)*(Cvcomp*uF)*(Cvcomp_p*uF))/((Cvcomp*uF)+(Cvcomp_p*uF)))))))</f>
        <v>0.694213389181217-47.4368521738004i</v>
      </c>
      <c r="Q118" s="128">
        <f t="shared" si="19"/>
        <v>33.52324726536832</v>
      </c>
      <c r="R118" s="128" t="str">
        <f t="shared" si="20"/>
        <v>-0.684874639646269-468.668412832951i</v>
      </c>
      <c r="S118" s="128">
        <f t="shared" si="21"/>
        <v>53.41732295542016</v>
      </c>
      <c r="T118" s="132">
        <f t="shared" si="22"/>
        <v>89.91627257706993</v>
      </c>
    </row>
    <row r="119" spans="1:20" ht="13.5">
      <c r="A119" s="134">
        <v>1.5</v>
      </c>
      <c r="B119" s="128">
        <f t="shared" si="23"/>
        <v>31.622776601683803</v>
      </c>
      <c r="C119" s="128">
        <f t="shared" si="10"/>
        <v>198.69176531592208</v>
      </c>
      <c r="D119" s="128" t="str">
        <f t="shared" si="11"/>
        <v>-5.58873597660325-595.95345869508i</v>
      </c>
      <c r="E119" s="128">
        <f t="shared" si="12"/>
        <v>55.50462880795804</v>
      </c>
      <c r="F119" s="132">
        <f t="shared" si="24"/>
        <v>-90.53729296020998</v>
      </c>
      <c r="G119" s="137">
        <v>-1.5</v>
      </c>
      <c r="H119" s="138">
        <f t="shared" si="25"/>
        <v>0.031622776601683784</v>
      </c>
      <c r="I119" s="138">
        <f t="shared" si="26"/>
        <v>0.19869176531592195</v>
      </c>
      <c r="J119" s="138">
        <f t="shared" si="13"/>
        <v>0.01296111665004985</v>
      </c>
      <c r="K119" s="138" t="str">
        <f t="shared" si="14"/>
        <v>761.972544238493-15.4404881987152i</v>
      </c>
      <c r="L119" s="128">
        <f t="shared" si="15"/>
        <v>57.64056940583675</v>
      </c>
      <c r="M119" s="128" t="str">
        <f t="shared" si="16"/>
        <v>9.87601503001038-0.200125968677266i</v>
      </c>
      <c r="N119" s="128">
        <f t="shared" si="17"/>
        <v>19.893417791565128</v>
      </c>
      <c r="O119" s="136">
        <f t="shared" si="18"/>
        <v>-1.1608735178292495</v>
      </c>
      <c r="P119" s="134" t="str">
        <f>IMPRODUCT(gmv,IMDIV((COMPLEX(1,I119*(Rvcomp*kOhms)*(Cvcomp*uF))),IMPRODUCT((COMPLEX(0,data!I119*((Cvcomp*uF)+(Cvcomp_p*uF)))),(COMPLEX(1,I119*((Rvcomp*kOhms)*(Cvcomp*uF)*(Cvcomp_p*uF))/((Cvcomp*uF)+(Cvcomp_p*uF)))))))</f>
        <v>0.694212519534643-37.6809030626923i</v>
      </c>
      <c r="Q119" s="128">
        <f t="shared" si="19"/>
        <v>31.523899900115357</v>
      </c>
      <c r="R119" s="128" t="str">
        <f t="shared" si="20"/>
        <v>-0.684873949109947-372.276094944453i</v>
      </c>
      <c r="S119" s="128">
        <f t="shared" si="21"/>
        <v>51.41731769168048</v>
      </c>
      <c r="T119" s="132">
        <f t="shared" si="22"/>
        <v>89.89459344006748</v>
      </c>
    </row>
    <row r="120" spans="1:20" ht="13.5">
      <c r="A120" s="134">
        <v>1.6</v>
      </c>
      <c r="B120" s="128">
        <f t="shared" si="23"/>
        <v>39.810717055349755</v>
      </c>
      <c r="C120" s="128">
        <f t="shared" si="10"/>
        <v>250.13811247045734</v>
      </c>
      <c r="D120" s="128" t="str">
        <f t="shared" si="11"/>
        <v>-5.58844854658078-473.358312640194i</v>
      </c>
      <c r="E120" s="128">
        <f t="shared" si="12"/>
        <v>53.50440544352765</v>
      </c>
      <c r="F120" s="132">
        <f t="shared" si="24"/>
        <v>-90.67640016480593</v>
      </c>
      <c r="G120" s="137">
        <v>-1.4</v>
      </c>
      <c r="H120" s="138">
        <f t="shared" si="25"/>
        <v>0.03981071705534973</v>
      </c>
      <c r="I120" s="138">
        <f t="shared" si="26"/>
        <v>0.25013811247045714</v>
      </c>
      <c r="J120" s="138">
        <f t="shared" si="13"/>
        <v>0.01296111665004985</v>
      </c>
      <c r="K120" s="138" t="str">
        <f t="shared" si="14"/>
        <v>761.789659799226-19.4337574610111i</v>
      </c>
      <c r="L120" s="128">
        <f t="shared" si="15"/>
        <v>57.639526911109286</v>
      </c>
      <c r="M120" s="128" t="str">
        <f t="shared" si="16"/>
        <v>9.87364464345956-0.251883197400942i</v>
      </c>
      <c r="N120" s="128">
        <f t="shared" si="17"/>
        <v>19.892375296837656</v>
      </c>
      <c r="O120" s="136">
        <f t="shared" si="18"/>
        <v>-1.4613362305422672</v>
      </c>
      <c r="P120" s="134" t="str">
        <f>IMPRODUCT(gmv,IMDIV((COMPLEX(1,I120*(Rvcomp*kOhms)*(Cvcomp*uF))),IMPRODUCT((COMPLEX(0,data!I120*((Cvcomp*uF)+(Cvcomp_p*uF)))),(COMPLEX(1,I120*((Rvcomp*kOhms)*(Cvcomp*uF)*(Cvcomp_p*uF))/((Cvcomp*uF)+(Cvcomp_p*uF)))))))</f>
        <v>0.694211141242181-29.931599441857i</v>
      </c>
      <c r="Q120" s="128">
        <f t="shared" si="19"/>
        <v>29.524934052282077</v>
      </c>
      <c r="R120" s="128" t="str">
        <f t="shared" si="20"/>
        <v>-0.684872854583384-295.708836621196i</v>
      </c>
      <c r="S120" s="128">
        <f t="shared" si="21"/>
        <v>49.41730934911973</v>
      </c>
      <c r="T120" s="132">
        <f t="shared" si="22"/>
        <v>89.86730104396884</v>
      </c>
    </row>
    <row r="121" spans="1:20" ht="13.5">
      <c r="A121" s="134">
        <v>1.7</v>
      </c>
      <c r="B121" s="128">
        <f t="shared" si="23"/>
        <v>50.11872336272724</v>
      </c>
      <c r="C121" s="128">
        <f t="shared" si="10"/>
        <v>314.90522624728607</v>
      </c>
      <c r="D121" s="128" t="str">
        <f t="shared" si="11"/>
        <v>-5.58799306125097-375.971226917552i</v>
      </c>
      <c r="E121" s="128">
        <f t="shared" si="12"/>
        <v>51.50405145829267</v>
      </c>
      <c r="F121" s="132">
        <f t="shared" si="24"/>
        <v>-90.8515142200404</v>
      </c>
      <c r="G121" s="137">
        <v>-1.3</v>
      </c>
      <c r="H121" s="138">
        <f t="shared" si="25"/>
        <v>0.050118723362727206</v>
      </c>
      <c r="I121" s="138">
        <f t="shared" si="26"/>
        <v>0.31490522624728584</v>
      </c>
      <c r="J121" s="138">
        <f t="shared" si="13"/>
        <v>0.01296111665004985</v>
      </c>
      <c r="K121" s="138" t="str">
        <f t="shared" si="14"/>
        <v>761.499987255828-24.4563479854318i</v>
      </c>
      <c r="L121" s="128">
        <f t="shared" si="15"/>
        <v>57.637875180738554</v>
      </c>
      <c r="M121" s="128" t="str">
        <f t="shared" si="16"/>
        <v>9.86989016383426-0.316981579073393i</v>
      </c>
      <c r="N121" s="128">
        <f t="shared" si="17"/>
        <v>19.890723566466924</v>
      </c>
      <c r="O121" s="136">
        <f t="shared" si="18"/>
        <v>-1.839480074808328</v>
      </c>
      <c r="P121" s="134" t="str">
        <f>IMPRODUCT(gmv,IMDIV((COMPLEX(1,I121*(Rvcomp*kOhms)*(Cvcomp*uF))),IMPRODUCT((COMPLEX(0,data!I121*((Cvcomp*uF)+(Cvcomp_p*uF)))),(COMPLEX(1,I121*((Rvcomp*kOhms)*(Cvcomp*uF)*(Cvcomp_p*uF))/((Cvcomp*uF)+(Cvcomp_p*uF)))))))</f>
        <v>0.69420895680705-23.7762626335907i</v>
      </c>
      <c r="Q121" s="128">
        <f t="shared" si="19"/>
        <v>27.52657256034487</v>
      </c>
      <c r="R121" s="128" t="str">
        <f t="shared" si="20"/>
        <v>-0.684871119623746-234.889152151353i</v>
      </c>
      <c r="S121" s="128">
        <f t="shared" si="21"/>
        <v>47.417296126811806</v>
      </c>
      <c r="T121" s="132">
        <f t="shared" si="22"/>
        <v>89.83294199367354</v>
      </c>
    </row>
    <row r="122" spans="1:20" ht="13.5">
      <c r="A122" s="134">
        <v>1.8</v>
      </c>
      <c r="B122" s="128">
        <f t="shared" si="23"/>
        <v>63.095734448019364</v>
      </c>
      <c r="C122" s="128">
        <f t="shared" si="10"/>
        <v>396.44219162950014</v>
      </c>
      <c r="D122" s="128" t="str">
        <f t="shared" si="11"/>
        <v>-5.58727131772262-298.60598814152i</v>
      </c>
      <c r="E122" s="128">
        <f t="shared" si="12"/>
        <v>49.50349048859836</v>
      </c>
      <c r="F122" s="132">
        <f t="shared" si="24"/>
        <v>-91.07194673360772</v>
      </c>
      <c r="G122" s="137">
        <v>-1.2</v>
      </c>
      <c r="H122" s="138">
        <f t="shared" si="25"/>
        <v>0.06309573444801932</v>
      </c>
      <c r="I122" s="138">
        <f t="shared" si="26"/>
        <v>0.39644219162949984</v>
      </c>
      <c r="J122" s="138">
        <f t="shared" si="13"/>
        <v>0.01296111665004985</v>
      </c>
      <c r="K122" s="138" t="str">
        <f t="shared" si="14"/>
        <v>761.041338197138-30.7701740100891i</v>
      </c>
      <c r="L122" s="128">
        <f t="shared" si="15"/>
        <v>57.63525865062519</v>
      </c>
      <c r="M122" s="128" t="str">
        <f t="shared" si="16"/>
        <v>9.86394555988314-0.398815814687097i</v>
      </c>
      <c r="N122" s="128">
        <f t="shared" si="17"/>
        <v>19.88810703635356</v>
      </c>
      <c r="O122" s="136">
        <f t="shared" si="18"/>
        <v>-2.3153031080588797</v>
      </c>
      <c r="P122" s="134" t="str">
        <f>IMPRODUCT(gmv,IMDIV((COMPLEX(1,I122*(Rvcomp*kOhms)*(Cvcomp*uF))),IMPRODUCT((COMPLEX(0,data!I122*((Cvcomp*uF)+(Cvcomp_p*uF)))),(COMPLEX(1,I122*((Rvcomp*kOhms)*(Cvcomp*uF)*(Cvcomp_p*uF))/((Cvcomp*uF)+(Cvcomp_p*uF)))))))</f>
        <v>0.694205494738834-18.8870985034833i</v>
      </c>
      <c r="Q122" s="128">
        <f t="shared" si="19"/>
        <v>25.529168133910062</v>
      </c>
      <c r="R122" s="128" t="str">
        <f t="shared" si="20"/>
        <v>-0.684868369266543-186.578171552454i</v>
      </c>
      <c r="S122" s="128">
        <f t="shared" si="21"/>
        <v>45.41727517026362</v>
      </c>
      <c r="T122" s="132">
        <f t="shared" si="22"/>
        <v>89.78968659346751</v>
      </c>
    </row>
    <row r="123" spans="1:20" ht="13.5">
      <c r="A123" s="134">
        <v>1.9</v>
      </c>
      <c r="B123" s="128">
        <f t="shared" si="23"/>
        <v>79.4328234724282</v>
      </c>
      <c r="C123" s="128">
        <f t="shared" si="10"/>
        <v>499.0911493497506</v>
      </c>
      <c r="D123" s="128" t="str">
        <f t="shared" si="11"/>
        <v>-5.58612781314226-237.142623315498i</v>
      </c>
      <c r="E123" s="128">
        <f t="shared" si="12"/>
        <v>47.502601559946996</v>
      </c>
      <c r="F123" s="132">
        <f t="shared" si="24"/>
        <v>-91.3494089071392</v>
      </c>
      <c r="G123" s="137">
        <v>-1.1</v>
      </c>
      <c r="H123" s="138">
        <f t="shared" si="25"/>
        <v>0.0794328234724281</v>
      </c>
      <c r="I123" s="138">
        <f t="shared" si="26"/>
        <v>0.49909114934974996</v>
      </c>
      <c r="J123" s="138">
        <f t="shared" si="13"/>
        <v>0.01296111665004985</v>
      </c>
      <c r="K123" s="138" t="str">
        <f t="shared" si="14"/>
        <v>760.315559053275-38.7004114945455i</v>
      </c>
      <c r="L123" s="128">
        <f t="shared" si="15"/>
        <v>57.631114956246286</v>
      </c>
      <c r="M123" s="128" t="str">
        <f t="shared" si="16"/>
        <v>9.85453865173736-0.501600547785734i</v>
      </c>
      <c r="N123" s="128">
        <f t="shared" si="17"/>
        <v>19.88396334197466</v>
      </c>
      <c r="O123" s="136">
        <f t="shared" si="18"/>
        <v>-2.913866783456599</v>
      </c>
      <c r="P123" s="134" t="str">
        <f>IMPRODUCT(gmv,IMDIV((COMPLEX(1,I123*(Rvcomp*kOhms)*(Cvcomp*uF))),IMPRODUCT((COMPLEX(0,data!I123*((Cvcomp*uF)+(Cvcomp_p*uF)))),(COMPLEX(1,I123*((Rvcomp*kOhms)*(Cvcomp*uF)*(Cvcomp_p*uF))/((Cvcomp*uF)+(Cvcomp_p*uF)))))))</f>
        <v>0.694200007801227-15.0037412255557i</v>
      </c>
      <c r="Q123" s="128">
        <f t="shared" si="19"/>
        <v>23.53327861288878</v>
      </c>
      <c r="R123" s="128" t="str">
        <f t="shared" si="20"/>
        <v>-0.68486400866057-148.20315893209i</v>
      </c>
      <c r="S123" s="128">
        <f t="shared" si="21"/>
        <v>43.41724195486344</v>
      </c>
      <c r="T123" s="132">
        <f t="shared" si="22"/>
        <v>89.73523143363052</v>
      </c>
    </row>
    <row r="124" spans="1:20" ht="13.5">
      <c r="A124" s="134">
        <v>2</v>
      </c>
      <c r="B124" s="128">
        <f t="shared" si="23"/>
        <v>100</v>
      </c>
      <c r="C124" s="128">
        <f t="shared" si="10"/>
        <v>628.3185307179587</v>
      </c>
      <c r="D124" s="128" t="str">
        <f t="shared" si="11"/>
        <v>-5.58431643898569-188.308000246365i</v>
      </c>
      <c r="E124" s="128">
        <f t="shared" si="12"/>
        <v>45.5011930755752</v>
      </c>
      <c r="F124" s="132">
        <f t="shared" si="24"/>
        <v>-91.69862150685127</v>
      </c>
      <c r="G124" s="137">
        <v>-1</v>
      </c>
      <c r="H124" s="138">
        <f t="shared" si="25"/>
        <v>0.1</v>
      </c>
      <c r="I124" s="138">
        <f t="shared" si="26"/>
        <v>0.6283185307179586</v>
      </c>
      <c r="J124" s="138">
        <f t="shared" si="13"/>
        <v>0.01296111665004985</v>
      </c>
      <c r="K124" s="138" t="str">
        <f t="shared" si="14"/>
        <v>759.168107938793-48.6474029451005i</v>
      </c>
      <c r="L124" s="128">
        <f t="shared" si="15"/>
        <v>57.624555730993315</v>
      </c>
      <c r="M124" s="128" t="str">
        <f t="shared" si="16"/>
        <v>9.83966640399233-0.630524664293426i</v>
      </c>
      <c r="N124" s="128">
        <f t="shared" si="17"/>
        <v>19.877404116721692</v>
      </c>
      <c r="O124" s="136">
        <f t="shared" si="18"/>
        <v>-3.666493796040987</v>
      </c>
      <c r="P124" s="134" t="str">
        <f>IMPRODUCT(gmv,IMDIV((COMPLEX(1,I124*(Rvcomp*kOhms)*(Cvcomp*uF))),IMPRODUCT((COMPLEX(0,data!I124*((Cvcomp*uF)+(Cvcomp_p*uF)))),(COMPLEX(1,I124*((Rvcomp*kOhms)*(Cvcomp*uF)*(Cvcomp_p*uF))/((Cvcomp*uF)+(Cvcomp_p*uF)))))))</f>
        <v>0.69419131176883-11.9193878488135i</v>
      </c>
      <c r="Q124" s="128">
        <f t="shared" si="19"/>
        <v>21.539785191501192</v>
      </c>
      <c r="R124" s="128" t="str">
        <f t="shared" si="20"/>
        <v>-0.684857093601152-117.720504915933i</v>
      </c>
      <c r="S124" s="128">
        <f t="shared" si="21"/>
        <v>41.41718930822287</v>
      </c>
      <c r="T124" s="132">
        <f t="shared" si="22"/>
        <v>89.66667677493658</v>
      </c>
    </row>
    <row r="125" spans="1:20" ht="13.5">
      <c r="A125" s="134">
        <v>2.1</v>
      </c>
      <c r="B125" s="128">
        <f t="shared" si="23"/>
        <v>125.89254117941677</v>
      </c>
      <c r="C125" s="128">
        <f t="shared" si="10"/>
        <v>791.0061650220124</v>
      </c>
      <c r="D125" s="128" t="str">
        <f t="shared" si="11"/>
        <v>-5.58144800947056-149.501529279388i</v>
      </c>
      <c r="E125" s="128">
        <f t="shared" si="12"/>
        <v>43.498961713551914</v>
      </c>
      <c r="F125" s="132">
        <f t="shared" si="24"/>
        <v>-92.13807151984739</v>
      </c>
      <c r="G125" s="137">
        <v>-0.9</v>
      </c>
      <c r="H125" s="138">
        <f t="shared" si="25"/>
        <v>0.12589254117941667</v>
      </c>
      <c r="I125" s="138">
        <f t="shared" si="26"/>
        <v>0.7910061650220118</v>
      </c>
      <c r="J125" s="138">
        <f t="shared" si="13"/>
        <v>0.01296111665004985</v>
      </c>
      <c r="K125" s="138" t="str">
        <f t="shared" si="14"/>
        <v>757.356597973699-61.0973140300557i</v>
      </c>
      <c r="L125" s="128">
        <f t="shared" si="15"/>
        <v>57.61418030944072</v>
      </c>
      <c r="M125" s="128" t="str">
        <f t="shared" si="16"/>
        <v>9.81618721202202-0.791889414148279i</v>
      </c>
      <c r="N125" s="128">
        <f t="shared" si="17"/>
        <v>19.867028695169097</v>
      </c>
      <c r="O125" s="136">
        <f t="shared" si="18"/>
        <v>-4.612165290034043</v>
      </c>
      <c r="P125" s="134" t="str">
        <f>IMPRODUCT(gmv,IMDIV((COMPLEX(1,I125*(Rvcomp*kOhms)*(Cvcomp*uF))),IMPRODUCT((COMPLEX(0,data!I125*((Cvcomp*uF)+(Cvcomp_p*uF)))),(COMPLEX(1,I125*((Rvcomp*kOhms)*(Cvcomp*uF)*(Cvcomp_p*uF))/((Cvcomp*uF)+(Cvcomp_p*uF)))))))</f>
        <v>0.69417752993255-9.46978527844625i</v>
      </c>
      <c r="Q125" s="128">
        <f t="shared" si="19"/>
        <v>19.550077164312327</v>
      </c>
      <c r="R125" s="128" t="str">
        <f t="shared" si="20"/>
        <v>-0.684846124061868-93.5068969883717i</v>
      </c>
      <c r="S125" s="128">
        <f t="shared" si="21"/>
        <v>39.41710585948143</v>
      </c>
      <c r="T125" s="132">
        <f t="shared" si="22"/>
        <v>89.58037222701957</v>
      </c>
    </row>
    <row r="126" spans="1:20" ht="13.5">
      <c r="A126" s="134">
        <v>2.2</v>
      </c>
      <c r="B126" s="128">
        <f t="shared" si="23"/>
        <v>158.48931924611153</v>
      </c>
      <c r="C126" s="128">
        <f t="shared" si="10"/>
        <v>995.8177620320628</v>
      </c>
      <c r="D126" s="128" t="str">
        <f t="shared" si="11"/>
        <v>-5.57690788631178-118.65668823015i</v>
      </c>
      <c r="E126" s="128">
        <f t="shared" si="12"/>
        <v>41.495427589775545</v>
      </c>
      <c r="F126" s="132">
        <f t="shared" si="24"/>
        <v>-92.69094236542155</v>
      </c>
      <c r="G126" s="137">
        <v>-0.8</v>
      </c>
      <c r="H126" s="138">
        <f t="shared" si="25"/>
        <v>0.15848931924611132</v>
      </c>
      <c r="I126" s="138">
        <f t="shared" si="26"/>
        <v>0.9958177620320614</v>
      </c>
      <c r="J126" s="138">
        <f t="shared" si="13"/>
        <v>0.01296111665004985</v>
      </c>
      <c r="K126" s="138" t="str">
        <f t="shared" si="14"/>
        <v>754.503190119356-76.6271697819389i</v>
      </c>
      <c r="L126" s="128">
        <f t="shared" si="15"/>
        <v>57.59778698028512</v>
      </c>
      <c r="M126" s="128" t="str">
        <f t="shared" si="16"/>
        <v>9.77920385997171-0.993173686106885i</v>
      </c>
      <c r="N126" s="128">
        <f t="shared" si="17"/>
        <v>19.850635366013492</v>
      </c>
      <c r="O126" s="136">
        <f t="shared" si="18"/>
        <v>-5.799062758119242</v>
      </c>
      <c r="P126" s="134" t="str">
        <f>IMPRODUCT(gmv,IMDIV((COMPLEX(1,I126*(Rvcomp*kOhms)*(Cvcomp*uF))),IMPRODUCT((COMPLEX(0,data!I126*((Cvcomp*uF)+(Cvcomp_p*uF)))),(COMPLEX(1,I126*((Rvcomp*kOhms)*(Cvcomp*uF)*(Cvcomp_p*uF))/((Cvcomp*uF)+(Cvcomp_p*uF)))))))</f>
        <v>0.694155688314939-7.5244831845148i</v>
      </c>
      <c r="Q126" s="128">
        <f t="shared" si="19"/>
        <v>17.566338212623194</v>
      </c>
      <c r="R126" s="128" t="str">
        <f t="shared" si="20"/>
        <v>-0.684828713823064-74.2728721659952i</v>
      </c>
      <c r="S126" s="128">
        <f t="shared" si="21"/>
        <v>37.41697357863669</v>
      </c>
      <c r="T126" s="132">
        <f t="shared" si="22"/>
        <v>89.47172255562634</v>
      </c>
    </row>
    <row r="127" spans="1:20" ht="13.5">
      <c r="A127" s="134">
        <v>2.3</v>
      </c>
      <c r="B127" s="128">
        <f t="shared" si="23"/>
        <v>199.52623149688802</v>
      </c>
      <c r="C127" s="128">
        <f t="shared" si="10"/>
        <v>1253.6602861381596</v>
      </c>
      <c r="D127" s="128" t="str">
        <f t="shared" si="11"/>
        <v>-5.56972738626772-94.1310038831639i</v>
      </c>
      <c r="E127" s="128">
        <f t="shared" si="12"/>
        <v>39.489832265443965</v>
      </c>
      <c r="F127" s="132">
        <f t="shared" si="24"/>
        <v>-93.38624061544526</v>
      </c>
      <c r="G127" s="137">
        <v>-0.7</v>
      </c>
      <c r="H127" s="138">
        <f t="shared" si="25"/>
        <v>0.19952623149688795</v>
      </c>
      <c r="I127" s="138">
        <f t="shared" si="26"/>
        <v>1.2536602861381592</v>
      </c>
      <c r="J127" s="138">
        <f t="shared" si="13"/>
        <v>0.01296111665004985</v>
      </c>
      <c r="K127" s="138" t="str">
        <f t="shared" si="14"/>
        <v>750.024624300498-95.895278981073i</v>
      </c>
      <c r="L127" s="128">
        <f t="shared" si="15"/>
        <v>57.571931397580435</v>
      </c>
      <c r="M127" s="128" t="str">
        <f t="shared" si="16"/>
        <v>9.72115664596857-1.24290989706276i</v>
      </c>
      <c r="N127" s="128">
        <f t="shared" si="17"/>
        <v>19.82477978330881</v>
      </c>
      <c r="O127" s="136">
        <f t="shared" si="18"/>
        <v>-7.286088385333918</v>
      </c>
      <c r="P127" s="134" t="str">
        <f>IMPRODUCT(gmv,IMDIV((COMPLEX(1,I127*(Rvcomp*kOhms)*(Cvcomp*uF))),IMPRODUCT((COMPLEX(0,data!I127*((Cvcomp*uF)+(Cvcomp_p*uF)))),(COMPLEX(1,I127*((Rvcomp*kOhms)*(Cvcomp*uF)*(Cvcomp_p*uF))/((Cvcomp*uF)+(Cvcomp_p*uF)))))))</f>
        <v>0.694121074499149-5.97988701614858i</v>
      </c>
      <c r="Q127" s="128">
        <f t="shared" si="19"/>
        <v>15.591984086098405</v>
      </c>
      <c r="R127" s="128" t="str">
        <f t="shared" si="20"/>
        <v>-0.684801059213919-58.9941483624288i</v>
      </c>
      <c r="S127" s="128">
        <f t="shared" si="21"/>
        <v>35.41676386940722</v>
      </c>
      <c r="T127" s="132">
        <f t="shared" si="22"/>
        <v>89.33494338942042</v>
      </c>
    </row>
    <row r="128" spans="1:20" ht="13.5">
      <c r="A128" s="134">
        <v>2.4</v>
      </c>
      <c r="B128" s="128">
        <f t="shared" si="23"/>
        <v>251.18864315095806</v>
      </c>
      <c r="C128" s="128">
        <f t="shared" si="10"/>
        <v>1578.2647919764759</v>
      </c>
      <c r="D128" s="128" t="str">
        <f t="shared" si="11"/>
        <v>-5.55838485900922-74.6186461684869i</v>
      </c>
      <c r="E128" s="128">
        <f t="shared" si="12"/>
        <v>37.480979014152965</v>
      </c>
      <c r="F128" s="132">
        <f t="shared" si="24"/>
        <v>-94.26012682617721</v>
      </c>
      <c r="G128" s="137">
        <v>-0.6</v>
      </c>
      <c r="H128" s="138">
        <f t="shared" si="25"/>
        <v>0.251188643150958</v>
      </c>
      <c r="I128" s="138">
        <f t="shared" si="26"/>
        <v>1.5782647919764756</v>
      </c>
      <c r="J128" s="138">
        <f t="shared" si="13"/>
        <v>0.01296111665004985</v>
      </c>
      <c r="K128" s="138" t="str">
        <f t="shared" si="14"/>
        <v>743.034468726429-119.599858445971i</v>
      </c>
      <c r="L128" s="128">
        <f t="shared" si="15"/>
        <v>57.53126578443299</v>
      </c>
      <c r="M128" s="128" t="str">
        <f t="shared" si="16"/>
        <v>9.63055642417106-1.55014771664768i</v>
      </c>
      <c r="N128" s="128">
        <f t="shared" si="17"/>
        <v>19.784114170161352</v>
      </c>
      <c r="O128" s="136">
        <f t="shared" si="18"/>
        <v>-9.143977314243807</v>
      </c>
      <c r="P128" s="134" t="str">
        <f>IMPRODUCT(gmv,IMDIV((COMPLEX(1,I128*(Rvcomp*kOhms)*(Cvcomp*uF))),IMPRODUCT((COMPLEX(0,data!I128*((Cvcomp*uF)+(Cvcomp_p*uF)))),(COMPLEX(1,I128*((Rvcomp*kOhms)*(Cvcomp*uF)*(Cvcomp_p*uF))/((Cvcomp*uF)+(Cvcomp_p*uF)))))))</f>
        <v>0.694066222368641-4.75374115403179i</v>
      </c>
      <c r="Q128" s="128">
        <f t="shared" si="19"/>
        <v>13.632317189458034</v>
      </c>
      <c r="R128" s="128" t="str">
        <f t="shared" si="20"/>
        <v>-0.684757078824031-46.8570775796142i</v>
      </c>
      <c r="S128" s="128">
        <f t="shared" si="21"/>
        <v>33.41643135961938</v>
      </c>
      <c r="T128" s="132">
        <f t="shared" si="22"/>
        <v>89.16275405852745</v>
      </c>
    </row>
    <row r="129" spans="1:20" ht="13.5">
      <c r="A129" s="134">
        <v>2.5</v>
      </c>
      <c r="B129" s="128">
        <f t="shared" si="23"/>
        <v>316.22776601683825</v>
      </c>
      <c r="C129" s="128">
        <f t="shared" si="10"/>
        <v>1986.917653159222</v>
      </c>
      <c r="D129" s="128" t="str">
        <f t="shared" si="11"/>
        <v>-5.54050249021808-59.0810092975801i</v>
      </c>
      <c r="E129" s="128">
        <f t="shared" si="12"/>
        <v>35.46698442070382</v>
      </c>
      <c r="F129" s="132">
        <f t="shared" si="24"/>
        <v>-95.35741880433946</v>
      </c>
      <c r="G129" s="137">
        <v>-0.5</v>
      </c>
      <c r="H129" s="138">
        <f t="shared" si="25"/>
        <v>0.31622776601683794</v>
      </c>
      <c r="I129" s="138">
        <f t="shared" si="26"/>
        <v>1.9869176531592203</v>
      </c>
      <c r="J129" s="138">
        <f t="shared" si="13"/>
        <v>0.01296111665004985</v>
      </c>
      <c r="K129" s="138" t="str">
        <f t="shared" si="14"/>
        <v>732.218829005916-148.375637332731i</v>
      </c>
      <c r="L129" s="128">
        <f t="shared" si="15"/>
        <v>57.46758510240933</v>
      </c>
      <c r="M129" s="128" t="str">
        <f t="shared" si="16"/>
        <v>9.49037365610858-1.92311394349502i</v>
      </c>
      <c r="N129" s="128">
        <f t="shared" si="17"/>
        <v>19.720433488137704</v>
      </c>
      <c r="O129" s="136">
        <f t="shared" si="18"/>
        <v>-11.45521233503249</v>
      </c>
      <c r="P129" s="134" t="str">
        <f>IMPRODUCT(gmv,IMDIV((COMPLEX(1,I129*(Rvcomp*kOhms)*(Cvcomp*uF))),IMPRODUCT((COMPLEX(0,data!I129*((Cvcomp*uF)+(Cvcomp_p*uF)))),(COMPLEX(1,I129*((Rvcomp*kOhms)*(Cvcomp*uF)*(Cvcomp_p*uF))/((Cvcomp*uF)+(Cvcomp_p*uF)))))))</f>
        <v>0.693979305356193-3.78074837924806i</v>
      </c>
      <c r="Q129" s="128">
        <f t="shared" si="19"/>
        <v>11.69547053188406</v>
      </c>
      <c r="R129" s="128" t="str">
        <f t="shared" si="20"/>
        <v>-0.684687007541195-37.2153160974185i</v>
      </c>
      <c r="S129" s="128">
        <f t="shared" si="21"/>
        <v>31.415904020021767</v>
      </c>
      <c r="T129" s="132">
        <f t="shared" si="22"/>
        <v>88.94599174213181</v>
      </c>
    </row>
    <row r="130" spans="1:20" ht="13.5">
      <c r="A130" s="134">
        <v>2.6</v>
      </c>
      <c r="B130" s="128">
        <f t="shared" si="23"/>
        <v>398.1071705534976</v>
      </c>
      <c r="C130" s="128">
        <f t="shared" si="10"/>
        <v>2501.3811247045737</v>
      </c>
      <c r="D130" s="128" t="str">
        <f t="shared" si="11"/>
        <v>-5.51239534157327-46.6916378623416i</v>
      </c>
      <c r="E130" s="128">
        <f t="shared" si="12"/>
        <v>33.44489644693118</v>
      </c>
      <c r="F130" s="132">
        <f t="shared" si="24"/>
        <v>-96.73314896608217</v>
      </c>
      <c r="G130" s="137">
        <v>-0.4</v>
      </c>
      <c r="H130" s="138">
        <f t="shared" si="25"/>
        <v>0.3981071705534972</v>
      </c>
      <c r="I130" s="138">
        <f t="shared" si="26"/>
        <v>2.5013811247045714</v>
      </c>
      <c r="J130" s="138">
        <f t="shared" si="13"/>
        <v>0.01296111665004985</v>
      </c>
      <c r="K130" s="138" t="str">
        <f t="shared" si="14"/>
        <v>715.707619351166-182.581741673075i</v>
      </c>
      <c r="L130" s="128">
        <f t="shared" si="15"/>
        <v>57.36853258363807</v>
      </c>
      <c r="M130" s="128" t="str">
        <f t="shared" si="16"/>
        <v>9.27636994173994-2.36646325199399i</v>
      </c>
      <c r="N130" s="128">
        <f t="shared" si="17"/>
        <v>19.621380969366438</v>
      </c>
      <c r="O130" s="136">
        <f t="shared" si="18"/>
        <v>-14.311286847126565</v>
      </c>
      <c r="P130" s="134" t="str">
        <f>IMPRODUCT(gmv,IMDIV((COMPLEX(1,I130*(Rvcomp*kOhms)*(Cvcomp*uF))),IMPRODUCT((COMPLEX(0,data!I130*((Cvcomp*uF)+(Cvcomp_p*uF)))),(COMPLEX(1,I130*((Rvcomp*kOhms)*(Cvcomp*uF)*(Cvcomp_p*uF))/((Cvcomp*uF)+(Cvcomp_p*uF)))))))</f>
        <v>0.693841595757425-3.00909232012027i</v>
      </c>
      <c r="Q130" s="128">
        <f t="shared" si="19"/>
        <v>9.79368644809038</v>
      </c>
      <c r="R130" s="128" t="str">
        <f t="shared" si="20"/>
        <v>-0.684575074208904-29.555404189349i</v>
      </c>
      <c r="S130" s="128">
        <f t="shared" si="21"/>
        <v>29.41506741745682</v>
      </c>
      <c r="T130" s="132">
        <f t="shared" si="22"/>
        <v>88.67312759070514</v>
      </c>
    </row>
    <row r="131" spans="1:20" ht="13.5">
      <c r="A131" s="134">
        <v>2.7</v>
      </c>
      <c r="B131" s="128">
        <f t="shared" si="23"/>
        <v>501.1872336272727</v>
      </c>
      <c r="C131" s="128">
        <f t="shared" si="10"/>
        <v>3149.0522624728624</v>
      </c>
      <c r="D131" s="128" t="str">
        <f t="shared" si="11"/>
        <v>-5.46842800733016-36.7926653574971i</v>
      </c>
      <c r="E131" s="128">
        <f t="shared" si="12"/>
        <v>31.41011786597573</v>
      </c>
      <c r="F131" s="132">
        <f t="shared" si="24"/>
        <v>-98.45388196354364</v>
      </c>
      <c r="G131" s="137">
        <v>-0.3</v>
      </c>
      <c r="H131" s="138">
        <f t="shared" si="25"/>
        <v>0.5011872336272722</v>
      </c>
      <c r="I131" s="138">
        <f t="shared" si="26"/>
        <v>3.1490522624728596</v>
      </c>
      <c r="J131" s="138">
        <f t="shared" si="13"/>
        <v>0.01296111665004985</v>
      </c>
      <c r="K131" s="138" t="str">
        <f t="shared" si="14"/>
        <v>691.011798715116-221.925479898118i</v>
      </c>
      <c r="L131" s="128">
        <f t="shared" si="15"/>
        <v>57.21603080490085</v>
      </c>
      <c r="M131" s="128" t="str">
        <f t="shared" si="16"/>
        <v>8.95628452970739-2.8764020325778i</v>
      </c>
      <c r="N131" s="128">
        <f t="shared" si="17"/>
        <v>19.468879190629234</v>
      </c>
      <c r="O131" s="136">
        <f t="shared" si="18"/>
        <v>-17.804950590223886</v>
      </c>
      <c r="P131" s="134" t="str">
        <f>IMPRODUCT(gmv,IMDIV((COMPLEX(1,I131*(Rvcomp*kOhms)*(Cvcomp*uF))),IMPRODUCT((COMPLEX(0,data!I131*((Cvcomp*uF)+(Cvcomp_p*uF)))),(COMPLEX(1,I131*((Rvcomp*kOhms)*(Cvcomp*uF)*(Cvcomp_p*uF))/((Cvcomp*uF)+(Cvcomp_p*uF)))))))</f>
        <v>0.69362345266671-2.39767756708693i</v>
      </c>
      <c r="Q131" s="128">
        <f t="shared" si="19"/>
        <v>7.9448603968431115</v>
      </c>
      <c r="R131" s="128" t="str">
        <f t="shared" si="20"/>
        <v>-0.68439562887396-23.4694224104213i</v>
      </c>
      <c r="S131" s="128">
        <f t="shared" si="21"/>
        <v>27.413739587472357</v>
      </c>
      <c r="T131" s="132">
        <f t="shared" si="22"/>
        <v>88.32966185494408</v>
      </c>
    </row>
    <row r="132" spans="1:20" ht="13.5">
      <c r="A132" s="134">
        <v>2.8</v>
      </c>
      <c r="B132" s="128">
        <f t="shared" si="23"/>
        <v>630.9573444801932</v>
      </c>
      <c r="C132" s="128">
        <f t="shared" si="10"/>
        <v>3964.421916294999</v>
      </c>
      <c r="D132" s="128" t="str">
        <f t="shared" si="11"/>
        <v>-5.40016323196161-28.8606188299921i</v>
      </c>
      <c r="E132" s="128">
        <f t="shared" si="12"/>
        <v>29.355561752003865</v>
      </c>
      <c r="F132" s="132">
        <f t="shared" si="24"/>
        <v>-100.5981686547546</v>
      </c>
      <c r="G132" s="137">
        <v>-0.2</v>
      </c>
      <c r="H132" s="138">
        <f t="shared" si="25"/>
        <v>0.6309573444801932</v>
      </c>
      <c r="I132" s="138">
        <f t="shared" si="26"/>
        <v>3.964421916294999</v>
      </c>
      <c r="J132" s="138">
        <f t="shared" si="13"/>
        <v>0.01296111665004985</v>
      </c>
      <c r="K132" s="138" t="str">
        <f t="shared" si="14"/>
        <v>655.181576764331-264.900868236684i</v>
      </c>
      <c r="L132" s="128">
        <f t="shared" si="15"/>
        <v>56.98479294544928</v>
      </c>
      <c r="M132" s="128" t="str">
        <f t="shared" si="16"/>
        <v>8.49188484340609-3.43341105391515i</v>
      </c>
      <c r="N132" s="128">
        <f t="shared" si="17"/>
        <v>19.23764133117766</v>
      </c>
      <c r="O132" s="136">
        <f t="shared" si="18"/>
        <v>-22.014307137993487</v>
      </c>
      <c r="P132" s="134" t="str">
        <f>IMPRODUCT(gmv,IMDIV((COMPLEX(1,I132*(Rvcomp*kOhms)*(Cvcomp*uF))),IMPRODUCT((COMPLEX(0,data!I132*((Cvcomp*uF)+(Cvcomp_p*uF)))),(COMPLEX(1,I132*((Rvcomp*kOhms)*(Cvcomp*uF)*(Cvcomp_p*uF))/((Cvcomp*uF)+(Cvcomp_p*uF)))))))</f>
        <v>0.693278000000712-1.91394024823706i</v>
      </c>
      <c r="Q132" s="128">
        <f t="shared" si="19"/>
        <v>6.173989599570281</v>
      </c>
      <c r="R132" s="128" t="str">
        <f t="shared" si="20"/>
        <v>-0.684106664357294-18.6332685338278i</v>
      </c>
      <c r="S132" s="128">
        <f t="shared" si="21"/>
        <v>25.411630930747936</v>
      </c>
      <c r="T132" s="132">
        <f t="shared" si="22"/>
        <v>87.89737225502765</v>
      </c>
    </row>
    <row r="133" spans="1:20" ht="13.5">
      <c r="A133" s="134">
        <v>2.9</v>
      </c>
      <c r="B133" s="128">
        <f t="shared" si="23"/>
        <v>794.3282347242821</v>
      </c>
      <c r="C133" s="128">
        <f t="shared" si="10"/>
        <v>4990.911493497507</v>
      </c>
      <c r="D133" s="128" t="str">
        <f t="shared" si="11"/>
        <v>-5.29539431099394-22.4800387747069i</v>
      </c>
      <c r="E133" s="128">
        <f t="shared" si="12"/>
        <v>27.270475921824552</v>
      </c>
      <c r="F133" s="132">
        <f t="shared" si="24"/>
        <v>-103.2549450904983</v>
      </c>
      <c r="G133" s="137">
        <v>-0.1</v>
      </c>
      <c r="H133" s="138">
        <f t="shared" si="25"/>
        <v>0.7943282347242815</v>
      </c>
      <c r="I133" s="138">
        <f t="shared" si="26"/>
        <v>4.990911493497503</v>
      </c>
      <c r="J133" s="138">
        <f t="shared" si="13"/>
        <v>0.01296111665004985</v>
      </c>
      <c r="K133" s="138" t="str">
        <f t="shared" si="14"/>
        <v>605.427763863806-308.165515130674i</v>
      </c>
      <c r="L133" s="128">
        <f t="shared" si="15"/>
        <v>56.641799507364716</v>
      </c>
      <c r="M133" s="128" t="str">
        <f t="shared" si="16"/>
        <v>7.84701987061763-3.99416918913137i</v>
      </c>
      <c r="N133" s="128">
        <f t="shared" si="17"/>
        <v>18.89464789309309</v>
      </c>
      <c r="O133" s="136">
        <f t="shared" si="18"/>
        <v>-26.976303162124207</v>
      </c>
      <c r="P133" s="134" t="str">
        <f>IMPRODUCT(gmv,IMDIV((COMPLEX(1,I133*(Rvcomp*kOhms)*(Cvcomp*uF))),IMPRODUCT((COMPLEX(0,data!I133*((Cvcomp*uF)+(Cvcomp_p*uF)))),(COMPLEX(1,I133*((Rvcomp*kOhms)*(Cvcomp*uF)*(Cvcomp_p*uF))/((Cvcomp*uF)+(Cvcomp_p*uF)))))))</f>
        <v>0.692731198714867-1.53211200853252i</v>
      </c>
      <c r="Q133" s="128">
        <f t="shared" si="19"/>
        <v>4.51363248123839</v>
      </c>
      <c r="R133" s="128" t="str">
        <f t="shared" si="20"/>
        <v>-0.683639097466438-14.7893989852235i</v>
      </c>
      <c r="S133" s="128">
        <f t="shared" si="21"/>
        <v>23.408280374331465</v>
      </c>
      <c r="T133" s="132">
        <f t="shared" si="22"/>
        <v>87.35338993578138</v>
      </c>
    </row>
    <row r="134" spans="1:20" ht="13.5">
      <c r="A134" s="134">
        <v>3</v>
      </c>
      <c r="B134" s="128">
        <f t="shared" si="23"/>
        <v>1000</v>
      </c>
      <c r="C134" s="128">
        <f t="shared" si="10"/>
        <v>6283.185307179586</v>
      </c>
      <c r="D134" s="128" t="str">
        <f t="shared" si="11"/>
        <v>-5.13742558071549-17.323845238519i</v>
      </c>
      <c r="E134" s="128">
        <f t="shared" si="12"/>
        <v>25.138948315244324</v>
      </c>
      <c r="F134" s="132">
        <f t="shared" si="24"/>
        <v>-106.5178428487292</v>
      </c>
      <c r="G134" s="137">
        <v>0</v>
      </c>
      <c r="H134" s="138">
        <f t="shared" si="25"/>
        <v>1</v>
      </c>
      <c r="I134" s="138">
        <f t="shared" si="26"/>
        <v>6.283185307179586</v>
      </c>
      <c r="J134" s="138">
        <f t="shared" si="13"/>
        <v>0.01296111665004985</v>
      </c>
      <c r="K134" s="138" t="str">
        <f t="shared" si="14"/>
        <v>540.389145237423-346.2807278206i</v>
      </c>
      <c r="L134" s="128">
        <f t="shared" si="15"/>
        <v>56.14824234461801</v>
      </c>
      <c r="M134" s="128" t="str">
        <f t="shared" si="16"/>
        <v>7.00404674784297-4.48818490694696i</v>
      </c>
      <c r="N134" s="128">
        <f t="shared" si="17"/>
        <v>18.40109073034639</v>
      </c>
      <c r="O134" s="136">
        <f t="shared" si="18"/>
        <v>-32.6517008920097</v>
      </c>
      <c r="P134" s="134" t="str">
        <f>IMPRODUCT(gmv,IMDIV((COMPLEX(1,I134*(Rvcomp*kOhms)*(Cvcomp*uF))),IMPRODUCT((COMPLEX(0,data!I134*((Cvcomp*uF)+(Cvcomp_p*uF)))),(COMPLEX(1,I134*((Rvcomp*kOhms)*(Cvcomp*uF)*(Cvcomp_p*uF))/((Cvcomp*uF)+(Cvcomp_p*uF)))))))</f>
        <v>0.691866341701321-1.23184403259343i</v>
      </c>
      <c r="Q134" s="128">
        <f t="shared" si="19"/>
        <v>3.001863752716518</v>
      </c>
      <c r="R134" s="128" t="str">
        <f t="shared" si="20"/>
        <v>-0.68287959426336-11.7331172627843i</v>
      </c>
      <c r="S134" s="128">
        <f t="shared" si="21"/>
        <v>21.402954483062935</v>
      </c>
      <c r="T134" s="132">
        <f t="shared" si="22"/>
        <v>86.66908381885669</v>
      </c>
    </row>
    <row r="135" spans="1:20" ht="13.5">
      <c r="A135" s="134">
        <v>3.1</v>
      </c>
      <c r="B135" s="128">
        <f t="shared" si="23"/>
        <v>1258.925411794168</v>
      </c>
      <c r="C135" s="128">
        <f t="shared" si="10"/>
        <v>7910.0616502201265</v>
      </c>
      <c r="D135" s="128" t="str">
        <f t="shared" si="11"/>
        <v>-4.90549620095388-13.1395864061162i</v>
      </c>
      <c r="E135" s="128">
        <f t="shared" si="12"/>
        <v>22.938322313722207</v>
      </c>
      <c r="F135" s="132">
        <f t="shared" si="24"/>
        <v>-110.47247320800012</v>
      </c>
      <c r="G135" s="137">
        <v>0.1</v>
      </c>
      <c r="H135" s="138">
        <f t="shared" si="25"/>
        <v>1.2589254117941673</v>
      </c>
      <c r="I135" s="138">
        <f t="shared" si="26"/>
        <v>7.910061650220122</v>
      </c>
      <c r="J135" s="138">
        <f t="shared" si="13"/>
        <v>0.01296111665004985</v>
      </c>
      <c r="K135" s="138" t="str">
        <f t="shared" si="14"/>
        <v>461.769014269715-372.517339251672i</v>
      </c>
      <c r="L135" s="128">
        <f t="shared" si="15"/>
        <v>55.4654240510093</v>
      </c>
      <c r="M135" s="128" t="str">
        <f t="shared" si="16"/>
        <v>5.98504205932831-4.82824068820711i</v>
      </c>
      <c r="N135" s="128">
        <f t="shared" si="17"/>
        <v>17.71827243673767</v>
      </c>
      <c r="O135" s="136">
        <f t="shared" si="18"/>
        <v>-38.893740668497806</v>
      </c>
      <c r="P135" s="134" t="str">
        <f>IMPRODUCT(gmv,IMDIV((COMPLEX(1,I135*(Rvcomp*kOhms)*(Cvcomp*uF))),IMPRODUCT((COMPLEX(0,data!I135*((Cvcomp*uF)+(Cvcomp_p*uF)))),(COMPLEX(1,I135*((Rvcomp*kOhms)*(Cvcomp*uF)*(Cvcomp_p*uF))/((Cvcomp*uF)+(Cvcomp_p*uF)))))))</f>
        <v>0.690500050477166-0.997116053845884i</v>
      </c>
      <c r="Q135" s="128">
        <f t="shared" si="19"/>
        <v>1.676217495781169</v>
      </c>
      <c r="R135" s="128" t="str">
        <f t="shared" si="20"/>
        <v>-0.681644457969049-9.301681959222i</v>
      </c>
      <c r="S135" s="128">
        <f t="shared" si="21"/>
        <v>19.394489932518837</v>
      </c>
      <c r="T135" s="132">
        <f t="shared" si="22"/>
        <v>85.80875124715142</v>
      </c>
    </row>
    <row r="136" spans="1:20" ht="13.5">
      <c r="A136" s="134">
        <v>3.2</v>
      </c>
      <c r="B136" s="128">
        <f t="shared" si="23"/>
        <v>1584.8931924611156</v>
      </c>
      <c r="C136" s="128">
        <f t="shared" si="10"/>
        <v>9958.17762032063</v>
      </c>
      <c r="D136" s="128" t="str">
        <f t="shared" si="11"/>
        <v>-4.57794387571753-9.74023007497403i</v>
      </c>
      <c r="E136" s="128">
        <f t="shared" si="12"/>
        <v>20.638197517060117</v>
      </c>
      <c r="F136" s="132">
        <f t="shared" si="24"/>
        <v>-115.17369672450646</v>
      </c>
      <c r="G136" s="137">
        <v>0.2</v>
      </c>
      <c r="H136" s="138">
        <f t="shared" si="25"/>
        <v>1.5848931924611136</v>
      </c>
      <c r="I136" s="138">
        <f t="shared" si="26"/>
        <v>9.958177620320617</v>
      </c>
      <c r="J136" s="138">
        <f t="shared" si="13"/>
        <v>0.01296111665004985</v>
      </c>
      <c r="K136" s="138" t="str">
        <f t="shared" si="14"/>
        <v>375.244125740929-381.097067704601i</v>
      </c>
      <c r="L136" s="128">
        <f t="shared" si="15"/>
        <v>54.56431519975645</v>
      </c>
      <c r="M136" s="128" t="str">
        <f t="shared" si="16"/>
        <v>4.86358288597415-4.93944354951128i</v>
      </c>
      <c r="N136" s="128">
        <f t="shared" si="17"/>
        <v>16.81716358548482</v>
      </c>
      <c r="O136" s="136">
        <f t="shared" si="18"/>
        <v>-45.44337420909592</v>
      </c>
      <c r="P136" s="134" t="str">
        <f>IMPRODUCT(gmv,IMDIV((COMPLEX(1,I136*(Rvcomp*kOhms)*(Cvcomp*uF))),IMPRODUCT((COMPLEX(0,data!I136*((Cvcomp*uF)+(Cvcomp_p*uF)))),(COMPLEX(1,I136*((Rvcomp*kOhms)*(Cvcomp*uF)*(Cvcomp_p*uF))/((Cvcomp*uF)+(Cvcomp_p*uF)))))))</f>
        <v>0.688345644010606-0.815368807446424i</v>
      </c>
      <c r="Q136" s="128">
        <f t="shared" si="19"/>
        <v>0.5638873161520342</v>
      </c>
      <c r="R136" s="128" t="str">
        <f t="shared" si="20"/>
        <v>-0.679642102569105-7.36565822879596i</v>
      </c>
      <c r="S136" s="128">
        <f t="shared" si="21"/>
        <v>17.38105090163686</v>
      </c>
      <c r="T136" s="132">
        <f t="shared" si="22"/>
        <v>84.72814654923509</v>
      </c>
    </row>
    <row r="137" spans="1:20" ht="13.5">
      <c r="A137" s="134">
        <v>3.3</v>
      </c>
      <c r="B137" s="128">
        <f t="shared" si="23"/>
        <v>1995.2623149688804</v>
      </c>
      <c r="C137" s="128">
        <f t="shared" si="10"/>
        <v>12536.602861381598</v>
      </c>
      <c r="D137" s="128" t="str">
        <f t="shared" si="11"/>
        <v>-4.13983616467933-6.99651719137769i</v>
      </c>
      <c r="E137" s="128">
        <f t="shared" si="12"/>
        <v>18.201324417809975</v>
      </c>
      <c r="F137" s="132">
        <f t="shared" si="24"/>
        <v>-120.61278447879047</v>
      </c>
      <c r="G137" s="137">
        <v>0.3</v>
      </c>
      <c r="H137" s="138">
        <f t="shared" si="25"/>
        <v>1.9952623149688797</v>
      </c>
      <c r="I137" s="138">
        <f t="shared" si="26"/>
        <v>12.536602861381592</v>
      </c>
      <c r="J137" s="138">
        <f t="shared" si="13"/>
        <v>0.01296111665004985</v>
      </c>
      <c r="K137" s="138" t="str">
        <f t="shared" si="14"/>
        <v>289.32311255035-369.917462637497i</v>
      </c>
      <c r="L137" s="128">
        <f t="shared" si="15"/>
        <v>53.435007462786984</v>
      </c>
      <c r="M137" s="128" t="str">
        <f t="shared" si="16"/>
        <v>3.74995061132059-4.79454338413506i</v>
      </c>
      <c r="N137" s="128">
        <f t="shared" si="17"/>
        <v>15.687855848515355</v>
      </c>
      <c r="O137" s="136">
        <f t="shared" si="18"/>
        <v>-51.97001237487723</v>
      </c>
      <c r="P137" s="134" t="str">
        <f>IMPRODUCT(gmv,IMDIV((COMPLEX(1,I137*(Rvcomp*kOhms)*(Cvcomp*uF))),IMPRODUCT((COMPLEX(0,data!I137*((Cvcomp*uF)+(Cvcomp_p*uF)))),(COMPLEX(1,I137*((Rvcomp*kOhms)*(Cvcomp*uF)*(Cvcomp_p*uF))/((Cvcomp*uF)+(Cvcomp_p*uF)))))))</f>
        <v>0.684958542475715-0.676807198900885i</v>
      </c>
      <c r="Q137" s="128">
        <f t="shared" si="19"/>
        <v>-0.3280962649697381</v>
      </c>
      <c r="R137" s="128" t="str">
        <f t="shared" si="20"/>
        <v>-0.676420772739152-5.82205701749828i</v>
      </c>
      <c r="S137" s="128">
        <f t="shared" si="21"/>
        <v>15.359759583545616</v>
      </c>
      <c r="T137" s="132">
        <f t="shared" si="22"/>
        <v>83.37294823285109</v>
      </c>
    </row>
    <row r="138" spans="1:20" ht="13.5">
      <c r="A138" s="134">
        <v>3.4</v>
      </c>
      <c r="B138" s="128">
        <f t="shared" si="23"/>
        <v>2511.886431509581</v>
      </c>
      <c r="C138" s="128">
        <f t="shared" si="10"/>
        <v>15782.647919764762</v>
      </c>
      <c r="D138" s="128" t="str">
        <f t="shared" si="11"/>
        <v>-3.59462578164074-4.82561240561854i</v>
      </c>
      <c r="E138" s="128">
        <f t="shared" si="12"/>
        <v>15.588029725251412</v>
      </c>
      <c r="F138" s="132">
        <f t="shared" si="24"/>
        <v>-126.68263290261996</v>
      </c>
      <c r="G138" s="137">
        <v>0.4</v>
      </c>
      <c r="H138" s="138">
        <f t="shared" si="25"/>
        <v>2.5118864315095806</v>
      </c>
      <c r="I138" s="138">
        <f t="shared" si="26"/>
        <v>15.78264791976476</v>
      </c>
      <c r="J138" s="138">
        <f t="shared" si="13"/>
        <v>0.01296111665004985</v>
      </c>
      <c r="K138" s="138" t="str">
        <f t="shared" si="14"/>
        <v>212.285109132838-341.697055400303i</v>
      </c>
      <c r="L138" s="128">
        <f t="shared" si="15"/>
        <v>52.09037149055713</v>
      </c>
      <c r="M138" s="128" t="str">
        <f t="shared" si="16"/>
        <v>2.75145206253928-4.42877539402187i</v>
      </c>
      <c r="N138" s="128">
        <f t="shared" si="17"/>
        <v>14.343219876285504</v>
      </c>
      <c r="O138" s="136">
        <f t="shared" si="18"/>
        <v>-58.14867939076802</v>
      </c>
      <c r="P138" s="134" t="str">
        <f>IMPRODUCT(gmv,IMDIV((COMPLEX(1,I138*(Rvcomp*kOhms)*(Cvcomp*uF))),IMPRODUCT((COMPLEX(0,data!I138*((Cvcomp*uF)+(Cvcomp_p*uF)))),(COMPLEX(1,I138*((Rvcomp*kOhms)*(Cvcomp*uF)*(Cvcomp_p*uF))/((Cvcomp*uF)+(Cvcomp_p*uF)))))))</f>
        <v>0.679658099773671-0.573825094636494i</v>
      </c>
      <c r="Q138" s="128">
        <f t="shared" si="19"/>
        <v>-1.0170802829185297</v>
      </c>
      <c r="R138" s="128" t="str">
        <f t="shared" si="20"/>
        <v>-0.671295779154581-4.58890530879967i</v>
      </c>
      <c r="S138" s="128">
        <f t="shared" si="21"/>
        <v>13.326139593366966</v>
      </c>
      <c r="T138" s="132">
        <f t="shared" si="22"/>
        <v>81.6774220472535</v>
      </c>
    </row>
    <row r="139" spans="1:20" ht="13.5">
      <c r="A139" s="134">
        <v>3.5</v>
      </c>
      <c r="B139" s="128">
        <f t="shared" si="23"/>
        <v>3162.2776601683804</v>
      </c>
      <c r="C139" s="128">
        <f t="shared" si="10"/>
        <v>19869.17653159221</v>
      </c>
      <c r="D139" s="128" t="str">
        <f t="shared" si="11"/>
        <v>-2.97389108330687-3.17120129542488i</v>
      </c>
      <c r="E139" s="128">
        <f t="shared" si="12"/>
        <v>12.764743464047445</v>
      </c>
      <c r="F139" s="132">
        <f t="shared" si="24"/>
        <v>-133.1609455001971</v>
      </c>
      <c r="G139" s="137">
        <v>0.5</v>
      </c>
      <c r="H139" s="138">
        <f t="shared" si="25"/>
        <v>3.1622776601683795</v>
      </c>
      <c r="I139" s="138">
        <f t="shared" si="26"/>
        <v>19.869176531592203</v>
      </c>
      <c r="J139" s="138">
        <f t="shared" si="13"/>
        <v>0.01296111665004985</v>
      </c>
      <c r="K139" s="138" t="str">
        <f t="shared" si="14"/>
        <v>149.285330438081-302.509375213003i</v>
      </c>
      <c r="L139" s="128">
        <f t="shared" si="15"/>
        <v>50.561347514311564</v>
      </c>
      <c r="M139" s="128" t="str">
        <f t="shared" si="16"/>
        <v>1.93490458194921-3.92085929986943i</v>
      </c>
      <c r="N139" s="128">
        <f t="shared" si="17"/>
        <v>12.814195900039937</v>
      </c>
      <c r="O139" s="136">
        <f t="shared" si="18"/>
        <v>-63.7341247957659</v>
      </c>
      <c r="P139" s="134" t="str">
        <f>IMPRODUCT(gmv,IMDIV((COMPLEX(1,I139*(Rvcomp*kOhms)*(Cvcomp*uF))),IMPRODUCT((COMPLEX(0,data!I139*((Cvcomp*uF)+(Cvcomp_p*uF)))),(COMPLEX(1,I139*((Rvcomp*kOhms)*(Cvcomp*uF)*(Cvcomp_p*uF))/((Cvcomp*uF)+(Cvcomp_p*uF)))))))</f>
        <v>0.671423464422385-0.500500276435382i</v>
      </c>
      <c r="Q139" s="128">
        <f t="shared" si="19"/>
        <v>-1.5408997135665863</v>
      </c>
      <c r="R139" s="128" t="str">
        <f t="shared" si="20"/>
        <v>-0.663250825709803-3.60097721277273i</v>
      </c>
      <c r="S139" s="128">
        <f t="shared" si="21"/>
        <v>11.27329618647336</v>
      </c>
      <c r="T139" s="132">
        <f t="shared" si="22"/>
        <v>79.5638647557811</v>
      </c>
    </row>
    <row r="140" spans="1:20" ht="13.5">
      <c r="A140" s="134">
        <v>3.6</v>
      </c>
      <c r="B140" s="128">
        <f t="shared" si="23"/>
        <v>3981.071705534977</v>
      </c>
      <c r="C140" s="128">
        <f t="shared" si="10"/>
        <v>25013.81124704574</v>
      </c>
      <c r="D140" s="128" t="str">
        <f t="shared" si="11"/>
        <v>-2.33487016668856-1.97770489094661i</v>
      </c>
      <c r="E140" s="128">
        <f t="shared" si="12"/>
        <v>9.714120237586542</v>
      </c>
      <c r="F140" s="132">
        <f t="shared" si="24"/>
        <v>-139.73440255448773</v>
      </c>
      <c r="G140" s="137">
        <v>0.6</v>
      </c>
      <c r="H140" s="138">
        <f t="shared" si="25"/>
        <v>3.9810717055349727</v>
      </c>
      <c r="I140" s="138">
        <f t="shared" si="26"/>
        <v>25.013811247045716</v>
      </c>
      <c r="J140" s="138">
        <f t="shared" si="13"/>
        <v>0.01296111665004985</v>
      </c>
      <c r="K140" s="138" t="str">
        <f t="shared" si="14"/>
        <v>101.530596468608-259.011258719729i</v>
      </c>
      <c r="L140" s="128">
        <f t="shared" si="15"/>
        <v>48.887145552405464</v>
      </c>
      <c r="M140" s="128" t="str">
        <f t="shared" si="16"/>
        <v>1.31594990437877-3.35707513794265i</v>
      </c>
      <c r="N140" s="128">
        <f t="shared" si="17"/>
        <v>11.139993938133841</v>
      </c>
      <c r="O140" s="136">
        <f t="shared" si="18"/>
        <v>-68.59516896218103</v>
      </c>
      <c r="P140" s="134" t="str">
        <f>IMPRODUCT(gmv,IMDIV((COMPLEX(1,I140*(Rvcomp*kOhms)*(Cvcomp*uF))),IMPRODUCT((COMPLEX(0,data!I140*((Cvcomp*uF)+(Cvcomp_p*uF)))),(COMPLEX(1,I140*((Rvcomp*kOhms)*(Cvcomp*uF)*(Cvcomp_p*uF))/((Cvcomp*uF)+(Cvcomp_p*uF)))))))</f>
        <v>0.658773480218935-0.452099930619959i</v>
      </c>
      <c r="Q140" s="128">
        <f t="shared" si="19"/>
        <v>-1.949228736172165</v>
      </c>
      <c r="R140" s="128" t="str">
        <f t="shared" si="20"/>
        <v>-0.650820538648484-2.80649293244792i</v>
      </c>
      <c r="S140" s="128">
        <f t="shared" si="21"/>
        <v>9.190765201961664</v>
      </c>
      <c r="T140" s="132">
        <f t="shared" si="22"/>
        <v>76.94398618408037</v>
      </c>
    </row>
    <row r="141" spans="1:20" ht="13.5">
      <c r="A141" s="134">
        <v>3.7</v>
      </c>
      <c r="B141" s="128">
        <f t="shared" si="23"/>
        <v>5011.872336272732</v>
      </c>
      <c r="C141" s="128">
        <f t="shared" si="10"/>
        <v>31490.52262472866</v>
      </c>
      <c r="D141" s="128" t="str">
        <f t="shared" si="11"/>
        <v>-1.7417162332793-1.1718611350989i</v>
      </c>
      <c r="E141" s="128">
        <f t="shared" si="12"/>
        <v>6.44126687265099</v>
      </c>
      <c r="F141" s="132">
        <f t="shared" si="24"/>
        <v>-146.0665537686638</v>
      </c>
      <c r="G141" s="137">
        <v>0.7</v>
      </c>
      <c r="H141" s="138">
        <f t="shared" si="25"/>
        <v>5.011872336272723</v>
      </c>
      <c r="I141" s="138">
        <f t="shared" si="26"/>
        <v>31.490522624728598</v>
      </c>
      <c r="J141" s="138">
        <f t="shared" si="13"/>
        <v>0.01296111665004985</v>
      </c>
      <c r="K141" s="138" t="str">
        <f t="shared" si="14"/>
        <v>67.3731107020696-216.375609686949i</v>
      </c>
      <c r="L141" s="128">
        <f t="shared" si="15"/>
        <v>47.10604217413269</v>
      </c>
      <c r="M141" s="128" t="str">
        <f t="shared" si="16"/>
        <v>0.873230746886246-2.8044695173782i</v>
      </c>
      <c r="N141" s="128">
        <f t="shared" si="17"/>
        <v>9.358890559861058</v>
      </c>
      <c r="O141" s="136">
        <f t="shared" si="18"/>
        <v>-72.7049211546984</v>
      </c>
      <c r="P141" s="134" t="str">
        <f>IMPRODUCT(gmv,IMDIV((COMPLEX(1,I141*(Rvcomp*kOhms)*(Cvcomp*uF))),IMPRODUCT((COMPLEX(0,data!I141*((Cvcomp*uF)+(Cvcomp_p*uF)))),(COMPLEX(1,I141*((Rvcomp*kOhms)*(Cvcomp*uF)*(Cvcomp_p*uF))/((Cvcomp*uF)+(Cvcomp_p*uF)))))))</f>
        <v>0.639672692423352-0.424528718324547i</v>
      </c>
      <c r="Q141" s="128">
        <f t="shared" si="19"/>
        <v>-2.2958560505679064</v>
      </c>
      <c r="R141" s="128" t="str">
        <f t="shared" si="20"/>
        <v>-0.631995986825248-2.16465409677774i</v>
      </c>
      <c r="S141" s="128">
        <f t="shared" si="21"/>
        <v>7.063034509293162</v>
      </c>
      <c r="T141" s="132">
        <f t="shared" si="22"/>
        <v>73.72422016574589</v>
      </c>
    </row>
    <row r="142" spans="1:20" ht="13.5">
      <c r="A142" s="134">
        <v>3.8</v>
      </c>
      <c r="B142" s="128">
        <f t="shared" si="23"/>
        <v>6309.573444801938</v>
      </c>
      <c r="C142" s="128">
        <f t="shared" si="10"/>
        <v>39644.21916295003</v>
      </c>
      <c r="D142" s="128" t="str">
        <f t="shared" si="11"/>
        <v>-1.24175149924622-0.663641359750123i</v>
      </c>
      <c r="E142" s="128">
        <f t="shared" si="12"/>
        <v>2.9718398068013574</v>
      </c>
      <c r="F142" s="132">
        <f t="shared" si="24"/>
        <v>-151.878181362341</v>
      </c>
      <c r="G142" s="137">
        <v>0.8</v>
      </c>
      <c r="H142" s="138">
        <f t="shared" si="25"/>
        <v>6.309573444801934</v>
      </c>
      <c r="I142" s="138">
        <f t="shared" si="26"/>
        <v>39.64421916295</v>
      </c>
      <c r="J142" s="138">
        <f t="shared" si="13"/>
        <v>0.01296111665004985</v>
      </c>
      <c r="K142" s="138" t="str">
        <f t="shared" si="14"/>
        <v>43.942847956016-177.66828294881i</v>
      </c>
      <c r="L142" s="128">
        <f t="shared" si="15"/>
        <v>45.25005817990046</v>
      </c>
      <c r="M142" s="128" t="str">
        <f t="shared" si="16"/>
        <v>0.569548378293328-2.30277934031359i</v>
      </c>
      <c r="N142" s="128">
        <f t="shared" si="17"/>
        <v>7.502906565628841</v>
      </c>
      <c r="O142" s="136">
        <f t="shared" si="18"/>
        <v>-76.10778161190846</v>
      </c>
      <c r="P142" s="134" t="str">
        <f>IMPRODUCT(gmv,IMDIV((COMPLEX(1,I142*(Rvcomp*kOhms)*(Cvcomp*uF))),IMPRODUCT((COMPLEX(0,data!I142*((Cvcomp*uF)+(Cvcomp_p*uF)))),(COMPLEX(1,I142*((Rvcomp*kOhms)*(Cvcomp*uF)*(Cvcomp_p*uF))/((Cvcomp*uF)+(Cvcomp_p*uF)))))))</f>
        <v>0.611569170047853-0.413664427661621i</v>
      </c>
      <c r="Q142" s="128">
        <f t="shared" si="19"/>
        <v>-2.634958471011016</v>
      </c>
      <c r="R142" s="128" t="str">
        <f t="shared" si="20"/>
        <v>-0.604259668826875-1.64391075389124i</v>
      </c>
      <c r="S142" s="128">
        <f t="shared" si="21"/>
        <v>4.867948094617832</v>
      </c>
      <c r="T142" s="132">
        <f t="shared" si="22"/>
        <v>69.81785951889327</v>
      </c>
    </row>
    <row r="143" spans="1:20" ht="13.5">
      <c r="A143" s="134">
        <v>3.9</v>
      </c>
      <c r="B143" s="128">
        <f t="shared" si="23"/>
        <v>7943.282347242815</v>
      </c>
      <c r="C143" s="128">
        <f t="shared" si="10"/>
        <v>49909.114934975034</v>
      </c>
      <c r="D143" s="128" t="str">
        <f t="shared" si="11"/>
        <v>-0.853467828289951-0.362314659610717i</v>
      </c>
      <c r="E143" s="128">
        <f t="shared" si="12"/>
        <v>-0.6566355743248156</v>
      </c>
      <c r="F143" s="132">
        <f t="shared" si="24"/>
        <v>-156.99777815703135</v>
      </c>
      <c r="G143" s="137">
        <v>0.9</v>
      </c>
      <c r="H143" s="138">
        <f t="shared" si="25"/>
        <v>7.943282347242818</v>
      </c>
      <c r="I143" s="138">
        <f t="shared" si="26"/>
        <v>49.90911493497505</v>
      </c>
      <c r="J143" s="138">
        <f t="shared" si="13"/>
        <v>0.01296111665004985</v>
      </c>
      <c r="K143" s="138" t="str">
        <f t="shared" si="14"/>
        <v>28.328725171392-144.194513474627i</v>
      </c>
      <c r="L143" s="128">
        <f t="shared" si="15"/>
        <v>43.343446488269436</v>
      </c>
      <c r="M143" s="128" t="str">
        <f t="shared" si="16"/>
        <v>0.367171911493615-1.86892190944183i</v>
      </c>
      <c r="N143" s="128">
        <f t="shared" si="17"/>
        <v>5.596294873997836</v>
      </c>
      <c r="O143" s="136">
        <f t="shared" si="18"/>
        <v>-78.8851219471248</v>
      </c>
      <c r="P143" s="134" t="str">
        <f>IMPRODUCT(gmv,IMDIV((COMPLEX(1,I143*(Rvcomp*kOhms)*(Cvcomp*uF))),IMPRODUCT((COMPLEX(0,data!I143*((Cvcomp*uF)+(Cvcomp_p*uF)))),(COMPLEX(1,I143*((Rvcomp*kOhms)*(Cvcomp*uF)*(Cvcomp_p*uF))/((Cvcomp*uF)+(Cvcomp_p*uF)))))))</f>
        <v>0.571757121287436-0.414610828021337i</v>
      </c>
      <c r="Q143" s="128">
        <f t="shared" si="19"/>
        <v>-3.0206628991555324</v>
      </c>
      <c r="R143" s="128" t="str">
        <f t="shared" si="20"/>
        <v>-0.564942105247701-1.22080286110402i</v>
      </c>
      <c r="S143" s="128">
        <f t="shared" si="21"/>
        <v>2.575631974842285</v>
      </c>
      <c r="T143" s="132">
        <f t="shared" si="22"/>
        <v>65.16705761513649</v>
      </c>
    </row>
    <row r="144" spans="1:20" ht="13.5">
      <c r="A144" s="134">
        <v>4</v>
      </c>
      <c r="B144" s="128">
        <f t="shared" si="23"/>
        <v>10000</v>
      </c>
      <c r="C144" s="128">
        <f t="shared" si="10"/>
        <v>62831.853071795864</v>
      </c>
      <c r="D144" s="128" t="str">
        <f t="shared" si="11"/>
        <v>-0.570659808792266-0.192431443648927i</v>
      </c>
      <c r="E144" s="128">
        <f t="shared" si="12"/>
        <v>-4.404734257974075</v>
      </c>
      <c r="F144" s="132">
        <f t="shared" si="24"/>
        <v>-161.36544688648004</v>
      </c>
      <c r="G144" s="139">
        <v>1</v>
      </c>
      <c r="H144" s="140">
        <f t="shared" si="25"/>
        <v>10</v>
      </c>
      <c r="I144" s="140">
        <f t="shared" si="26"/>
        <v>62.83185307179586</v>
      </c>
      <c r="J144" s="138">
        <f t="shared" si="13"/>
        <v>0.01296111665004985</v>
      </c>
      <c r="K144" s="138" t="str">
        <f t="shared" si="14"/>
        <v>18.1227653059945-116.130466638527i</v>
      </c>
      <c r="L144" s="135">
        <f t="shared" si="15"/>
        <v>41.403420839414565</v>
      </c>
      <c r="M144" s="135" t="str">
        <f t="shared" si="16"/>
        <v>0.234891275152471-1.50518052472667i</v>
      </c>
      <c r="N144" s="135">
        <f t="shared" si="17"/>
        <v>3.6562692251429385</v>
      </c>
      <c r="O144" s="136">
        <f t="shared" si="18"/>
        <v>-81.13023537870663</v>
      </c>
      <c r="P144" s="134" t="str">
        <f>IMPRODUCT(gmv,IMDIV((COMPLEX(1,I144*(Rvcomp*kOhms)*(Cvcomp*uF))),IMPRODUCT((COMPLEX(0,data!I144*((Cvcomp*uF)+(Cvcomp_p*uF)))),(COMPLEX(1,I144*((Rvcomp*kOhms)*(Cvcomp*uF)*(Cvcomp_p*uF))/((Cvcomp*uF)+(Cvcomp_p*uF)))))))</f>
        <v>0.51828386493696-0.421117345732881i</v>
      </c>
      <c r="Q144" s="128">
        <f t="shared" si="19"/>
        <v>-3.5070605693846697</v>
      </c>
      <c r="R144" s="128" t="str">
        <f t="shared" si="20"/>
        <v>-0.512117269495727-0.8790275701112i</v>
      </c>
      <c r="S144" s="128">
        <f t="shared" si="21"/>
        <v>0.14920865575826953</v>
      </c>
      <c r="T144" s="132">
        <f t="shared" si="22"/>
        <v>59.77512628177446</v>
      </c>
    </row>
    <row r="145" spans="1:20" ht="13.5">
      <c r="A145" s="134">
        <v>4.1</v>
      </c>
      <c r="B145" s="128">
        <f t="shared" si="23"/>
        <v>12589.254117941671</v>
      </c>
      <c r="C145" s="128">
        <f t="shared" si="10"/>
        <v>79100.61650220121</v>
      </c>
      <c r="D145" s="128" t="str">
        <f t="shared" si="11"/>
        <v>-0.374160062200131-0.100220411261157i</v>
      </c>
      <c r="E145" s="128">
        <f t="shared" si="12"/>
        <v>-8.237932832417306</v>
      </c>
      <c r="F145" s="132">
        <f t="shared" si="24"/>
        <v>-165.00506860514886</v>
      </c>
      <c r="G145" s="137">
        <v>1.1</v>
      </c>
      <c r="H145" s="138">
        <f t="shared" si="25"/>
        <v>12.58925411794168</v>
      </c>
      <c r="I145" s="138">
        <f t="shared" si="26"/>
        <v>79.10061650220126</v>
      </c>
      <c r="J145" s="138">
        <f t="shared" si="13"/>
        <v>0.01296111665004985</v>
      </c>
      <c r="K145" s="138" t="str">
        <f t="shared" si="14"/>
        <v>11.5359045861198-93.0622096651227i</v>
      </c>
      <c r="L145" s="128">
        <f t="shared" si="15"/>
        <v>39.44169272994968</v>
      </c>
      <c r="M145" s="128" t="str">
        <f t="shared" si="16"/>
        <v>0.149518205004544-1.20619015518105i</v>
      </c>
      <c r="N145" s="128">
        <f t="shared" si="17"/>
        <v>1.6945411156780386</v>
      </c>
      <c r="O145" s="136">
        <f t="shared" si="18"/>
        <v>-82.9337147263861</v>
      </c>
      <c r="P145" s="134" t="str">
        <f>IMPRODUCT(gmv,IMDIV((COMPLEX(1,I145*(Rvcomp*kOhms)*(Cvcomp*uF))),IMPRODUCT((COMPLEX(0,data!I145*((Cvcomp*uF)+(Cvcomp_p*uF)))),(COMPLEX(1,I145*((Rvcomp*kOhms)*(Cvcomp*uF)*(Cvcomp_p*uF))/((Cvcomp*uF)+(Cvcomp_p*uF)))))))</f>
        <v>0.451377832560043-0.425722846609428i</v>
      </c>
      <c r="Q145" s="128">
        <f t="shared" si="19"/>
        <v>-4.145596999003434</v>
      </c>
      <c r="R145" s="128" t="str">
        <f t="shared" si="20"/>
        <v>-0.446013503112725-0.608100813755351i</v>
      </c>
      <c r="S145" s="128">
        <f t="shared" si="21"/>
        <v>-2.4510558833253957</v>
      </c>
      <c r="T145" s="132">
        <f t="shared" si="22"/>
        <v>53.741695487879355</v>
      </c>
    </row>
    <row r="146" spans="1:20" ht="13.5">
      <c r="A146" s="134">
        <v>4.2</v>
      </c>
      <c r="B146" s="128">
        <f t="shared" si="23"/>
        <v>15848.931924611146</v>
      </c>
      <c r="C146" s="128">
        <f aca="true" t="shared" si="27" ref="C146:C164">2*PI()*B146</f>
        <v>99581.77620320623</v>
      </c>
      <c r="D146" s="128" t="str">
        <f aca="true" t="shared" si="28" ref="D146:D164">IMDIV((K_1*2.5*Rsense*Vout_nom)/(K_FQ*M_1*(M_2/us)*Lbst*mH),IMPRODUCT((COMPLEX(0,C146*1)),COMPLEX(1,(C146/(2*PI()*fiavg*kHz)))))</f>
        <v>-0.242059072184002-0.0515015281710371i</v>
      </c>
      <c r="E146" s="128">
        <f aca="true" t="shared" si="29" ref="E146:E164">20*LOG(IMABS(D146))</f>
        <v>-12.129293480408345</v>
      </c>
      <c r="F146" s="132">
        <f aca="true" t="shared" si="30" ref="F146:F164">180/PI()*IMARGUMENT(D146)</f>
        <v>-167.98861266503243</v>
      </c>
      <c r="G146" s="137">
        <v>1.2</v>
      </c>
      <c r="H146" s="138">
        <f t="shared" si="25"/>
        <v>15.848931924611136</v>
      </c>
      <c r="I146" s="138">
        <f>2*PI()*H146</f>
        <v>99.58177620320618</v>
      </c>
      <c r="J146" s="138">
        <f aca="true" t="shared" si="31" ref="J146:J174">(R_fb2*kOhms)/((R_fb1*MegOhm)+(R_fb2*kOhms))</f>
        <v>0.01296111665004985</v>
      </c>
      <c r="K146" s="138" t="str">
        <f aca="true" t="shared" si="32" ref="K146:K174">IMDIV(((M_3/us)*Vout_nom)/(M1M2/us),COMPLEX(1,(I146/(2*PI()*fPWM_PSpole))))</f>
        <v>7.31954218345222-74.3371014148702i</v>
      </c>
      <c r="L146" s="128">
        <f aca="true" t="shared" si="33" ref="L146:L174">20*LOG(IMABS(K146))</f>
        <v>37.4660153569308</v>
      </c>
      <c r="M146" s="128" t="str">
        <f aca="true" t="shared" si="34" ref="M146:M174">IMPRODUCT(J146,K146)</f>
        <v>0.0948694400646848-0.963491842864719i</v>
      </c>
      <c r="N146" s="128">
        <f aca="true" t="shared" si="35" ref="N146:N174">20*LOG(IMABS(M146))</f>
        <v>-0.28113625734082426</v>
      </c>
      <c r="O146" s="136">
        <f aca="true" t="shared" si="36" ref="O146:O174">180/PI()*IMARGUMENT(M146)</f>
        <v>-84.3765444593781</v>
      </c>
      <c r="P146" s="134" t="str">
        <f>IMPRODUCT(gmv,IMDIV((COMPLEX(1,I146*(Rvcomp*kOhms)*(Cvcomp*uF))),IMPRODUCT((COMPLEX(0,data!I146*((Cvcomp*uF)+(Cvcomp_p*uF)))),(COMPLEX(1,I146*((Rvcomp*kOhms)*(Cvcomp*uF)*(Cvcomp_p*uF))/((Cvcomp*uF)+(Cvcomp_p*uF)))))))</f>
        <v>0.374712977054105-0.421188692951644i</v>
      </c>
      <c r="Q146" s="128">
        <f aca="true" t="shared" si="37" ref="Q146:Q174">20*LOG(IMABS(P146))</f>
        <v>-4.978328103187583</v>
      </c>
      <c r="R146" s="128" t="str">
        <f aca="true" t="shared" si="38" ref="R146:R174">IMPRODUCT((M146),(P146))</f>
        <v>-0.370263059647668-0.400990832269084i</v>
      </c>
      <c r="S146" s="128">
        <f aca="true" t="shared" si="39" ref="S146:S174">20*LOG(IMABS(R146))</f>
        <v>-5.259464360528401</v>
      </c>
      <c r="T146" s="132">
        <f aca="true" t="shared" si="40" ref="T146:T174">(180/PI()*IMARGUMENT(R146))+180</f>
        <v>47.28153277819945</v>
      </c>
    </row>
    <row r="147" spans="1:20" ht="13.5">
      <c r="A147" s="134">
        <v>4.3</v>
      </c>
      <c r="B147" s="128">
        <f t="shared" si="23"/>
        <v>19952.623149688792</v>
      </c>
      <c r="C147" s="128">
        <f t="shared" si="27"/>
        <v>125366.0286138159</v>
      </c>
      <c r="D147" s="128" t="str">
        <f t="shared" si="28"/>
        <v>-0.155209594929415-0.0262311491564676i</v>
      </c>
      <c r="E147" s="128">
        <f t="shared" si="29"/>
        <v>-16.05932146859538</v>
      </c>
      <c r="F147" s="132">
        <f t="shared" si="30"/>
        <v>-170.4073891694487</v>
      </c>
      <c r="G147" s="137">
        <v>1.3</v>
      </c>
      <c r="H147" s="138">
        <f t="shared" si="25"/>
        <v>19.952623149688804</v>
      </c>
      <c r="I147" s="138">
        <f t="shared" si="26"/>
        <v>125.36602861381597</v>
      </c>
      <c r="J147" s="138">
        <f t="shared" si="31"/>
        <v>0.01296111665004985</v>
      </c>
      <c r="K147" s="138" t="str">
        <f t="shared" si="32"/>
        <v>4.63474250336327-59.2580444648692i</v>
      </c>
      <c r="L147" s="128">
        <f t="shared" si="33"/>
        <v>35.481432283241986</v>
      </c>
      <c r="M147" s="128" t="str">
        <f t="shared" si="34"/>
        <v>0.0600714382290354-0.768050426763011i</v>
      </c>
      <c r="N147" s="128">
        <f t="shared" si="35"/>
        <v>-2.2657193310296373</v>
      </c>
      <c r="O147" s="136">
        <f t="shared" si="36"/>
        <v>-85.5278361898926</v>
      </c>
      <c r="P147" s="134" t="str">
        <f>IMPRODUCT(gmv,IMDIV((COMPLEX(1,I147*(Rvcomp*kOhms)*(Cvcomp*uF))),IMPRODUCT((COMPLEX(0,data!I147*((Cvcomp*uF)+(Cvcomp_p*uF)))),(COMPLEX(1,I147*((Rvcomp*kOhms)*(Cvcomp*uF)*(Cvcomp_p*uF))/((Cvcomp*uF)+(Cvcomp_p*uF)))))))</f>
        <v>0.295238297287498-0.402928269466012i</v>
      </c>
      <c r="Q147" s="128">
        <f t="shared" si="37"/>
        <v>-6.029001339417398</v>
      </c>
      <c r="R147" s="128" t="str">
        <f t="shared" si="38"/>
        <v>-0.291733840179901-0.250962380878407i</v>
      </c>
      <c r="S147" s="128">
        <f t="shared" si="39"/>
        <v>-8.294720670447033</v>
      </c>
      <c r="T147" s="132">
        <f t="shared" si="40"/>
        <v>40.703577251015474</v>
      </c>
    </row>
    <row r="148" spans="1:20" ht="13.5">
      <c r="A148" s="134">
        <v>4.4</v>
      </c>
      <c r="B148" s="128">
        <f t="shared" si="23"/>
        <v>25118.86431509586</v>
      </c>
      <c r="C148" s="128">
        <f t="shared" si="27"/>
        <v>157826.47919764792</v>
      </c>
      <c r="D148" s="128" t="str">
        <f t="shared" si="28"/>
        <v>-0.0989446282829428-0.0132828409608064i</v>
      </c>
      <c r="E148" s="128">
        <f t="shared" si="29"/>
        <v>-20.01458491061915</v>
      </c>
      <c r="F148" s="132">
        <f t="shared" si="30"/>
        <v>-172.35402951807163</v>
      </c>
      <c r="G148" s="137">
        <v>1.4</v>
      </c>
      <c r="H148" s="138">
        <f t="shared" si="25"/>
        <v>25.1188643150958</v>
      </c>
      <c r="I148" s="138">
        <f t="shared" si="26"/>
        <v>157.82647919764753</v>
      </c>
      <c r="J148" s="138">
        <f t="shared" si="31"/>
        <v>0.01296111665004985</v>
      </c>
      <c r="K148" s="138" t="str">
        <f t="shared" si="32"/>
        <v>2.93090118464844-47.1761918937494i</v>
      </c>
      <c r="L148" s="128">
        <f t="shared" si="33"/>
        <v>33.49118794114099</v>
      </c>
      <c r="M148" s="128" t="str">
        <f t="shared" si="34"/>
        <v>0.0379877521439977-0.611456126240022i</v>
      </c>
      <c r="N148" s="128">
        <f t="shared" si="35"/>
        <v>-4.255963673130635</v>
      </c>
      <c r="O148" s="136">
        <f t="shared" si="36"/>
        <v>-86.44497133278301</v>
      </c>
      <c r="P148" s="134" t="str">
        <f>IMPRODUCT(gmv,IMDIV((COMPLEX(1,I148*(Rvcomp*kOhms)*(Cvcomp*uF))),IMPRODUCT((COMPLEX(0,data!I148*((Cvcomp*uF)+(Cvcomp_p*uF)))),(COMPLEX(1,I148*((Rvcomp*kOhms)*(Cvcomp*uF)*(Cvcomp_p*uF))/((Cvcomp*uF)+(Cvcomp_p*uF)))))))</f>
        <v>0.220962332900459-0.37081021054796i</v>
      </c>
      <c r="Q148" s="128">
        <f t="shared" si="37"/>
        <v>-7.297298844648122</v>
      </c>
      <c r="R148" s="128" t="str">
        <f t="shared" si="38"/>
        <v>-0.21834031257652-0.149195018491032i</v>
      </c>
      <c r="S148" s="128">
        <f t="shared" si="39"/>
        <v>-11.553262517778773</v>
      </c>
      <c r="T148" s="132">
        <f t="shared" si="40"/>
        <v>34.34534695043587</v>
      </c>
    </row>
    <row r="149" spans="1:20" ht="13.5">
      <c r="A149" s="134">
        <v>4.5</v>
      </c>
      <c r="B149" s="128">
        <f t="shared" si="23"/>
        <v>31622.77660168384</v>
      </c>
      <c r="C149" s="128">
        <f t="shared" si="27"/>
        <v>198691.7653159223</v>
      </c>
      <c r="D149" s="128" t="str">
        <f t="shared" si="28"/>
        <v>-0.0628403802233368-0.00670096817895718i</v>
      </c>
      <c r="E149" s="128">
        <f t="shared" si="29"/>
        <v>-23.986119082117394</v>
      </c>
      <c r="F149" s="132">
        <f t="shared" si="30"/>
        <v>-173.91328002036468</v>
      </c>
      <c r="G149" s="137">
        <v>1.5</v>
      </c>
      <c r="H149" s="138">
        <f t="shared" si="25"/>
        <v>31.622776601683803</v>
      </c>
      <c r="I149" s="138">
        <f t="shared" si="26"/>
        <v>198.69176531592208</v>
      </c>
      <c r="J149" s="138">
        <f t="shared" si="31"/>
        <v>0.01296111665004985</v>
      </c>
      <c r="K149" s="138" t="str">
        <f t="shared" si="32"/>
        <v>1.8519013416545-37.5266287836891i</v>
      </c>
      <c r="L149" s="128">
        <f t="shared" si="33"/>
        <v>31.49735463991955</v>
      </c>
      <c r="M149" s="128" t="str">
        <f t="shared" si="34"/>
        <v>0.0240027093135678-0.486387013148513i</v>
      </c>
      <c r="N149" s="128">
        <f t="shared" si="35"/>
        <v>-6.249796974352075</v>
      </c>
      <c r="O149" s="136">
        <f t="shared" si="36"/>
        <v>-87.17480291221516</v>
      </c>
      <c r="P149" s="134" t="str">
        <f>IMPRODUCT(gmv,IMDIV((COMPLEX(1,I149*(Rvcomp*kOhms)*(Cvcomp*uF))),IMPRODUCT((COMPLEX(0,data!I149*((Cvcomp*uF)+(Cvcomp_p*uF)))),(COMPLEX(1,I149*((Rvcomp*kOhms)*(Cvcomp*uF)*(Cvcomp_p*uF))/((Cvcomp*uF)+(Cvcomp_p*uF)))))))</f>
        <v>0.157973885097449-0.328733008634565i</v>
      </c>
      <c r="Q149" s="128">
        <f t="shared" si="37"/>
        <v>-8.760793367123787</v>
      </c>
      <c r="R149" s="128" t="str">
        <f t="shared" si="38"/>
        <v>-0.156099664949961-0.0847269289760447i</v>
      </c>
      <c r="S149" s="128">
        <f t="shared" si="39"/>
        <v>-15.010590341475877</v>
      </c>
      <c r="T149" s="132">
        <f t="shared" si="40"/>
        <v>28.491984416406694</v>
      </c>
    </row>
    <row r="150" spans="1:20" ht="13.5">
      <c r="A150" s="134">
        <v>4.6</v>
      </c>
      <c r="B150" s="128">
        <f t="shared" si="23"/>
        <v>39810.71705534974</v>
      </c>
      <c r="C150" s="128">
        <f t="shared" si="27"/>
        <v>250138.11247045727</v>
      </c>
      <c r="D150" s="128" t="str">
        <f t="shared" si="28"/>
        <v>-0.0398147986966937-0.0033724325762482i</v>
      </c>
      <c r="E150" s="128">
        <f t="shared" si="29"/>
        <v>-27.968061880606534</v>
      </c>
      <c r="F150" s="132">
        <f t="shared" si="30"/>
        <v>-175.15843273966783</v>
      </c>
      <c r="G150" s="137">
        <v>1.6</v>
      </c>
      <c r="H150" s="138">
        <f t="shared" si="25"/>
        <v>39.810717055349755</v>
      </c>
      <c r="I150" s="138">
        <f t="shared" si="26"/>
        <v>250.13811247045734</v>
      </c>
      <c r="J150" s="138">
        <f t="shared" si="31"/>
        <v>0.01296111665004985</v>
      </c>
      <c r="K150" s="138" t="str">
        <f t="shared" si="32"/>
        <v>1.16951929079552-29.8352096946076i</v>
      </c>
      <c r="L150" s="128">
        <f t="shared" si="33"/>
        <v>29.5012500740382</v>
      </c>
      <c r="M150" s="128" t="str">
        <f t="shared" si="34"/>
        <v>0.0151582759524843-0.386697633130507i</v>
      </c>
      <c r="N150" s="128">
        <f t="shared" si="35"/>
        <v>-8.245901540233431</v>
      </c>
      <c r="O150" s="136">
        <f t="shared" si="36"/>
        <v>-87.75519494293586</v>
      </c>
      <c r="P150" s="134" t="str">
        <f>IMPRODUCT(gmv,IMDIV((COMPLEX(1,I150*(Rvcomp*kOhms)*(Cvcomp*uF))),IMPRODUCT((COMPLEX(0,data!I150*((Cvcomp*uF)+(Cvcomp_p*uF)))),(COMPLEX(1,I150*((Rvcomp*kOhms)*(Cvcomp*uF)*(Cvcomp_p*uF))/((Cvcomp*uF)+(Cvcomp_p*uF)))))))</f>
        <v>0.108812707566832-0.282316983692773i</v>
      </c>
      <c r="Q150" s="128">
        <f t="shared" si="37"/>
        <v>-10.383744578003991</v>
      </c>
      <c r="R150" s="128" t="str">
        <f t="shared" si="38"/>
        <v>-0.107521896338104-0.046357055215504i</v>
      </c>
      <c r="S150" s="128">
        <f t="shared" si="39"/>
        <v>-18.62964611823744</v>
      </c>
      <c r="T150" s="132">
        <f t="shared" si="40"/>
        <v>23.32283576996315</v>
      </c>
    </row>
    <row r="151" spans="1:20" ht="13.5">
      <c r="A151" s="134">
        <v>4.7</v>
      </c>
      <c r="B151" s="128">
        <f t="shared" si="23"/>
        <v>50118.723362727294</v>
      </c>
      <c r="C151" s="128">
        <f t="shared" si="27"/>
        <v>314905.2262472864</v>
      </c>
      <c r="D151" s="128" t="str">
        <f t="shared" si="28"/>
        <v>-0.0251876547564975-0.00169467523638193i</v>
      </c>
      <c r="E151" s="128">
        <f t="shared" si="29"/>
        <v>-31.956629804791916</v>
      </c>
      <c r="F151" s="132">
        <f t="shared" si="30"/>
        <v>-176.15082784818728</v>
      </c>
      <c r="G151" s="137">
        <v>1.7</v>
      </c>
      <c r="H151" s="138">
        <f t="shared" si="25"/>
        <v>50.11872336272724</v>
      </c>
      <c r="I151" s="138">
        <f t="shared" si="26"/>
        <v>314.90522624728607</v>
      </c>
      <c r="J151" s="138">
        <f t="shared" si="31"/>
        <v>0.01296111665004985</v>
      </c>
      <c r="K151" s="138" t="str">
        <f t="shared" si="32"/>
        <v>0.738334827823861-23.7123752872211i</v>
      </c>
      <c r="L151" s="128">
        <f t="shared" si="33"/>
        <v>27.503709725816414</v>
      </c>
      <c r="M151" s="128" t="str">
        <f t="shared" si="34"/>
        <v>0.00956964383021953-0.307338862147432i</v>
      </c>
      <c r="N151" s="128">
        <f t="shared" si="35"/>
        <v>-10.243441888455216</v>
      </c>
      <c r="O151" s="136">
        <f t="shared" si="36"/>
        <v>-88.21655124847905</v>
      </c>
      <c r="P151" s="134" t="str">
        <f>IMPRODUCT(gmv,IMDIV((COMPLEX(1,I151*(Rvcomp*kOhms)*(Cvcomp*uF))),IMPRODUCT((COMPLEX(0,data!I151*((Cvcomp*uF)+(Cvcomp_p*uF)))),(COMPLEX(1,I151*((Rvcomp*kOhms)*(Cvcomp*uF)*(Cvcomp_p*uF))/((Cvcomp*uF)+(Cvcomp_p*uF)))))))</f>
        <v>0.0728713879164449-0.236560894765666i</v>
      </c>
      <c r="Q151" s="128">
        <f t="shared" si="37"/>
        <v>-12.127429326740767</v>
      </c>
      <c r="R151" s="128" t="str">
        <f t="shared" si="38"/>
        <v>-0.072007002998084-0.0246600129524098i</v>
      </c>
      <c r="S151" s="128">
        <f t="shared" si="39"/>
        <v>-22.370871215195987</v>
      </c>
      <c r="T151" s="132">
        <f t="shared" si="40"/>
        <v>18.904633114609254</v>
      </c>
    </row>
    <row r="152" spans="1:20" ht="13.5">
      <c r="A152" s="134">
        <v>4.8</v>
      </c>
      <c r="B152" s="128">
        <f t="shared" si="23"/>
        <v>63095.73444801934</v>
      </c>
      <c r="C152" s="128">
        <f t="shared" si="27"/>
        <v>396442.1916295</v>
      </c>
      <c r="D152" s="128" t="str">
        <f t="shared" si="28"/>
        <v>-0.0159188099751148-0.000850764480969174i</v>
      </c>
      <c r="E152" s="128">
        <f t="shared" si="29"/>
        <v>-35.94940113796556</v>
      </c>
      <c r="F152" s="132">
        <f t="shared" si="30"/>
        <v>-176.9407962074527</v>
      </c>
      <c r="G152" s="137">
        <v>1.8</v>
      </c>
      <c r="H152" s="138">
        <f t="shared" si="25"/>
        <v>63.095734448019364</v>
      </c>
      <c r="I152" s="138">
        <f t="shared" si="26"/>
        <v>396.44219162950014</v>
      </c>
      <c r="J152" s="138">
        <f t="shared" si="31"/>
        <v>0.01296111665004985</v>
      </c>
      <c r="K152" s="138" t="str">
        <f t="shared" si="32"/>
        <v>0.466024361559292-18.8421442810056i</v>
      </c>
      <c r="L152" s="128">
        <f t="shared" si="33"/>
        <v>25.50526237823986</v>
      </c>
      <c r="M152" s="128" t="str">
        <f t="shared" si="34"/>
        <v>0.00604019611193499-0.244215229963183i</v>
      </c>
      <c r="N152" s="128">
        <f t="shared" si="35"/>
        <v>-12.241889236031776</v>
      </c>
      <c r="O152" s="136">
        <f t="shared" si="36"/>
        <v>-88.58318745152643</v>
      </c>
      <c r="P152" s="134" t="str">
        <f>IMPRODUCT(gmv,IMDIV((COMPLEX(1,I152*(Rvcomp*kOhms)*(Cvcomp*uF))),IMPRODUCT((COMPLEX(0,data!I152*((Cvcomp*uF)+(Cvcomp_p*uF)))),(COMPLEX(1,I152*((Rvcomp*kOhms)*(Cvcomp*uF)*(Cvcomp_p*uF))/((Cvcomp*uF)+(Cvcomp_p*uF)))))))</f>
        <v>0.0478316505418082-0.194718492511274i</v>
      </c>
      <c r="Q152" s="128">
        <f t="shared" si="37"/>
        <v>-13.957398300010041</v>
      </c>
      <c r="R152" s="128" t="str">
        <f t="shared" si="38"/>
        <v>-0.047264308877095-0.0128573554179747i</v>
      </c>
      <c r="S152" s="128">
        <f t="shared" si="39"/>
        <v>-26.199287536041822</v>
      </c>
      <c r="T152" s="132">
        <f t="shared" si="40"/>
        <v>15.217978491876295</v>
      </c>
    </row>
    <row r="153" spans="1:20" ht="13.5">
      <c r="A153" s="134">
        <v>4.9</v>
      </c>
      <c r="B153" s="128">
        <f t="shared" si="23"/>
        <v>79432.82347242824</v>
      </c>
      <c r="C153" s="128">
        <f t="shared" si="27"/>
        <v>499091.14934975083</v>
      </c>
      <c r="D153" s="128" t="str">
        <f t="shared" si="28"/>
        <v>-0.0100546583099028-0.000426840940255909i</v>
      </c>
      <c r="E153" s="128">
        <f t="shared" si="29"/>
        <v>-39.9448339589907</v>
      </c>
      <c r="F153" s="132">
        <f t="shared" si="30"/>
        <v>-177.5691358122213</v>
      </c>
      <c r="G153" s="137">
        <v>1.9</v>
      </c>
      <c r="H153" s="138">
        <f t="shared" si="25"/>
        <v>79.4328234724282</v>
      </c>
      <c r="I153" s="138">
        <f t="shared" si="26"/>
        <v>499.0911493497506</v>
      </c>
      <c r="J153" s="138">
        <f t="shared" si="31"/>
        <v>0.01296111665004985</v>
      </c>
      <c r="K153" s="138" t="str">
        <f t="shared" si="32"/>
        <v>0.294107848713522-14.9702247092793i</v>
      </c>
      <c r="L153" s="128">
        <f t="shared" si="33"/>
        <v>23.5062423213791</v>
      </c>
      <c r="M153" s="128" t="str">
        <f t="shared" si="34"/>
        <v>0.00381196613487117-0.194030828734428i</v>
      </c>
      <c r="N153" s="128">
        <f t="shared" si="35"/>
        <v>-14.24090929289251</v>
      </c>
      <c r="O153" s="136">
        <f t="shared" si="36"/>
        <v>-88.87450113437686</v>
      </c>
      <c r="P153" s="134" t="str">
        <f>IMPRODUCT(gmv,IMDIV((COMPLEX(1,I153*(Rvcomp*kOhms)*(Cvcomp*uF))),IMPRODUCT((COMPLEX(0,data!I153*((Cvcomp*uF)+(Cvcomp_p*uF)))),(COMPLEX(1,I153*((Rvcomp*kOhms)*(Cvcomp*uF)*(Cvcomp_p*uF))/((Cvcomp*uF)+(Cvcomp_p*uF)))))))</f>
        <v>0.0309671378720814-0.158314464160473i</v>
      </c>
      <c r="Q153" s="128">
        <f t="shared" si="37"/>
        <v>-15.846520977912776</v>
      </c>
      <c r="R153" s="128" t="str">
        <f t="shared" si="38"/>
        <v>-0.0305998410008412-0.00661206880089324i</v>
      </c>
      <c r="S153" s="128">
        <f t="shared" si="39"/>
        <v>-30.087430270805292</v>
      </c>
      <c r="T153" s="132">
        <f t="shared" si="40"/>
        <v>12.193111140387856</v>
      </c>
    </row>
    <row r="154" spans="1:20" ht="13.5">
      <c r="A154" s="134">
        <v>5</v>
      </c>
      <c r="B154" s="128">
        <f t="shared" si="23"/>
        <v>100000</v>
      </c>
      <c r="C154" s="128">
        <f t="shared" si="27"/>
        <v>628318.5307179586</v>
      </c>
      <c r="D154" s="128" t="str">
        <f t="shared" si="28"/>
        <v>-0.0063482750240824-0.000214069347226325i</v>
      </c>
      <c r="E154" s="128">
        <f t="shared" si="29"/>
        <v>-43.94194979061807</v>
      </c>
      <c r="F154" s="132">
        <f t="shared" si="30"/>
        <v>-178.06866836927503</v>
      </c>
      <c r="G154" s="137">
        <v>2</v>
      </c>
      <c r="H154" s="138">
        <f t="shared" si="25"/>
        <v>100</v>
      </c>
      <c r="I154" s="138">
        <f t="shared" si="26"/>
        <v>628.3185307179587</v>
      </c>
      <c r="J154" s="138">
        <f t="shared" si="31"/>
        <v>0.01296111665004985</v>
      </c>
      <c r="K154" s="138" t="str">
        <f t="shared" si="32"/>
        <v>0.185595933372596-11.8929655518098i</v>
      </c>
      <c r="L154" s="128">
        <f t="shared" si="33"/>
        <v>21.506860737489966</v>
      </c>
      <c r="M154" s="128" t="str">
        <f t="shared" si="34"/>
        <v>0.0024055305422171-0.154146113832031i</v>
      </c>
      <c r="N154" s="128">
        <f t="shared" si="35"/>
        <v>-16.24029087678168</v>
      </c>
      <c r="O154" s="136">
        <f t="shared" si="36"/>
        <v>-89.10594203548025</v>
      </c>
      <c r="P154" s="134" t="str">
        <f>IMPRODUCT(gmv,IMDIV((COMPLEX(1,I154*(Rvcomp*kOhms)*(Cvcomp*uF))),IMPRODUCT((COMPLEX(0,data!I154*((Cvcomp*uF)+(Cvcomp_p*uF)))),(COMPLEX(1,I154*((Rvcomp*kOhms)*(Cvcomp*uF)*(Cvcomp_p*uF))/((Cvcomp*uF)+(Cvcomp_p*uF)))))))</f>
        <v>0.0198659776462594-0.127659026275747i</v>
      </c>
      <c r="Q154" s="128">
        <f t="shared" si="37"/>
        <v>-17.775050480220283</v>
      </c>
      <c r="R154" s="128" t="str">
        <f t="shared" si="38"/>
        <v>-0.0196303545800085-0.00336935093834089i</v>
      </c>
      <c r="S154" s="128">
        <f t="shared" si="39"/>
        <v>-34.015341357001944</v>
      </c>
      <c r="T154" s="132">
        <f t="shared" si="40"/>
        <v>9.739337412027709</v>
      </c>
    </row>
    <row r="155" spans="1:20" ht="13.5">
      <c r="A155" s="134">
        <v>5.1</v>
      </c>
      <c r="B155" s="128">
        <f t="shared" si="23"/>
        <v>125892.54117941685</v>
      </c>
      <c r="C155" s="128">
        <f t="shared" si="27"/>
        <v>791006.1650220129</v>
      </c>
      <c r="D155" s="128" t="str">
        <f t="shared" si="28"/>
        <v>-0.00400717039941316-0.000107333814053065i</v>
      </c>
      <c r="E155" s="128">
        <f t="shared" si="29"/>
        <v>-47.94012901737772</v>
      </c>
      <c r="F155" s="132">
        <f t="shared" si="30"/>
        <v>-178.46567432232507</v>
      </c>
      <c r="G155" s="137">
        <v>2.1</v>
      </c>
      <c r="H155" s="138">
        <f t="shared" si="25"/>
        <v>125.89254117941677</v>
      </c>
      <c r="I155" s="138">
        <f t="shared" si="26"/>
        <v>791.0061650220124</v>
      </c>
      <c r="J155" s="138">
        <f t="shared" si="31"/>
        <v>0.01296111665004985</v>
      </c>
      <c r="K155" s="138" t="str">
        <f t="shared" si="32"/>
        <v>0.117113640153571-9.44776723251598i</v>
      </c>
      <c r="L155" s="128">
        <f t="shared" si="33"/>
        <v>19.50725097699147</v>
      </c>
      <c r="M155" s="128" t="str">
        <f t="shared" si="34"/>
        <v>0.0015179235513424-0.122453613183158i</v>
      </c>
      <c r="N155" s="128">
        <f t="shared" si="35"/>
        <v>-18.239900637280176</v>
      </c>
      <c r="O155" s="136">
        <f t="shared" si="36"/>
        <v>-89.28980324325204</v>
      </c>
      <c r="P155" s="134" t="str">
        <f>IMPRODUCT(gmv,IMDIV((COMPLEX(1,I155*(Rvcomp*kOhms)*(Cvcomp*uF))),IMPRODUCT((COMPLEX(0,data!I155*((Cvcomp*uF)+(Cvcomp_p*uF)))),(COMPLEX(1,I155*((Rvcomp*kOhms)*(Cvcomp*uF)*(Cvcomp_p*uF))/((Cvcomp*uF)+(Cvcomp_p*uF)))))))</f>
        <v>0.0126683713357484-0.10238446658056i</v>
      </c>
      <c r="Q155" s="128">
        <f t="shared" si="37"/>
        <v>-19.729332190064515</v>
      </c>
      <c r="R155" s="128" t="str">
        <f t="shared" si="38"/>
        <v>-0.0125181182474122-0.0017066996363226i</v>
      </c>
      <c r="S155" s="128">
        <f t="shared" si="39"/>
        <v>-37.969232827344676</v>
      </c>
      <c r="T155" s="132">
        <f t="shared" si="40"/>
        <v>7.763743882235701</v>
      </c>
    </row>
    <row r="156" spans="1:20" ht="13.5">
      <c r="A156" s="134">
        <v>5.2</v>
      </c>
      <c r="B156" s="128">
        <f t="shared" si="23"/>
        <v>158489.31924611164</v>
      </c>
      <c r="C156" s="128">
        <f t="shared" si="27"/>
        <v>995817.7620320634</v>
      </c>
      <c r="D156" s="128" t="str">
        <f t="shared" si="28"/>
        <v>-0.00252902273152562-0.0000538085741954141i</v>
      </c>
      <c r="E156" s="128">
        <f t="shared" si="29"/>
        <v>-51.93897979423336</v>
      </c>
      <c r="F156" s="132">
        <f t="shared" si="30"/>
        <v>-178.7811342778826</v>
      </c>
      <c r="G156" s="137">
        <v>2.2</v>
      </c>
      <c r="H156" s="138">
        <f t="shared" si="25"/>
        <v>158.48931924611153</v>
      </c>
      <c r="I156" s="138">
        <f t="shared" si="26"/>
        <v>995.8177620320628</v>
      </c>
      <c r="J156" s="138">
        <f t="shared" si="31"/>
        <v>0.01296111665004985</v>
      </c>
      <c r="K156" s="138" t="str">
        <f t="shared" si="32"/>
        <v>0.0738979012442665-7.50505378814587i</v>
      </c>
      <c r="L156" s="128">
        <f t="shared" si="33"/>
        <v>17.507497219514477</v>
      </c>
      <c r="M156" s="128" t="str">
        <f t="shared" si="34"/>
        <v>0.000957799318220802-0.0972738776130571i</v>
      </c>
      <c r="N156" s="128">
        <f t="shared" si="35"/>
        <v>-20.239654394757153</v>
      </c>
      <c r="O156" s="136">
        <f t="shared" si="36"/>
        <v>-89.43586000168816</v>
      </c>
      <c r="P156" s="134" t="str">
        <f>IMPRODUCT(gmv,IMDIV((COMPLEX(1,I156*(Rvcomp*kOhms)*(Cvcomp*uF))),IMPRODUCT((COMPLEX(0,data!I156*((Cvcomp*uF)+(Cvcomp_p*uF)))),(COMPLEX(1,I156*((Rvcomp*kOhms)*(Cvcomp*uF)*(Cvcomp_p*uF))/((Cvcomp*uF)+(Cvcomp_p*uF)))))))</f>
        <v>0.00804739689149032-0.0818273059145662i</v>
      </c>
      <c r="Q156" s="128">
        <f t="shared" si="37"/>
        <v>-21.70023200658489</v>
      </c>
      <c r="R156" s="128" t="str">
        <f t="shared" si="38"/>
        <v>-0.00795195154968357-0.000861175638143342i</v>
      </c>
      <c r="S156" s="128">
        <f t="shared" si="39"/>
        <v>-41.93988640134205</v>
      </c>
      <c r="T156" s="132">
        <f t="shared" si="40"/>
        <v>6.180894930012471</v>
      </c>
    </row>
    <row r="157" spans="1:20" ht="13.5">
      <c r="A157" s="134">
        <v>5.3</v>
      </c>
      <c r="B157" s="128">
        <f t="shared" si="23"/>
        <v>199526.23149688813</v>
      </c>
      <c r="C157" s="128">
        <f t="shared" si="27"/>
        <v>1253660.2861381602</v>
      </c>
      <c r="D157" s="128" t="str">
        <f t="shared" si="28"/>
        <v>-0.00159597197022601-0.0000269726744790349i</v>
      </c>
      <c r="E157" s="128">
        <f t="shared" si="29"/>
        <v>-55.93825452694656</v>
      </c>
      <c r="F157" s="132">
        <f t="shared" si="30"/>
        <v>-179.03176664344323</v>
      </c>
      <c r="G157" s="137">
        <v>2.3</v>
      </c>
      <c r="H157" s="138">
        <f t="shared" si="25"/>
        <v>199.52623149688802</v>
      </c>
      <c r="I157" s="138">
        <f t="shared" si="26"/>
        <v>1253.6602861381596</v>
      </c>
      <c r="J157" s="138">
        <f t="shared" si="31"/>
        <v>0.01296111665004985</v>
      </c>
      <c r="K157" s="138" t="str">
        <f t="shared" si="32"/>
        <v>0.0466280916955523-5.96168941209131i</v>
      </c>
      <c r="L157" s="128">
        <f t="shared" si="33"/>
        <v>15.507652595227077</v>
      </c>
      <c r="M157" s="128" t="str">
        <f t="shared" si="34"/>
        <v>0.000604352135635274-0.0772701519014826i</v>
      </c>
      <c r="N157" s="128">
        <f t="shared" si="35"/>
        <v>-22.239499019044548</v>
      </c>
      <c r="O157" s="136">
        <f t="shared" si="36"/>
        <v>-89.55188232693988</v>
      </c>
      <c r="P157" s="134" t="str">
        <f>IMPRODUCT(gmv,IMDIV((COMPLEX(1,I157*(Rvcomp*kOhms)*(Cvcomp*uF))),IMPRODUCT((COMPLEX(0,data!I157*((Cvcomp*uF)+(Cvcomp_p*uF)))),(COMPLEX(1,I157*((Rvcomp*kOhms)*(Cvcomp*uF)*(Cvcomp_p*uF))/((Cvcomp*uF)+(Cvcomp_p*uF)))))))</f>
        <v>0.0050993791807228-0.0652513356545411i</v>
      </c>
      <c r="Q157" s="128">
        <f t="shared" si="37"/>
        <v>-23.681768484553306</v>
      </c>
      <c r="R157" s="128" t="str">
        <f t="shared" si="38"/>
        <v>-0.00503889879710273-0.000433464587953585i</v>
      </c>
      <c r="S157" s="128">
        <f t="shared" si="39"/>
        <v>-45.92126750359786</v>
      </c>
      <c r="T157" s="132">
        <f t="shared" si="40"/>
        <v>4.916689352074968</v>
      </c>
    </row>
    <row r="158" spans="1:20" ht="13.5">
      <c r="A158" s="134">
        <v>5.4</v>
      </c>
      <c r="B158" s="128">
        <f t="shared" si="23"/>
        <v>251188.64315095844</v>
      </c>
      <c r="C158" s="128">
        <f t="shared" si="27"/>
        <v>1578264.7919764782</v>
      </c>
      <c r="D158" s="128" t="str">
        <f t="shared" si="28"/>
        <v>-0.00100709636202102-0.0000135197847938532i</v>
      </c>
      <c r="E158" s="128">
        <f t="shared" si="29"/>
        <v>-59.937796851897886</v>
      </c>
      <c r="F158" s="132">
        <f t="shared" si="30"/>
        <v>-179.23087788910826</v>
      </c>
      <c r="G158" s="137">
        <v>2.4</v>
      </c>
      <c r="H158" s="138">
        <f t="shared" si="25"/>
        <v>251.18864315095806</v>
      </c>
      <c r="I158" s="138">
        <f t="shared" si="26"/>
        <v>1578.2647919764759</v>
      </c>
      <c r="J158" s="138">
        <f t="shared" si="31"/>
        <v>0.01296111665004985</v>
      </c>
      <c r="K158" s="138" t="str">
        <f t="shared" si="32"/>
        <v>0.0294210010611313-4.73564512865902i</v>
      </c>
      <c r="L158" s="128">
        <f t="shared" si="33"/>
        <v>13.507750633534322</v>
      </c>
      <c r="M158" s="128" t="str">
        <f t="shared" si="34"/>
        <v>0.000381329026714563-0.0613792489257899i</v>
      </c>
      <c r="N158" s="128">
        <f t="shared" si="35"/>
        <v>-24.239400980737305</v>
      </c>
      <c r="O158" s="136">
        <f t="shared" si="36"/>
        <v>-89.64404480133912</v>
      </c>
      <c r="P158" s="134" t="str">
        <f>IMPRODUCT(gmv,IMDIV((COMPLEX(1,I158*(Rvcomp*kOhms)*(Cvcomp*uF))),IMPRODUCT((COMPLEX(0,data!I158*((Cvcomp*uF)+(Cvcomp_p*uF)))),(COMPLEX(1,I158*((Rvcomp*kOhms)*(Cvcomp*uF)*(Cvcomp_p*uF))/((Cvcomp*uF)+(Cvcomp_p*uF)))))))</f>
        <v>0.0032262364781627-0.0519589704655605i</v>
      </c>
      <c r="Q158" s="128">
        <f t="shared" si="37"/>
        <v>-25.670077588465205</v>
      </c>
      <c r="R158" s="128" t="str">
        <f t="shared" si="38"/>
        <v>-0.00318797232451723-0.000217837435523335i</v>
      </c>
      <c r="S158" s="128">
        <f t="shared" si="39"/>
        <v>-49.90947856920251</v>
      </c>
      <c r="T158" s="132">
        <f t="shared" si="40"/>
        <v>3.9090033575340613</v>
      </c>
    </row>
    <row r="159" spans="1:20" ht="13.5">
      <c r="A159" s="134">
        <v>5.5</v>
      </c>
      <c r="B159" s="128">
        <f t="shared" si="23"/>
        <v>316227.7660168382</v>
      </c>
      <c r="C159" s="128">
        <f t="shared" si="27"/>
        <v>1986917.6531592219</v>
      </c>
      <c r="D159" s="128" t="str">
        <f t="shared" si="28"/>
        <v>-0.000635477102929862-6.77639414347067E-06i</v>
      </c>
      <c r="E159" s="128">
        <f t="shared" si="29"/>
        <v>-63.9375080536459</v>
      </c>
      <c r="F159" s="132">
        <f t="shared" si="30"/>
        <v>-179.38905104890634</v>
      </c>
      <c r="G159" s="137">
        <v>2.5</v>
      </c>
      <c r="H159" s="138">
        <f t="shared" si="25"/>
        <v>316.22776601683825</v>
      </c>
      <c r="I159" s="138">
        <f t="shared" si="26"/>
        <v>1986.917653159222</v>
      </c>
      <c r="J159" s="138">
        <f t="shared" si="31"/>
        <v>0.01296111665004985</v>
      </c>
      <c r="K159" s="138" t="str">
        <f t="shared" si="32"/>
        <v>0.0185636611127895-3.7617102152077i</v>
      </c>
      <c r="L159" s="128">
        <f t="shared" si="33"/>
        <v>11.507812492663103</v>
      </c>
      <c r="M159" s="128" t="str">
        <f t="shared" si="34"/>
        <v>0.000240605777134859-0.0487559649029911i</v>
      </c>
      <c r="N159" s="128">
        <f t="shared" si="35"/>
        <v>-26.23933912160853</v>
      </c>
      <c r="O159" s="136">
        <f t="shared" si="36"/>
        <v>-89.71725339296201</v>
      </c>
      <c r="P159" s="134" t="str">
        <f>IMPRODUCT(gmv,IMDIV((COMPLEX(1,I159*(Rvcomp*kOhms)*(Cvcomp*uF))),IMPRODUCT((COMPLEX(0,data!I159*((Cvcomp*uF)+(Cvcomp_p*uF)))),(COMPLEX(1,I159*((Rvcomp*kOhms)*(Cvcomp*uF)*(Cvcomp_p*uF))/((Cvcomp*uF)+(Cvcomp_p*uF)))))))</f>
        <v>0.00203911480137451-0.0413369102179323i</v>
      </c>
      <c r="Q159" s="128">
        <f t="shared" si="37"/>
        <v>-27.6626846335609</v>
      </c>
      <c r="R159" s="128" t="str">
        <f t="shared" si="38"/>
        <v>-0.00201493032098215-0.000109364909096325i</v>
      </c>
      <c r="S159" s="128">
        <f t="shared" si="39"/>
        <v>-53.902023755169424</v>
      </c>
      <c r="T159" s="132">
        <f t="shared" si="40"/>
        <v>3.1068097515166357</v>
      </c>
    </row>
    <row r="160" spans="1:20" ht="13.5">
      <c r="A160" s="134">
        <v>5.6</v>
      </c>
      <c r="B160" s="128">
        <f t="shared" si="23"/>
        <v>398107.17055349716</v>
      </c>
      <c r="C160" s="128">
        <f t="shared" si="27"/>
        <v>2501381.124704571</v>
      </c>
      <c r="D160" s="128" t="str">
        <f t="shared" si="28"/>
        <v>-0.000400975769867864-0.0000033963847434971i</v>
      </c>
      <c r="E160" s="128">
        <f t="shared" si="29"/>
        <v>-67.93732582438585</v>
      </c>
      <c r="F160" s="132">
        <f t="shared" si="30"/>
        <v>-179.51469921042056</v>
      </c>
      <c r="G160" s="137">
        <v>2.6</v>
      </c>
      <c r="H160" s="138">
        <f t="shared" si="25"/>
        <v>398.1071705534976</v>
      </c>
      <c r="I160" s="138">
        <f t="shared" si="26"/>
        <v>2501.3811247045737</v>
      </c>
      <c r="J160" s="138">
        <f t="shared" si="31"/>
        <v>0.01296111665004985</v>
      </c>
      <c r="K160" s="138" t="str">
        <f t="shared" si="32"/>
        <v>0.0117129835860393-2.98805948896556i</v>
      </c>
      <c r="L160" s="128">
        <f t="shared" si="33"/>
        <v>9.507851523588059</v>
      </c>
      <c r="M160" s="128" t="str">
        <f t="shared" si="34"/>
        <v>0.000151813346578775-0.038728587593771i</v>
      </c>
      <c r="N160" s="128">
        <f t="shared" si="35"/>
        <v>-28.23930009068356</v>
      </c>
      <c r="O160" s="136">
        <f t="shared" si="36"/>
        <v>-89.77540571393166</v>
      </c>
      <c r="P160" s="134" t="str">
        <f>IMPRODUCT(gmv,IMDIV((COMPLEX(1,I160*(Rvcomp*kOhms)*(Cvcomp*uF))),IMPRODUCT((COMPLEX(0,data!I160*((Cvcomp*uF)+(Cvcomp_p*uF)))),(COMPLEX(1,I160*((Rvcomp*kOhms)*(Cvcomp*uF)*(Cvcomp_p*uF))/((Cvcomp*uF)+(Cvcomp_p*uF)))))))</f>
        <v>0.00128799062607736-0.0328674584670935i</v>
      </c>
      <c r="Q160" s="128">
        <f t="shared" si="37"/>
        <v>-29.6580134021327</v>
      </c>
      <c r="R160" s="128" t="str">
        <f t="shared" si="38"/>
        <v>-0.00127271471006015-0.0000548717766454214i</v>
      </c>
      <c r="S160" s="128">
        <f t="shared" si="39"/>
        <v>-57.89731349281628</v>
      </c>
      <c r="T160" s="132">
        <f t="shared" si="40"/>
        <v>2.4687193232258835</v>
      </c>
    </row>
    <row r="161" spans="1:20" ht="13.5">
      <c r="A161" s="134">
        <v>5.7</v>
      </c>
      <c r="B161" s="128">
        <f t="shared" si="23"/>
        <v>501187.23362727347</v>
      </c>
      <c r="C161" s="128">
        <f t="shared" si="27"/>
        <v>3149052.2624728675</v>
      </c>
      <c r="D161" s="128" t="str">
        <f t="shared" si="28"/>
        <v>-0.000253005305379274-0.0000017022697422391i</v>
      </c>
      <c r="E161" s="128">
        <f t="shared" si="29"/>
        <v>-71.93721084156151</v>
      </c>
      <c r="F161" s="132">
        <f t="shared" si="30"/>
        <v>-179.61450847842943</v>
      </c>
      <c r="G161" s="137">
        <v>2.7</v>
      </c>
      <c r="H161" s="138">
        <f t="shared" si="25"/>
        <v>501.1872336272727</v>
      </c>
      <c r="I161" s="138">
        <f t="shared" si="26"/>
        <v>3149.0522624728624</v>
      </c>
      <c r="J161" s="138">
        <f t="shared" si="31"/>
        <v>0.01296111665004985</v>
      </c>
      <c r="K161" s="138" t="str">
        <f t="shared" si="32"/>
        <v>0.00739043492734365-2.37351347828828i</v>
      </c>
      <c r="L161" s="128">
        <f t="shared" si="33"/>
        <v>7.507876150617322</v>
      </c>
      <c r="M161" s="128" t="str">
        <f t="shared" si="34"/>
        <v>0.0000957882891879037-0.03076338506256i</v>
      </c>
      <c r="N161" s="128">
        <f t="shared" si="35"/>
        <v>-30.239275463654295</v>
      </c>
      <c r="O161" s="136">
        <f t="shared" si="36"/>
        <v>-89.82159808000364</v>
      </c>
      <c r="P161" s="134" t="str">
        <f>IMPRODUCT(gmv,IMDIV((COMPLEX(1,I161*(Rvcomp*kOhms)*(Cvcomp*uF))),IMPRODUCT((COMPLEX(0,data!I161*((Cvcomp*uF)+(Cvcomp_p*uF)))),(COMPLEX(1,I161*((Rvcomp*kOhms)*(Cvcomp*uF)*(Cvcomp_p*uF))/((Cvcomp*uF)+(Cvcomp_p*uF)))))))</f>
        <v>0.000813223953207848-0.0261238092280708i</v>
      </c>
      <c r="Q161" s="128">
        <f t="shared" si="37"/>
        <v>-31.655063423832424</v>
      </c>
      <c r="R161" s="128" t="str">
        <f t="shared" si="38"/>
        <v>-0.000803578905252796-0.0000275198766076584i</v>
      </c>
      <c r="S161" s="128">
        <f t="shared" si="39"/>
        <v>-61.89433888748671</v>
      </c>
      <c r="T161" s="132">
        <f t="shared" si="40"/>
        <v>1.9614213059238352</v>
      </c>
    </row>
    <row r="162" spans="1:20" ht="13.5">
      <c r="A162" s="134">
        <v>5.8</v>
      </c>
      <c r="B162" s="128">
        <f t="shared" si="23"/>
        <v>630957.3444801942</v>
      </c>
      <c r="C162" s="128">
        <f t="shared" si="27"/>
        <v>3964421.9162950045</v>
      </c>
      <c r="D162" s="128" t="str">
        <f t="shared" si="28"/>
        <v>-0.000159638222426709-8.53170115467258E-07i</v>
      </c>
      <c r="E162" s="128">
        <f t="shared" si="29"/>
        <v>-75.93713829073751</v>
      </c>
      <c r="F162" s="132">
        <f t="shared" si="30"/>
        <v>-179.69379149504962</v>
      </c>
      <c r="G162" s="137">
        <v>2.8</v>
      </c>
      <c r="H162" s="138">
        <f t="shared" si="25"/>
        <v>630.9573444801932</v>
      </c>
      <c r="I162" s="138">
        <f t="shared" si="26"/>
        <v>3964.421916294999</v>
      </c>
      <c r="J162" s="138">
        <f t="shared" si="31"/>
        <v>0.01296111665004985</v>
      </c>
      <c r="K162" s="138" t="str">
        <f t="shared" si="32"/>
        <v>0.00466306588032258-1.88535551692814i</v>
      </c>
      <c r="L162" s="128">
        <f t="shared" si="33"/>
        <v>5.507891689294136</v>
      </c>
      <c r="M162" s="128" t="str">
        <f t="shared" si="34"/>
        <v>0.0000604385408217283-0.0244363127817207i</v>
      </c>
      <c r="N162" s="128">
        <f t="shared" si="35"/>
        <v>-32.239259924977475</v>
      </c>
      <c r="O162" s="136">
        <f t="shared" si="36"/>
        <v>-89.8582901488093</v>
      </c>
      <c r="P162" s="134" t="str">
        <f>IMPRODUCT(gmv,IMDIV((COMPLEX(1,I162*(Rvcomp*kOhms)*(Cvcomp*uF))),IMPRODUCT((COMPLEX(0,data!I162*((Cvcomp*uF)+(Cvcomp_p*uF)))),(COMPLEX(1,I162*((Rvcomp*kOhms)*(Cvcomp*uF)*(Cvcomp_p*uF))/((Cvcomp*uF)+(Cvcomp_p*uF)))))))</f>
        <v>0.000513331543081734-0.0207590371635633i</v>
      </c>
      <c r="Q162" s="128">
        <f t="shared" si="37"/>
        <v>-33.65320106458923</v>
      </c>
      <c r="R162" s="128" t="str">
        <f t="shared" si="38"/>
        <v>-0.000507243300166775-0.0000137985760624984i</v>
      </c>
      <c r="S162" s="128">
        <f t="shared" si="39"/>
        <v>-65.89246098956671</v>
      </c>
      <c r="T162" s="132">
        <f t="shared" si="40"/>
        <v>1.5582369276551447</v>
      </c>
    </row>
    <row r="163" spans="1:20" ht="13.5">
      <c r="A163" s="134">
        <v>5.9</v>
      </c>
      <c r="B163" s="128">
        <f t="shared" si="23"/>
        <v>794328.2347242833</v>
      </c>
      <c r="C163" s="128">
        <f t="shared" si="27"/>
        <v>4990911.493497515</v>
      </c>
      <c r="D163" s="128" t="str">
        <f t="shared" si="28"/>
        <v>-0.000100725970603093-4.27602477133094E-07i</v>
      </c>
      <c r="E163" s="128">
        <f t="shared" si="29"/>
        <v>-79.93709251363879</v>
      </c>
      <c r="F163" s="132">
        <f t="shared" si="30"/>
        <v>-179.75676908420684</v>
      </c>
      <c r="G163" s="137">
        <v>2.9</v>
      </c>
      <c r="H163" s="138">
        <f t="shared" si="25"/>
        <v>794.3282347242821</v>
      </c>
      <c r="I163" s="138">
        <f t="shared" si="26"/>
        <v>4990.911493497507</v>
      </c>
      <c r="J163" s="138">
        <f t="shared" si="31"/>
        <v>0.01296111665004985</v>
      </c>
      <c r="K163" s="138" t="str">
        <f t="shared" si="32"/>
        <v>0.00294220230704816-1.49759450043014i</v>
      </c>
      <c r="L163" s="128">
        <f t="shared" si="33"/>
        <v>3.5079014935650203</v>
      </c>
      <c r="M163" s="128" t="str">
        <f t="shared" si="34"/>
        <v>0.000038134227309697-0.0194104970145482i</v>
      </c>
      <c r="N163" s="128">
        <f t="shared" si="35"/>
        <v>-34.2392501207066</v>
      </c>
      <c r="O163" s="136">
        <f t="shared" si="36"/>
        <v>-89.88743577935543</v>
      </c>
      <c r="P163" s="134" t="str">
        <f>IMPRODUCT(gmv,IMDIV((COMPLEX(1,I163*(Rvcomp*kOhms)*(Cvcomp*uF))),IMPRODUCT((COMPLEX(0,data!I163*((Cvcomp*uF)+(Cvcomp_p*uF)))),(COMPLEX(1,I163*((Rvcomp*kOhms)*(Cvcomp*uF)*(Cvcomp_p*uF))/((Cvcomp*uF)+(Cvcomp_p*uF)))))))</f>
        <v>0.000323978716383839-0.016493580862442i</v>
      </c>
      <c r="Q163" s="128">
        <f t="shared" si="37"/>
        <v>-35.652025577437165</v>
      </c>
      <c r="R163" s="128" t="str">
        <f t="shared" si="38"/>
        <v>-0.000320136247411626-0.0000069175578689049i</v>
      </c>
      <c r="S163" s="128">
        <f t="shared" si="39"/>
        <v>-69.89127569814374</v>
      </c>
      <c r="T163" s="132">
        <f t="shared" si="40"/>
        <v>1.2378642044203332</v>
      </c>
    </row>
    <row r="164" spans="1:20" ht="14.25" thickBot="1">
      <c r="A164" s="141">
        <v>6</v>
      </c>
      <c r="B164" s="142">
        <f t="shared" si="23"/>
        <v>1000000</v>
      </c>
      <c r="C164" s="142">
        <f t="shared" si="27"/>
        <v>6283185.307179586</v>
      </c>
      <c r="D164" s="142" t="str">
        <f t="shared" si="28"/>
        <v>-0.0000635542136108416-2.14310327916548E-07i</v>
      </c>
      <c r="E164" s="142">
        <f t="shared" si="29"/>
        <v>-83.93706362999367</v>
      </c>
      <c r="F164" s="143">
        <f t="shared" si="30"/>
        <v>-179.80679438770943</v>
      </c>
      <c r="G164" s="137">
        <v>3</v>
      </c>
      <c r="H164" s="138">
        <f t="shared" si="25"/>
        <v>1000</v>
      </c>
      <c r="I164" s="138">
        <f t="shared" si="26"/>
        <v>6283.185307179586</v>
      </c>
      <c r="J164" s="138">
        <f t="shared" si="31"/>
        <v>0.01296111665004985</v>
      </c>
      <c r="K164" s="138" t="str">
        <f t="shared" si="32"/>
        <v>0.0018564067988415-1.18958329030002i</v>
      </c>
      <c r="L164" s="128">
        <f t="shared" si="33"/>
        <v>1.5079076796531707</v>
      </c>
      <c r="M164" s="128" t="str">
        <f t="shared" si="34"/>
        <v>0.0000240611050697303-0.0154183277905287i</v>
      </c>
      <c r="N164" s="128">
        <f t="shared" si="35"/>
        <v>-36.23924393461844</v>
      </c>
      <c r="O164" s="136">
        <f t="shared" si="36"/>
        <v>-89.91058701886901</v>
      </c>
      <c r="P164" s="134" t="str">
        <f>IMPRODUCT(gmv,IMDIV((COMPLEX(1,I164*(Rvcomp*kOhms)*(Cvcomp*uF))),IMPRODUCT((COMPLEX(0,data!I164*((Cvcomp*uF)+(Cvcomp_p*uF)))),(COMPLEX(1,I164*((Rvcomp*kOhms)*(Cvcomp*uF)*(Cvcomp_p*uF))/((Cvcomp*uF)+(Cvcomp_p*uF)))))))</f>
        <v>0.000204451962535094-0.0131033685002631i</v>
      </c>
      <c r="Q164" s="128">
        <f t="shared" si="37"/>
        <v>-37.65128372871514</v>
      </c>
      <c r="R164" s="128" t="str">
        <f t="shared" si="38"/>
        <v>-0.000202027111356993-0.0000034675889020352i</v>
      </c>
      <c r="S164" s="128">
        <f t="shared" si="39"/>
        <v>-73.89052766333357</v>
      </c>
      <c r="T164" s="132">
        <f t="shared" si="40"/>
        <v>0.9833269453025366</v>
      </c>
    </row>
    <row r="165" spans="7:20" ht="13.5">
      <c r="G165" s="128">
        <v>3.1</v>
      </c>
      <c r="H165" s="138">
        <f t="shared" si="25"/>
        <v>1258.925411794168</v>
      </c>
      <c r="I165" s="138">
        <f t="shared" si="26"/>
        <v>7910.0616502201265</v>
      </c>
      <c r="J165" s="138">
        <f t="shared" si="31"/>
        <v>0.01296111665004985</v>
      </c>
      <c r="K165" s="138" t="str">
        <f t="shared" si="32"/>
        <v>0.00117131455677447-0.944920444275457i</v>
      </c>
      <c r="L165" s="128">
        <f t="shared" si="33"/>
        <v>-0.49208841718461493</v>
      </c>
      <c r="M165" s="128" t="str">
        <f t="shared" si="34"/>
        <v>0.0000151815446042553-0.0122472241032711i</v>
      </c>
      <c r="N165" s="128">
        <f t="shared" si="35"/>
        <v>-38.23924003145626</v>
      </c>
      <c r="O165" s="136">
        <f t="shared" si="36"/>
        <v>-89.92897672325971</v>
      </c>
      <c r="P165" s="134" t="str">
        <f>IMPRODUCT(gmv,IMDIV((COMPLEX(1,I165*(Rvcomp*kOhms)*(Cvcomp*uF))),IMPRODUCT((COMPLEX(0,data!I165*((Cvcomp*uF)+(Cvcomp_p*uF)))),(COMPLEX(1,I165*((Rvcomp*kOhms)*(Cvcomp*uF)*(Cvcomp_p*uF))/((Cvcomp*uF)+(Cvcomp_p*uF)))))))</f>
        <v>0.000129014489434329-0.0104094040590552i</v>
      </c>
      <c r="Q165" s="128">
        <f t="shared" si="37"/>
        <v>-39.65081558751808</v>
      </c>
      <c r="R165" s="128" t="str">
        <f t="shared" si="38"/>
        <v>-0.000127484345653523-1.73810019669759E-06i</v>
      </c>
      <c r="S165" s="128">
        <f t="shared" si="39"/>
        <v>-77.89005561897434</v>
      </c>
      <c r="T165" s="132">
        <f t="shared" si="40"/>
        <v>0.7811126569050941</v>
      </c>
    </row>
    <row r="166" spans="7:20" ht="13.5">
      <c r="G166" s="128">
        <v>3.2</v>
      </c>
      <c r="H166" s="138">
        <f t="shared" si="25"/>
        <v>1584.8931924611156</v>
      </c>
      <c r="I166" s="138">
        <f t="shared" si="26"/>
        <v>9958.17762032063</v>
      </c>
      <c r="J166" s="138">
        <f t="shared" si="31"/>
        <v>0.01296111665004985</v>
      </c>
      <c r="K166" s="138" t="str">
        <f t="shared" si="32"/>
        <v>0.000739049941382424-0.750577414082039i</v>
      </c>
      <c r="L166" s="128">
        <f t="shared" si="33"/>
        <v>-2.492085954453958</v>
      </c>
      <c r="M166" s="128" t="str">
        <f t="shared" si="34"/>
        <v>0.0000095789125004701-0.00972832141881008i</v>
      </c>
      <c r="N166" s="128">
        <f t="shared" si="35"/>
        <v>-40.239237568725585</v>
      </c>
      <c r="O166" s="136">
        <f t="shared" si="36"/>
        <v>-89.94358419529875</v>
      </c>
      <c r="P166" s="134" t="str">
        <f>IMPRODUCT(gmv,IMDIV((COMPLEX(1,I166*(Rvcomp*kOhms)*(Cvcomp*uF))),IMPRODUCT((COMPLEX(0,data!I166*((Cvcomp*uF)+(Cvcomp_p*uF)))),(COMPLEX(1,I166*((Rvcomp*kOhms)*(Cvcomp*uF)*(Cvcomp_p*uF))/((Cvcomp*uF)+(Cvcomp_p*uF)))))))</f>
        <v>0.000081408222933021-0.00826899910785682i</v>
      </c>
      <c r="Q166" s="128">
        <f t="shared" si="37"/>
        <v>-41.650520183991866</v>
      </c>
      <c r="R166" s="128" t="str">
        <f t="shared" si="38"/>
        <v>-0.0000804427013308407-0.0000008711733777472i</v>
      </c>
      <c r="S166" s="128">
        <f t="shared" si="39"/>
        <v>-81.88975775271744</v>
      </c>
      <c r="T166" s="132">
        <f t="shared" si="40"/>
        <v>0.620474023131095</v>
      </c>
    </row>
    <row r="167" spans="1:20" ht="13.5">
      <c r="A167" s="270"/>
      <c r="B167" s="270"/>
      <c r="C167" s="270"/>
      <c r="D167" s="270"/>
      <c r="G167" s="128">
        <v>3.3</v>
      </c>
      <c r="H167" s="138">
        <f t="shared" si="25"/>
        <v>1995.2623149688804</v>
      </c>
      <c r="I167" s="138">
        <f t="shared" si="26"/>
        <v>12536.602861381598</v>
      </c>
      <c r="J167" s="138">
        <f t="shared" si="31"/>
        <v>0.01296111665004985</v>
      </c>
      <c r="K167" s="138" t="str">
        <f t="shared" si="32"/>
        <v>0.000466309155295397-0.596205045670137i</v>
      </c>
      <c r="L167" s="128">
        <f t="shared" si="33"/>
        <v>-4.4920844005751785</v>
      </c>
      <c r="M167" s="128" t="str">
        <f t="shared" si="34"/>
        <v>6.04388735676985E-06-0.00772748314427894i</v>
      </c>
      <c r="N167" s="128">
        <f t="shared" si="35"/>
        <v>-42.23923601484681</v>
      </c>
      <c r="O167" s="136">
        <f t="shared" si="36"/>
        <v>-89.95518732809654</v>
      </c>
      <c r="P167" s="134" t="str">
        <f>IMPRODUCT(gmv,IMDIV((COMPLEX(1,I167*(Rvcomp*kOhms)*(Cvcomp*uF))),IMPRODUCT((COMPLEX(0,data!I167*((Cvcomp*uF)+(Cvcomp_p*uF)))),(COMPLEX(1,I167*((Rvcomp*kOhms)*(Cvcomp*uF)*(Cvcomp_p*uF))/((Cvcomp*uF)+(Cvcomp_p*uF)))))))</f>
        <v>0.0000513673391531595-0.00656855788382125i</v>
      </c>
      <c r="Q167" s="128">
        <f t="shared" si="37"/>
        <v>-43.650333786455946</v>
      </c>
      <c r="R167" s="128" t="str">
        <f t="shared" si="38"/>
        <v>-0.0000507581098710376-4.36639871418738E-07i</v>
      </c>
      <c r="S167" s="128">
        <f t="shared" si="39"/>
        <v>-85.88956980130276</v>
      </c>
      <c r="T167" s="132">
        <f t="shared" si="40"/>
        <v>0.492867145429841</v>
      </c>
    </row>
    <row r="168" spans="1:20" ht="13.5">
      <c r="A168" s="131"/>
      <c r="B168" s="131"/>
      <c r="C168" s="131"/>
      <c r="D168" s="131"/>
      <c r="G168" s="128">
        <v>3.4</v>
      </c>
      <c r="H168" s="138">
        <f t="shared" si="25"/>
        <v>2511.886431509581</v>
      </c>
      <c r="I168" s="138">
        <f t="shared" si="26"/>
        <v>15782.647919764762</v>
      </c>
      <c r="J168" s="138">
        <f t="shared" si="31"/>
        <v>0.01296111665004985</v>
      </c>
      <c r="K168" s="138" t="str">
        <f t="shared" si="32"/>
        <v>0.000294221252753218-0.473582608373407i</v>
      </c>
      <c r="L168" s="128">
        <f t="shared" si="33"/>
        <v>-6.492083420143684</v>
      </c>
      <c r="M168" s="128" t="str">
        <f t="shared" si="34"/>
        <v>3.81343597785826E-06-0.0061381594305626i</v>
      </c>
      <c r="N168" s="128">
        <f t="shared" si="35"/>
        <v>-44.239235034415316</v>
      </c>
      <c r="O168" s="136">
        <f t="shared" si="36"/>
        <v>-89.96440402675502</v>
      </c>
      <c r="P168" s="134" t="str">
        <f>IMPRODUCT(gmv,IMDIV((COMPLEX(1,I168*(Rvcomp*kOhms)*(Cvcomp*uF))),IMPRODUCT((COMPLEX(0,data!I168*((Cvcomp*uF)+(Cvcomp_p*uF)))),(COMPLEX(1,I168*((Rvcomp*kOhms)*(Cvcomp*uF)*(Cvcomp_p*uF))/((Cvcomp*uF)+(Cvcomp_p*uF)))))))</f>
        <v>0.0000324114849568093-0.00521772051425687i</v>
      </c>
      <c r="Q168" s="128">
        <f t="shared" si="37"/>
        <v>-45.65021617337662</v>
      </c>
      <c r="R168" s="128" t="str">
        <f t="shared" si="38"/>
        <v>-0.0000320270767815029-2.18844305177653E-07i</v>
      </c>
      <c r="S168" s="128">
        <f t="shared" si="39"/>
        <v>-89.88945120779194</v>
      </c>
      <c r="T168" s="132">
        <f t="shared" si="40"/>
        <v>0.39150185314687747</v>
      </c>
    </row>
    <row r="169" spans="1:20" ht="13.5">
      <c r="A169" s="131"/>
      <c r="B169" s="131"/>
      <c r="C169" s="131"/>
      <c r="D169" s="131"/>
      <c r="G169" s="128">
        <v>3.5</v>
      </c>
      <c r="H169" s="138">
        <f t="shared" si="25"/>
        <v>3162.2776601683804</v>
      </c>
      <c r="I169" s="138">
        <f t="shared" si="26"/>
        <v>19869.17653159221</v>
      </c>
      <c r="J169" s="138">
        <f t="shared" si="31"/>
        <v>0.01296111665004985</v>
      </c>
      <c r="K169" s="138" t="str">
        <f t="shared" si="32"/>
        <v>0.000185641086769586-0.376180090888589i</v>
      </c>
      <c r="L169" s="128">
        <f t="shared" si="33"/>
        <v>-8.49208280153309</v>
      </c>
      <c r="M169" s="128" t="str">
        <f t="shared" si="34"/>
        <v>2.40611578066263E-06-0.00487571403943336i</v>
      </c>
      <c r="N169" s="128">
        <f t="shared" si="35"/>
        <v>-46.23923441580472</v>
      </c>
      <c r="O169" s="136">
        <f t="shared" si="36"/>
        <v>-89.97172511206652</v>
      </c>
      <c r="P169" s="134" t="str">
        <f>IMPRODUCT(gmv,IMDIV((COMPLEX(1,I169*(Rvcomp*kOhms)*(Cvcomp*uF))),IMPRODUCT((COMPLEX(0,data!I169*((Cvcomp*uF)+(Cvcomp_p*uF)))),(COMPLEX(1,I169*((Rvcomp*kOhms)*(Cvcomp*uF)*(Cvcomp_p*uF))/((Cvcomp*uF)+(Cvcomp_p*uF)))))))</f>
        <v>0.0000204506168401363-0.00414464764490129i</v>
      </c>
      <c r="Q169" s="128">
        <f t="shared" si="37"/>
        <v>-47.65014196287427</v>
      </c>
      <c r="R169" s="128" t="str">
        <f t="shared" si="38"/>
        <v>-0.0000202080675041977-1.09683861746208E-07i</v>
      </c>
      <c r="S169" s="128">
        <f t="shared" si="39"/>
        <v>-93.88937637867899</v>
      </c>
      <c r="T169" s="132">
        <f t="shared" si="40"/>
        <v>0.3109827619619807</v>
      </c>
    </row>
    <row r="170" spans="1:20" ht="13.5">
      <c r="A170" s="131"/>
      <c r="B170" s="131"/>
      <c r="C170" s="131"/>
      <c r="D170" s="131"/>
      <c r="G170" s="128">
        <v>3.6</v>
      </c>
      <c r="H170" s="138">
        <f t="shared" si="25"/>
        <v>3981.071705534977</v>
      </c>
      <c r="I170" s="138">
        <f t="shared" si="26"/>
        <v>25013.81124704574</v>
      </c>
      <c r="J170" s="138">
        <f t="shared" si="31"/>
        <v>0.01296111665004985</v>
      </c>
      <c r="K170" s="138" t="str">
        <f t="shared" si="32"/>
        <v>0.000117131617661617-0.298810494389183i</v>
      </c>
      <c r="L170" s="128">
        <f t="shared" si="33"/>
        <v>-10.492082411216195</v>
      </c>
      <c r="M170" s="128" t="str">
        <f t="shared" si="34"/>
        <v>1.51815655992126E-06-0.00387291767403727i</v>
      </c>
      <c r="N170" s="128">
        <f t="shared" si="35"/>
        <v>-48.23923402548782</v>
      </c>
      <c r="O170" s="136">
        <f t="shared" si="36"/>
        <v>-89.97754045750794</v>
      </c>
      <c r="P170" s="134" t="str">
        <f>IMPRODUCT(gmv,IMDIV((COMPLEX(1,I170*(Rvcomp*kOhms)*(Cvcomp*uF))),IMPRODUCT((COMPLEX(0,data!I170*((Cvcomp*uF)+(Cvcomp_p*uF)))),(COMPLEX(1,I170*((Rvcomp*kOhms)*(Cvcomp*uF)*(Cvcomp_p*uF))/((Cvcomp*uF)+(Cvcomp_p*uF)))))))</f>
        <v>0.0000129036071758682-0.0032922431850811i</v>
      </c>
      <c r="Q170" s="128">
        <f t="shared" si="37"/>
        <v>-49.65009513854933</v>
      </c>
      <c r="R170" s="128" t="str">
        <f t="shared" si="38"/>
        <v>-0.0000127505672290335-5.4972748878541E-08i</v>
      </c>
      <c r="S170" s="128">
        <f t="shared" si="39"/>
        <v>-97.88932916403712</v>
      </c>
      <c r="T170" s="132">
        <f t="shared" si="40"/>
        <v>0.24702328350474545</v>
      </c>
    </row>
    <row r="171" spans="1:20" ht="13.5">
      <c r="A171" s="131"/>
      <c r="B171" s="131"/>
      <c r="C171" s="131"/>
      <c r="D171" s="131"/>
      <c r="G171" s="128">
        <v>3.7</v>
      </c>
      <c r="H171" s="138">
        <f t="shared" si="25"/>
        <v>5011.872336272732</v>
      </c>
      <c r="I171" s="138">
        <f t="shared" si="26"/>
        <v>31490.52262472866</v>
      </c>
      <c r="J171" s="138">
        <f t="shared" si="31"/>
        <v>0.01296111665004985</v>
      </c>
      <c r="K171" s="138" t="str">
        <f t="shared" si="32"/>
        <v>0.0000739050586253427-0.237353625984751i</v>
      </c>
      <c r="L171" s="128">
        <f t="shared" si="33"/>
        <v>-12.492082164942833</v>
      </c>
      <c r="M171" s="128" t="str">
        <f t="shared" si="34"/>
        <v>9.5789208587184E-07-0.00307636803370066i</v>
      </c>
      <c r="N171" s="128">
        <f t="shared" si="35"/>
        <v>-50.23923377921446</v>
      </c>
      <c r="O171" s="136">
        <f t="shared" si="36"/>
        <v>-89.98215975092235</v>
      </c>
      <c r="P171" s="134" t="str">
        <f>IMPRODUCT(gmv,IMDIV((COMPLEX(1,I171*(Rvcomp*kOhms)*(Cvcomp*uF))),IMPRODUCT((COMPLEX(0,data!I171*((Cvcomp*uF)+(Cvcomp_p*uF)))),(COMPLEX(1,I171*((Rvcomp*kOhms)*(Cvcomp*uF)*(Cvcomp_p*uF))/((Cvcomp*uF)+(Cvcomp_p*uF)))))))</f>
        <v>8.14168156593624E-06-0.00261513802528381i</v>
      </c>
      <c r="Q171" s="128">
        <f t="shared" si="37"/>
        <v>-51.65006559413361</v>
      </c>
      <c r="R171" s="128" t="str">
        <f t="shared" si="38"/>
        <v>-8.04511922584584E-06-2.75518289278981E-08i</v>
      </c>
      <c r="S171" s="128">
        <f t="shared" si="39"/>
        <v>-101.88929937334807</v>
      </c>
      <c r="T171" s="132">
        <f t="shared" si="40"/>
        <v>0.1962180173725585</v>
      </c>
    </row>
    <row r="172" spans="1:20" ht="13.5">
      <c r="A172" s="131"/>
      <c r="B172" s="131"/>
      <c r="C172" s="131"/>
      <c r="D172" s="131"/>
      <c r="G172" s="128">
        <v>3.8</v>
      </c>
      <c r="H172" s="138">
        <f t="shared" si="25"/>
        <v>6309.573444801938</v>
      </c>
      <c r="I172" s="138">
        <f t="shared" si="26"/>
        <v>39644.21916295003</v>
      </c>
      <c r="J172" s="138">
        <f t="shared" si="31"/>
        <v>0.01296111665004985</v>
      </c>
      <c r="K172" s="138" t="str">
        <f t="shared" si="32"/>
        <v>0.0000466309412023266-0.188536693479605i</v>
      </c>
      <c r="L172" s="128">
        <f t="shared" si="33"/>
        <v>-14.492082009554865</v>
      </c>
      <c r="M172" s="128" t="str">
        <f t="shared" si="34"/>
        <v>6.04389068424971E-07-0.00244364607700385i</v>
      </c>
      <c r="N172" s="128">
        <f t="shared" si="35"/>
        <v>-52.2392336238265</v>
      </c>
      <c r="O172" s="136">
        <f t="shared" si="36"/>
        <v>-89.9858289862741</v>
      </c>
      <c r="P172" s="134" t="str">
        <f>IMPRODUCT(gmv,IMDIV((COMPLEX(1,I172*(Rvcomp*kOhms)*(Cvcomp*uF))),IMPRODUCT((COMPLEX(0,data!I172*((Cvcomp*uF)+(Cvcomp_p*uF)))),(COMPLEX(1,I172*((Rvcomp*kOhms)*(Cvcomp*uF)*(Cvcomp_p*uF))/((Cvcomp*uF)+(Cvcomp_p*uF)))))))</f>
        <v>5.13707601419844E-06-0.00207728614453429i</v>
      </c>
      <c r="Q172" s="128">
        <f t="shared" si="37"/>
        <v>-53.650046952762345</v>
      </c>
      <c r="R172" s="128" t="str">
        <f t="shared" si="38"/>
        <v>-5.07614903311308E-06-1.38086846871138E-08i</v>
      </c>
      <c r="S172" s="128">
        <f t="shared" si="39"/>
        <v>-105.88928057658887</v>
      </c>
      <c r="T172" s="132">
        <f t="shared" si="40"/>
        <v>0.15586173622006072</v>
      </c>
    </row>
    <row r="173" spans="1:20" ht="13.5">
      <c r="A173" s="131"/>
      <c r="B173" s="131"/>
      <c r="C173" s="131"/>
      <c r="D173" s="131"/>
      <c r="G173" s="128">
        <v>3.9</v>
      </c>
      <c r="H173" s="138">
        <f t="shared" si="25"/>
        <v>7943.282347242815</v>
      </c>
      <c r="I173" s="138">
        <f t="shared" si="26"/>
        <v>49909.114934975034</v>
      </c>
      <c r="J173" s="138">
        <f t="shared" si="31"/>
        <v>0.01296111665004985</v>
      </c>
      <c r="K173" s="138" t="str">
        <f t="shared" si="32"/>
        <v>0.0000294221354958449-0.149760022293282i</v>
      </c>
      <c r="L173" s="128">
        <f t="shared" si="33"/>
        <v>-16.492081911511665</v>
      </c>
      <c r="M173" s="128" t="str">
        <f t="shared" si="34"/>
        <v>3.81343730255218E-07-0.00194105711845729i</v>
      </c>
      <c r="N173" s="128">
        <f t="shared" si="35"/>
        <v>-54.23923352578331</v>
      </c>
      <c r="O173" s="136">
        <f t="shared" si="36"/>
        <v>-89.98874356359815</v>
      </c>
      <c r="P173" s="134" t="str">
        <f>IMPRODUCT(gmv,IMDIV((COMPLEX(1,I173*(Rvcomp*kOhms)*(Cvcomp*uF))),IMPRODUCT((COMPLEX(0,data!I173*((Cvcomp*uF)+(Cvcomp_p*uF)))),(COMPLEX(1,I173*((Rvcomp*kOhms)*(Cvcomp*uF)*(Cvcomp_p*uF))/((Cvcomp*uF)+(Cvcomp_p*uF)))))))</f>
        <v>3.24128469179007E-06-0.00165005113261285i</v>
      </c>
      <c r="Q173" s="128">
        <f t="shared" si="37"/>
        <v>-55.6500351908104</v>
      </c>
      <c r="R173" s="128" t="str">
        <f t="shared" si="38"/>
        <v>-3.20284226073309E-06-6.92075537796819E-09i</v>
      </c>
      <c r="S173" s="128">
        <f t="shared" si="39"/>
        <v>-109.88926871659372</v>
      </c>
      <c r="T173" s="132">
        <f t="shared" si="40"/>
        <v>0.12380549048984335</v>
      </c>
    </row>
    <row r="174" spans="1:20" ht="14.25" thickBot="1">
      <c r="A174" s="131"/>
      <c r="B174" s="131"/>
      <c r="C174" s="131"/>
      <c r="D174" s="131"/>
      <c r="G174" s="128">
        <v>4</v>
      </c>
      <c r="H174" s="138">
        <f t="shared" si="25"/>
        <v>10000</v>
      </c>
      <c r="I174" s="138">
        <f t="shared" si="26"/>
        <v>62831.853071795864</v>
      </c>
      <c r="J174" s="138">
        <f t="shared" si="31"/>
        <v>0.01296111665004985</v>
      </c>
      <c r="K174" s="138" t="str">
        <f t="shared" si="32"/>
        <v>0.0000185641127458227-0.118958615834943i</v>
      </c>
      <c r="L174" s="128">
        <f t="shared" si="33"/>
        <v>-18.49208184965058</v>
      </c>
      <c r="M174" s="128" t="str">
        <f t="shared" si="34"/>
        <v>2.40611630803285E-07-0.00154183649636516i</v>
      </c>
      <c r="N174" s="128">
        <f t="shared" si="35"/>
        <v>-56.23923346392223</v>
      </c>
      <c r="O174" s="136">
        <f t="shared" si="36"/>
        <v>-89.99105869470118</v>
      </c>
      <c r="P174" s="141" t="str">
        <f>IMPRODUCT(gmv,IMDIV((COMPLEX(1,I174*(Rvcomp*kOhms)*(Cvcomp*uF))),IMPRODUCT((COMPLEX(0,data!I174*((Cvcomp*uF)+(Cvcomp_p*uF)))),(COMPLEX(1,I174*((Rvcomp*kOhms)*(Cvcomp*uF)*(Cvcomp_p*uF))/((Cvcomp*uF)+(Cvcomp_p*uF)))))))</f>
        <v>2.04511590568895E-06-0.00131068425644957i</v>
      </c>
      <c r="Q174" s="142">
        <f t="shared" si="37"/>
        <v>-57.65002776950372</v>
      </c>
      <c r="R174" s="142" t="str">
        <f t="shared" si="38"/>
        <v>-2.02086032972651E-06-3.46860021910063E-09i</v>
      </c>
      <c r="S174" s="142">
        <f t="shared" si="39"/>
        <v>-113.88926123342593</v>
      </c>
      <c r="T174" s="143">
        <f t="shared" si="40"/>
        <v>0.09834225319249867</v>
      </c>
    </row>
    <row r="175" spans="1:4" ht="13.5">
      <c r="A175" s="131"/>
      <c r="B175" s="131"/>
      <c r="C175" s="131"/>
      <c r="D175" s="131"/>
    </row>
    <row r="176" spans="1:4" ht="13.5">
      <c r="A176" s="131"/>
      <c r="B176" s="131"/>
      <c r="C176" s="131"/>
      <c r="D176" s="131"/>
    </row>
    <row r="177" spans="1:4" ht="13.5">
      <c r="A177" s="131"/>
      <c r="B177" s="131"/>
      <c r="C177" s="131"/>
      <c r="D177" s="131"/>
    </row>
    <row r="178" spans="1:4" ht="13.5">
      <c r="A178" s="131"/>
      <c r="B178" s="131"/>
      <c r="C178" s="131"/>
      <c r="D178" s="131"/>
    </row>
    <row r="179" spans="1:4" ht="13.5">
      <c r="A179" s="131"/>
      <c r="B179" s="131"/>
      <c r="C179" s="131"/>
      <c r="D179" s="131"/>
    </row>
    <row r="180" spans="1:4" ht="13.5">
      <c r="A180" s="263" t="s">
        <v>275</v>
      </c>
      <c r="B180" s="263"/>
      <c r="C180" s="263"/>
      <c r="D180" s="131"/>
    </row>
    <row r="181" spans="1:4" ht="13.5">
      <c r="A181" s="90">
        <v>100</v>
      </c>
      <c r="B181" s="90">
        <v>105</v>
      </c>
      <c r="C181" s="91"/>
      <c r="D181" s="131"/>
    </row>
    <row r="182" spans="1:4" ht="13.5">
      <c r="A182" s="90">
        <v>105</v>
      </c>
      <c r="B182" s="90">
        <v>110</v>
      </c>
      <c r="C182" s="91"/>
      <c r="D182" s="131"/>
    </row>
    <row r="183" spans="1:4" ht="13.5">
      <c r="A183" s="90">
        <v>110</v>
      </c>
      <c r="B183" s="90">
        <v>115</v>
      </c>
      <c r="C183" s="91"/>
      <c r="D183" s="131"/>
    </row>
    <row r="184" spans="1:4" ht="13.5">
      <c r="A184" s="90">
        <v>115</v>
      </c>
      <c r="B184" s="90">
        <v>121</v>
      </c>
      <c r="C184" s="91"/>
      <c r="D184" s="131"/>
    </row>
    <row r="185" spans="1:4" ht="13.5">
      <c r="A185" s="90">
        <v>121</v>
      </c>
      <c r="B185" s="90">
        <v>127</v>
      </c>
      <c r="C185" s="91"/>
      <c r="D185" s="131"/>
    </row>
    <row r="186" spans="1:4" ht="13.5">
      <c r="A186" s="90">
        <v>127</v>
      </c>
      <c r="B186" s="90">
        <v>133</v>
      </c>
      <c r="C186" s="91"/>
      <c r="D186" s="131"/>
    </row>
    <row r="187" spans="1:4" ht="13.5">
      <c r="A187" s="90">
        <v>133</v>
      </c>
      <c r="B187" s="90">
        <v>140</v>
      </c>
      <c r="C187" s="91"/>
      <c r="D187" s="131"/>
    </row>
    <row r="188" spans="1:4" ht="13.5">
      <c r="A188" s="90">
        <v>140</v>
      </c>
      <c r="B188" s="90">
        <v>147</v>
      </c>
      <c r="C188" s="91"/>
      <c r="D188" s="131"/>
    </row>
    <row r="189" spans="1:4" ht="13.5">
      <c r="A189" s="90">
        <v>147</v>
      </c>
      <c r="B189" s="90">
        <v>154</v>
      </c>
      <c r="C189" s="91"/>
      <c r="D189" s="131"/>
    </row>
    <row r="190" spans="1:4" ht="13.5">
      <c r="A190" s="90">
        <v>154</v>
      </c>
      <c r="B190" s="90">
        <v>162</v>
      </c>
      <c r="C190" s="91"/>
      <c r="D190" s="131"/>
    </row>
    <row r="191" spans="1:4" ht="13.5">
      <c r="A191" s="90">
        <v>162</v>
      </c>
      <c r="B191" s="90">
        <v>169</v>
      </c>
      <c r="C191" s="91"/>
      <c r="D191" s="131"/>
    </row>
    <row r="192" spans="1:4" ht="13.5">
      <c r="A192" s="90">
        <v>169</v>
      </c>
      <c r="B192" s="90">
        <v>178</v>
      </c>
      <c r="C192" s="91"/>
      <c r="D192" s="131"/>
    </row>
    <row r="193" spans="1:4" ht="13.5">
      <c r="A193" s="90">
        <v>178</v>
      </c>
      <c r="B193" s="90">
        <v>187</v>
      </c>
      <c r="C193" s="91"/>
      <c r="D193" s="131"/>
    </row>
    <row r="194" spans="1:4" ht="13.5">
      <c r="A194" s="90">
        <v>187</v>
      </c>
      <c r="B194" s="90">
        <v>196</v>
      </c>
      <c r="C194" s="91"/>
      <c r="D194" s="131"/>
    </row>
    <row r="195" spans="1:4" ht="13.5">
      <c r="A195" s="90">
        <v>196</v>
      </c>
      <c r="B195" s="90">
        <v>205</v>
      </c>
      <c r="C195" s="91"/>
      <c r="D195" s="131"/>
    </row>
    <row r="196" spans="1:4" ht="13.5">
      <c r="A196" s="90">
        <v>205</v>
      </c>
      <c r="B196" s="90">
        <v>215</v>
      </c>
      <c r="C196" s="91"/>
      <c r="D196" s="131"/>
    </row>
    <row r="197" spans="1:4" ht="13.5">
      <c r="A197" s="90">
        <v>215</v>
      </c>
      <c r="B197" s="90">
        <v>226</v>
      </c>
      <c r="C197" s="91"/>
      <c r="D197" s="131"/>
    </row>
    <row r="198" spans="1:4" ht="13.5">
      <c r="A198" s="90">
        <v>226</v>
      </c>
      <c r="B198" s="90">
        <v>237</v>
      </c>
      <c r="C198" s="91"/>
      <c r="D198" s="131"/>
    </row>
    <row r="199" spans="1:4" ht="13.5">
      <c r="A199" s="90">
        <v>237</v>
      </c>
      <c r="B199" s="90">
        <v>249</v>
      </c>
      <c r="C199" s="91"/>
      <c r="D199" s="131"/>
    </row>
    <row r="200" spans="1:4" ht="13.5">
      <c r="A200" s="90">
        <v>249</v>
      </c>
      <c r="B200" s="90">
        <v>261</v>
      </c>
      <c r="C200" s="91"/>
      <c r="D200" s="131"/>
    </row>
    <row r="201" spans="1:4" ht="13.5">
      <c r="A201" s="90">
        <v>261</v>
      </c>
      <c r="B201" s="90">
        <v>274</v>
      </c>
      <c r="C201" s="91"/>
      <c r="D201" s="131"/>
    </row>
    <row r="202" spans="1:4" ht="13.5">
      <c r="A202" s="90">
        <v>274</v>
      </c>
      <c r="B202" s="90">
        <v>287</v>
      </c>
      <c r="C202" s="91"/>
      <c r="D202" s="131"/>
    </row>
    <row r="203" spans="1:4" ht="13.5">
      <c r="A203" s="90">
        <v>287</v>
      </c>
      <c r="B203" s="90">
        <v>301</v>
      </c>
      <c r="C203" s="91"/>
      <c r="D203" s="131"/>
    </row>
    <row r="204" spans="1:4" ht="13.5">
      <c r="A204" s="90">
        <v>301</v>
      </c>
      <c r="B204" s="90">
        <v>316</v>
      </c>
      <c r="C204" s="91"/>
      <c r="D204" s="131"/>
    </row>
    <row r="205" spans="1:4" ht="13.5">
      <c r="A205" s="90">
        <v>316</v>
      </c>
      <c r="B205" s="90">
        <v>332</v>
      </c>
      <c r="C205" s="91"/>
      <c r="D205" s="131"/>
    </row>
    <row r="206" spans="1:4" ht="13.5">
      <c r="A206" s="90">
        <v>332</v>
      </c>
      <c r="B206" s="90">
        <v>348</v>
      </c>
      <c r="C206" s="91"/>
      <c r="D206" s="131"/>
    </row>
    <row r="207" spans="1:4" ht="13.5">
      <c r="A207" s="90">
        <v>348</v>
      </c>
      <c r="B207" s="90">
        <v>365</v>
      </c>
      <c r="C207" s="91"/>
      <c r="D207" s="131"/>
    </row>
    <row r="208" spans="1:4" ht="13.5">
      <c r="A208" s="90">
        <v>365</v>
      </c>
      <c r="B208" s="90">
        <v>383</v>
      </c>
      <c r="C208" s="91"/>
      <c r="D208" s="131"/>
    </row>
    <row r="209" spans="1:4" ht="13.5">
      <c r="A209" s="90">
        <v>383</v>
      </c>
      <c r="B209" s="90">
        <v>402</v>
      </c>
      <c r="C209" s="91"/>
      <c r="D209" s="131"/>
    </row>
    <row r="210" spans="1:4" ht="13.5">
      <c r="A210" s="90">
        <v>402</v>
      </c>
      <c r="B210" s="90">
        <v>422</v>
      </c>
      <c r="C210" s="91"/>
      <c r="D210" s="131"/>
    </row>
    <row r="211" spans="1:4" ht="13.5">
      <c r="A211" s="90">
        <v>422</v>
      </c>
      <c r="B211" s="90">
        <v>442</v>
      </c>
      <c r="C211" s="91"/>
      <c r="D211" s="131"/>
    </row>
    <row r="212" spans="1:4" ht="13.5">
      <c r="A212" s="90">
        <v>442</v>
      </c>
      <c r="B212" s="90">
        <v>464</v>
      </c>
      <c r="C212" s="91"/>
      <c r="D212" s="131"/>
    </row>
    <row r="213" spans="1:4" ht="13.5">
      <c r="A213" s="90">
        <v>464</v>
      </c>
      <c r="B213" s="90">
        <v>487</v>
      </c>
      <c r="C213" s="91"/>
      <c r="D213" s="131"/>
    </row>
    <row r="214" spans="1:4" ht="13.5">
      <c r="A214" s="90">
        <v>487</v>
      </c>
      <c r="B214" s="90">
        <v>511</v>
      </c>
      <c r="C214" s="91"/>
      <c r="D214" s="131"/>
    </row>
    <row r="215" spans="1:4" ht="13.5">
      <c r="A215" s="90">
        <v>511</v>
      </c>
      <c r="B215" s="90">
        <v>536</v>
      </c>
      <c r="C215" s="91"/>
      <c r="D215" s="131"/>
    </row>
    <row r="216" spans="1:6" ht="15.75">
      <c r="A216" s="90">
        <v>536</v>
      </c>
      <c r="B216" s="90">
        <v>562</v>
      </c>
      <c r="C216" s="91"/>
      <c r="D216" s="131"/>
      <c r="E216" s="127" t="s">
        <v>316</v>
      </c>
      <c r="F216" s="127">
        <v>5</v>
      </c>
    </row>
    <row r="217" spans="1:6" ht="15.75">
      <c r="A217" s="90">
        <v>562</v>
      </c>
      <c r="B217" s="90">
        <v>590</v>
      </c>
      <c r="C217" s="91"/>
      <c r="D217" s="131"/>
      <c r="E217" s="127" t="s">
        <v>317</v>
      </c>
      <c r="F217" s="127">
        <v>4.93</v>
      </c>
    </row>
    <row r="218" spans="1:6" ht="15.75">
      <c r="A218" s="90">
        <v>590</v>
      </c>
      <c r="B218" s="90">
        <v>619</v>
      </c>
      <c r="C218" s="91"/>
      <c r="D218" s="131"/>
      <c r="E218" s="127" t="s">
        <v>318</v>
      </c>
      <c r="F218" s="127">
        <v>5.07</v>
      </c>
    </row>
    <row r="219" spans="1:4" ht="13.5">
      <c r="A219" s="90">
        <v>619</v>
      </c>
      <c r="B219" s="90">
        <v>649</v>
      </c>
      <c r="C219" s="91"/>
      <c r="D219" s="131"/>
    </row>
    <row r="220" spans="1:4" ht="13.5">
      <c r="A220" s="90">
        <v>649</v>
      </c>
      <c r="B220" s="90">
        <v>681</v>
      </c>
      <c r="C220" s="91"/>
      <c r="D220" s="131"/>
    </row>
    <row r="221" spans="1:4" ht="13.5">
      <c r="A221" s="90">
        <v>681</v>
      </c>
      <c r="B221" s="90">
        <v>715</v>
      </c>
      <c r="C221" s="91"/>
      <c r="D221" s="131"/>
    </row>
    <row r="222" spans="1:4" ht="13.5">
      <c r="A222" s="90">
        <v>715</v>
      </c>
      <c r="B222" s="90">
        <v>750</v>
      </c>
      <c r="C222" s="91"/>
      <c r="D222" s="131"/>
    </row>
    <row r="223" spans="1:4" ht="13.5">
      <c r="A223" s="90">
        <v>750</v>
      </c>
      <c r="B223" s="90">
        <v>787</v>
      </c>
      <c r="C223" s="91"/>
      <c r="D223" s="131"/>
    </row>
    <row r="224" spans="1:4" ht="13.5">
      <c r="A224" s="90">
        <v>787</v>
      </c>
      <c r="B224" s="90">
        <v>825</v>
      </c>
      <c r="C224" s="91"/>
      <c r="D224" s="131"/>
    </row>
    <row r="225" spans="1:5" ht="13.5">
      <c r="A225" s="90">
        <v>825</v>
      </c>
      <c r="B225" s="90">
        <v>866</v>
      </c>
      <c r="C225" s="91"/>
      <c r="D225" s="131"/>
      <c r="E225" s="144" t="s">
        <v>311</v>
      </c>
    </row>
    <row r="226" spans="1:4" ht="13.5">
      <c r="A226" s="90">
        <v>866</v>
      </c>
      <c r="B226" s="90">
        <v>909</v>
      </c>
      <c r="C226" s="91"/>
      <c r="D226" s="131"/>
    </row>
    <row r="227" spans="1:6" ht="15.75">
      <c r="A227" s="90">
        <v>909</v>
      </c>
      <c r="B227" s="90">
        <v>953</v>
      </c>
      <c r="C227" s="91"/>
      <c r="D227" s="131"/>
      <c r="E227" s="127" t="s">
        <v>420</v>
      </c>
      <c r="F227" s="127">
        <f>((L_I_ripple_factor*Iin_peak_max)/(8*fsw*kHz*Vin_ripple))/picoF</f>
        <v>214886.12478370446</v>
      </c>
    </row>
    <row r="228" spans="1:7" ht="13.5">
      <c r="A228" s="90">
        <v>953</v>
      </c>
      <c r="B228" s="90">
        <v>1000</v>
      </c>
      <c r="C228" s="91"/>
      <c r="D228" s="131"/>
      <c r="F228" s="127">
        <f>(IF(Cin_initial&lt;10000,F229*10^INT(LOG(Cin_initial)),F230*10^INT(LOG(Cin_initial))*uF))</f>
        <v>0.22000000000000003</v>
      </c>
      <c r="G228" s="127" t="str">
        <f>IF(Cin_initial&lt;10000,"pF",I236)</f>
        <v>µF</v>
      </c>
    </row>
    <row r="229" spans="1:6" ht="13.5">
      <c r="A229" s="131"/>
      <c r="B229" s="131"/>
      <c r="C229" s="131"/>
      <c r="D229" s="131"/>
      <c r="F229" s="127">
        <f>IF((10^(LOG(Cin_initial)-INT(LOG(Cin_initial))))-VLOOKUP((10^(LOG(Cin_initial)-INT(LOG(Cin_initial)))),C_s1:C_f1,1)&lt;VLOOKUP((10^(LOG(Cin_initial)-INT(LOG(Cin_initial)))),C_s1:C_f1,2)-(10^(LOG(Cin_initial)-INT(LOG(Cin_initial)))),VLOOKUP((10^(LOG(Cin_initial)-INT(LOG(Cin_initial)))),C_s1:C_f1,1),VLOOKUP((10^(LOG(Cin_initial)-INT(LOG(Cin_initial)))),C_s1:C_f1,2))</f>
        <v>2.2</v>
      </c>
    </row>
    <row r="230" spans="1:6" ht="13.5">
      <c r="A230" s="131"/>
      <c r="B230" s="131"/>
      <c r="C230" s="131"/>
      <c r="D230" s="131"/>
      <c r="F230" s="127">
        <f>IF((10^(LOG(Cin_initial)-INT(LOG(Cin_initial))))-VLOOKUP((10^(LOG(Cin_initial)-INT(LOG(Cin_initial)))),C_s2:C_f2,1)&lt;VLOOKUP((10^(LOG(Cin_initial)-INT(LOG(Cin_initial)))),C_s2:C_f2,2)-(10^(LOG(Cin_initial)-INT(LOG(Cin_initial)))),VLOOKUP((10^(LOG(Cin_initial)-INT(LOG(Cin_initial)))),C_s2:C_f2,1),VLOOKUP((10^(LOG(Cin_initial)-INT(LOG(Cin_initial)))),C_s2:C_f2,2))</f>
        <v>2.2</v>
      </c>
    </row>
    <row r="231" spans="1:4" ht="13.5">
      <c r="A231" s="131"/>
      <c r="B231" s="131"/>
      <c r="C231" s="131"/>
      <c r="D231" s="131"/>
    </row>
    <row r="232" spans="1:6" ht="15.75">
      <c r="A232" s="264" t="s">
        <v>276</v>
      </c>
      <c r="B232" s="264"/>
      <c r="C232" s="264"/>
      <c r="D232" s="131"/>
      <c r="E232" s="127" t="s">
        <v>279</v>
      </c>
      <c r="F232" s="127">
        <f>((1*MegOhm*32.7*kOhms*65*kHz)/((1*MegOhm*fSW_target*kHz)+(32.7*kOhms*fSW_target*kHz)-(32.7*kOhms*65*kHz)))/kOhms</f>
        <v>14.920763061371336</v>
      </c>
    </row>
    <row r="233" spans="1:7" ht="14.25">
      <c r="A233" s="264" t="s">
        <v>277</v>
      </c>
      <c r="B233" s="264"/>
      <c r="C233" s="264"/>
      <c r="D233" s="131"/>
      <c r="F233" s="127">
        <f>(IF((10^(LOG(Rfreq_initial)-INT(LOG(Rfreq_initial)))*100)-VLOOKUP((10^(LOG(Rfreq_initial)-INT(LOG(Rfreq_initial)))*100),E_48s:E_48f,1)&lt;VLOOKUP((10^(LOG(Rfreq_initial)-INT(LOG(Rfreq_initial)))*100),E_48s:E_48f,2)-(10^(LOG(Rfreq_initial)-INT(LOG(Rfreq_initial)))*100),VLOOKUP((10^(LOG(Rfreq_initial)-INT(LOG(Rfreq_initial)))*100),E_48s:E_48f,1),VLOOKUP((10^(LOG(Rfreq_initial)-INT(LOG(Rfreq_initial)))*100),E_48s:E_48f,2)))*10^INT(LOG(Rfreq_initial))/100</f>
        <v>14.7</v>
      </c>
      <c r="G233" s="127" t="s">
        <v>280</v>
      </c>
    </row>
    <row r="234" spans="1:4" ht="13.5">
      <c r="A234" s="91">
        <v>1</v>
      </c>
      <c r="B234" s="91">
        <v>1.2</v>
      </c>
      <c r="C234" s="91"/>
      <c r="D234" s="131"/>
    </row>
    <row r="235" spans="1:6" ht="15.75">
      <c r="A235" s="91">
        <v>1.2</v>
      </c>
      <c r="B235" s="91">
        <v>1.5</v>
      </c>
      <c r="C235" s="91"/>
      <c r="D235" s="131"/>
      <c r="E235" s="127" t="s">
        <v>312</v>
      </c>
      <c r="F235" s="127">
        <f>(((2*Pout*t_holdup*ms)/((Vout^2)-(Vout_holdup^2))))/picoF</f>
        <v>1064834693.001288</v>
      </c>
    </row>
    <row r="236" spans="1:9" ht="15.75">
      <c r="A236" s="91">
        <v>1.5</v>
      </c>
      <c r="B236" s="91">
        <v>1.8</v>
      </c>
      <c r="C236" s="91"/>
      <c r="D236" s="131"/>
      <c r="E236" s="127" t="s">
        <v>312</v>
      </c>
      <c r="F236" s="127">
        <f>(IF(Cout_initial&lt;10000,F237*10^INT(LOG(Cout_initial)),F238*10^INT(LOG(Cout_initial))*uF))</f>
        <v>1000</v>
      </c>
      <c r="G236" s="127" t="str">
        <f>IF(Cout_initial&lt;10000,"pF",I236)</f>
        <v>µF</v>
      </c>
      <c r="I236" s="127" t="s">
        <v>320</v>
      </c>
    </row>
    <row r="237" spans="1:6" ht="13.5">
      <c r="A237" s="91">
        <v>1.8</v>
      </c>
      <c r="B237" s="91">
        <v>2.2</v>
      </c>
      <c r="C237" s="91"/>
      <c r="D237" s="131"/>
      <c r="F237" s="127">
        <f>IF((10^(LOG(Cout_initial)-INT(LOG(Cout_initial))))-VLOOKUP((10^(LOG(Cout_initial)-INT(LOG(Cout_initial)))),C_s1:C_f1,1)&lt;VLOOKUP((10^(LOG(Cout_initial)-INT(LOG(Cout_initial)))),C_s1:C_f1,2)-(10^(LOG(Cout_initial)-INT(LOG(Cout_initial)))),VLOOKUP((10^(LOG(Cout_initial)-INT(LOG(Cout_initial)))),C_s1:C_f1,1),VLOOKUP((10^(LOG(Cout_initial)-INT(LOG(Cout_initial)))),C_s1:C_f1,2))</f>
        <v>1</v>
      </c>
    </row>
    <row r="238" spans="1:6" ht="13.5">
      <c r="A238" s="91">
        <v>2.2</v>
      </c>
      <c r="B238" s="91">
        <v>2.7</v>
      </c>
      <c r="C238" s="91"/>
      <c r="D238" s="131"/>
      <c r="F238" s="127">
        <f>IF((10^(LOG(Cout_initial)-INT(LOG(Cout_initial))))-VLOOKUP((10^(LOG(Cout_initial)-INT(LOG(Cout_initial)))),C_s2:C_f2,1)&lt;VLOOKUP((10^(LOG(Cout_initial)-INT(LOG(Cout_initial)))),C_s2:C_f2,2)-(10^(LOG(Cout_initial)-INT(LOG(Cout_initial)))),VLOOKUP((10^(LOG(Cout_initial)-INT(LOG(Cout_initial)))),C_s2:C_f2,1),VLOOKUP((10^(LOG(Cout_initial)-INT(LOG(Cout_initial)))),C_s2:C_f2,2))</f>
        <v>1</v>
      </c>
    </row>
    <row r="239" spans="1:4" ht="13.5">
      <c r="A239" s="91">
        <v>2.7</v>
      </c>
      <c r="B239" s="91">
        <v>3.3</v>
      </c>
      <c r="C239" s="91"/>
      <c r="D239" s="131"/>
    </row>
    <row r="240" spans="1:4" ht="13.5">
      <c r="A240" s="91">
        <v>3.3</v>
      </c>
      <c r="B240" s="91">
        <v>3.9</v>
      </c>
      <c r="C240" s="91"/>
      <c r="D240" s="131"/>
    </row>
    <row r="241" spans="1:6" ht="15.75">
      <c r="A241" s="91">
        <v>3.9</v>
      </c>
      <c r="B241" s="91">
        <v>4.7</v>
      </c>
      <c r="C241" s="91"/>
      <c r="D241" s="131"/>
      <c r="E241" s="127" t="s">
        <v>315</v>
      </c>
      <c r="F241" s="127">
        <f>(VREF*R_fb1*kOhms)/(Vout-VREF)</f>
        <v>13.026315789473685</v>
      </c>
    </row>
    <row r="242" spans="1:7" ht="14.25">
      <c r="A242" s="91">
        <v>4.7</v>
      </c>
      <c r="B242" s="91">
        <v>5.6</v>
      </c>
      <c r="C242" s="91"/>
      <c r="D242" s="131"/>
      <c r="F242" s="127">
        <f>(IF((10^(LOG(Rfb2initial)-INT(LOG(Rfb2initial)))*100)-VLOOKUP((10^(LOG(Rfb2initial)-INT(LOG(Rfb2initial)))*100),E_48s:E_48f,1)&lt;VLOOKUP((10^(LOG(Rfb2initial)-INT(LOG(Rfb2initial)))*100),E_48s:E_48f,2)-(10^(LOG(Rfb2initial)-INT(LOG(Rfb2initial)))*100),VLOOKUP((10^(LOG(Rfb2initial)-INT(LOG(Rfb2initial)))*100),E_48s:E_48f,1),VLOOKUP((10^(LOG(Rfb2initial)-INT(LOG(Rfb2initial)))*100),E_48s:E_48f,2)))*10^INT(LOG(Rfb2initial))/100</f>
        <v>13.3</v>
      </c>
      <c r="G242" s="127" t="s">
        <v>280</v>
      </c>
    </row>
    <row r="243" spans="1:4" ht="13.5">
      <c r="A243" s="91">
        <v>5.6</v>
      </c>
      <c r="B243" s="91">
        <v>6.8</v>
      </c>
      <c r="C243" s="91"/>
      <c r="D243" s="131"/>
    </row>
    <row r="244" spans="1:6" ht="15">
      <c r="A244" s="91">
        <v>6.8</v>
      </c>
      <c r="B244" s="91">
        <v>8.2</v>
      </c>
      <c r="C244" s="91"/>
      <c r="D244" s="131"/>
      <c r="E244" s="99" t="s">
        <v>168</v>
      </c>
      <c r="F244" s="127">
        <f>((10*us)/(R_fb2*kOhms))/picoF</f>
        <v>769.2307692307692</v>
      </c>
    </row>
    <row r="245" spans="1:7" ht="15">
      <c r="A245" s="91">
        <v>8.2</v>
      </c>
      <c r="B245" s="91">
        <v>10</v>
      </c>
      <c r="C245" s="91"/>
      <c r="D245" s="131"/>
      <c r="E245" s="99" t="s">
        <v>168</v>
      </c>
      <c r="F245" s="127">
        <f>(IF(Cvsense_initial&lt;10000,F246*10^INT(LOG(Cvsense_initial)),F247*10^INT(LOG(Cvsense_initial))*uF))</f>
        <v>819.9999999999999</v>
      </c>
      <c r="G245" s="127" t="str">
        <f>IF(Cvsense_initial&lt;10000,"pF",I236)</f>
        <v>pF</v>
      </c>
    </row>
    <row r="246" spans="1:6" ht="13.5">
      <c r="A246" s="264" t="s">
        <v>278</v>
      </c>
      <c r="B246" s="264"/>
      <c r="C246" s="264"/>
      <c r="D246" s="131"/>
      <c r="F246" s="127">
        <f>IF((10^(LOG(Cvsense_initial)-INT(LOG(Cvsense_initial))))-VLOOKUP((10^(LOG(Cvsense_initial)-INT(LOG(Cvsense_initial)))),C_s1:C_f1,1)&lt;VLOOKUP((10^(LOG(Cvsense_initial)-INT(LOG(Cvsense_initial)))),C_s1:C_f1,2)-(10^(LOG(Cvsense_initial)-INT(LOG(Cvsense_initial)))),VLOOKUP((10^(LOG(Cvsense_initial)-INT(LOG(Cvsense_initial)))),C_s1:C_f1,1),VLOOKUP((10^(LOG(Cvsense_initial)-INT(LOG(Cvsense_initial)))),C_s1:C_f1,2))</f>
        <v>8.2</v>
      </c>
    </row>
    <row r="247" spans="1:6" ht="13.5">
      <c r="A247" s="91">
        <v>1</v>
      </c>
      <c r="B247" s="127">
        <v>1.2</v>
      </c>
      <c r="C247" s="91"/>
      <c r="D247" s="131"/>
      <c r="F247" s="127">
        <f>IF((10^(LOG(Cvsense_initial)-INT(LOG(Cvsense_initial))))-VLOOKUP((10^(LOG(Cvsense_initial)-INT(LOG(Cvsense_initial)))),C_s2:C_f2,1)&lt;VLOOKUP((10^(LOG(Cvsense_initial)-INT(LOG(Cvsense_initial)))),C_s2:C_f2,2)-(10^(LOG(Cvsense_initial)-INT(LOG(Cvsense_initial)))),VLOOKUP((10^(LOG(Cvsense_initial)-INT(LOG(Cvsense_initial)))),C_s2:C_f2,1),VLOOKUP((10^(LOG(Cvsense_initial)-INT(LOG(Cvsense_initial)))),C_s2:C_f2,2))</f>
        <v>8.2</v>
      </c>
    </row>
    <row r="248" spans="1:4" ht="13.5">
      <c r="A248" s="127">
        <v>1.2</v>
      </c>
      <c r="B248" s="91">
        <v>1.5</v>
      </c>
      <c r="C248" s="91"/>
      <c r="D248" s="131"/>
    </row>
    <row r="249" spans="1:9" ht="15.75">
      <c r="A249" s="91">
        <v>1.5</v>
      </c>
      <c r="B249" s="127">
        <v>1.8</v>
      </c>
      <c r="C249" s="91"/>
      <c r="D249" s="131"/>
      <c r="E249" s="127" t="s">
        <v>355</v>
      </c>
      <c r="F249" s="127">
        <f>0.95*10^-3</f>
        <v>0.00095</v>
      </c>
      <c r="H249" s="127" t="s">
        <v>362</v>
      </c>
      <c r="I249" s="127">
        <f>0.056*10^-3</f>
        <v>5.6E-05</v>
      </c>
    </row>
    <row r="250" spans="1:4" ht="13.5">
      <c r="A250" s="127">
        <v>1.8</v>
      </c>
      <c r="B250" s="91">
        <v>2.2</v>
      </c>
      <c r="C250" s="91"/>
      <c r="D250" s="131"/>
    </row>
    <row r="251" spans="1:6" ht="15.75">
      <c r="A251" s="91">
        <v>2.2</v>
      </c>
      <c r="B251" s="127">
        <v>2.7</v>
      </c>
      <c r="C251" s="91"/>
      <c r="D251" s="131"/>
      <c r="E251" s="145" t="s">
        <v>356</v>
      </c>
      <c r="F251" s="127">
        <f>((gmi*M_1)/(K_1*2*PI()*((fsw*kHz)/40)))/picoF</f>
        <v>2130.687255249986</v>
      </c>
    </row>
    <row r="252" spans="1:7" ht="15.75">
      <c r="A252" s="127">
        <v>2.7</v>
      </c>
      <c r="B252" s="91">
        <v>3.3</v>
      </c>
      <c r="C252" s="91"/>
      <c r="D252" s="131"/>
      <c r="E252" s="145" t="s">
        <v>356</v>
      </c>
      <c r="F252" s="127">
        <f>(IF(CICOMPmax_initial&lt;10000,F253*10^INT(LOG(CICOMPmax_initial)),F254*10^INT(LOG(CICOMPmax_initial))*uF))</f>
        <v>2200</v>
      </c>
      <c r="G252" s="127" t="str">
        <f>IF(CICOMPmax_initial&lt;10000,"pF",I236)</f>
        <v>pF</v>
      </c>
    </row>
    <row r="253" spans="1:6" ht="13.5">
      <c r="A253" s="91">
        <v>3.3</v>
      </c>
      <c r="B253" s="127">
        <v>3.9</v>
      </c>
      <c r="C253" s="131"/>
      <c r="D253" s="131"/>
      <c r="F253" s="127">
        <f>IF((10^(LOG(CICOMPmax_initial)-INT(LOG(CICOMPmax_initial))))-VLOOKUP((10^(LOG(CICOMPmax_initial)-INT(LOG(CICOMPmax_initial)))),C_s1:C_f1,1)&lt;VLOOKUP((10^(LOG(CICOMPmax_initial)-INT(LOG(CICOMPmax_initial)))),C_s1:C_f1,2)-(10^(LOG(CICOMPmax_initial)-INT(LOG(CICOMPmax_initial)))),VLOOKUP((10^(LOG(CICOMPmax_initial)-INT(LOG(CICOMPmax_initial)))),C_s1:C_f1,1),VLOOKUP((10^(LOG(CICOMPmax_initial)-INT(LOG(CICOMPmax_initial)))),C_s1:C_f1,2))</f>
        <v>2.2</v>
      </c>
    </row>
    <row r="254" spans="1:6" ht="13.5">
      <c r="A254" s="127">
        <v>3.9</v>
      </c>
      <c r="B254" s="91">
        <v>4.7</v>
      </c>
      <c r="C254" s="131"/>
      <c r="D254" s="131"/>
      <c r="F254" s="127">
        <f>IF((10^(LOG(CICOMPmax_initial)-INT(LOG(CICOMPmax_initial))))-VLOOKUP((10^(LOG(CICOMPmax_initial)-INT(LOG(CICOMPmax_initial)))),C_s2:C_f2,1)&lt;VLOOKUP((10^(LOG(CICOMPmax_initial)-INT(LOG(CICOMPmax_initial)))),C_s2:C_f2,2)-(10^(LOG(CICOMPmax_initial)-INT(LOG(CICOMPmax_initial)))),VLOOKUP((10^(LOG(CICOMPmax_initial)-INT(LOG(CICOMPmax_initial)))),C_s2:C_f2,1),VLOOKUP((10^(LOG(CICOMPmax_initial)-INT(LOG(CICOMPmax_initial)))),C_s2:C_f2,2))</f>
        <v>2.2</v>
      </c>
    </row>
    <row r="255" spans="1:4" ht="13.5">
      <c r="A255" s="91">
        <v>4.7</v>
      </c>
      <c r="B255" s="91">
        <v>6.8</v>
      </c>
      <c r="C255" s="131"/>
      <c r="D255" s="131"/>
    </row>
    <row r="256" spans="1:6" ht="15.75">
      <c r="A256" s="91">
        <v>6.8</v>
      </c>
      <c r="B256" s="127">
        <v>8.2</v>
      </c>
      <c r="C256" s="131"/>
      <c r="E256" s="145" t="s">
        <v>357</v>
      </c>
      <c r="F256" s="127">
        <f>((gmi*M_1)/(K_1*2*PI()*((fsw*kHz)/20)))/picoF</f>
        <v>1065.343627624993</v>
      </c>
    </row>
    <row r="257" spans="1:7" ht="15.75">
      <c r="A257" s="146">
        <v>8.2</v>
      </c>
      <c r="B257" s="91">
        <v>10</v>
      </c>
      <c r="C257" s="131"/>
      <c r="E257" s="145" t="s">
        <v>357</v>
      </c>
      <c r="F257" s="127">
        <f>(IF(CICOMPmin_initial&lt;10000,F258*10^INT(LOG(CICOMPmin_initial)),F259*10^INT(LOG(CICOMPmin_initial))*uF))</f>
        <v>1000</v>
      </c>
      <c r="G257" s="127" t="str">
        <f>IF(CICOMPmax_initial&lt;10000,"pF",I241)</f>
        <v>pF</v>
      </c>
    </row>
    <row r="258" spans="1:6" ht="13.5">
      <c r="A258" s="131"/>
      <c r="B258" s="131"/>
      <c r="C258" s="131"/>
      <c r="D258" s="131"/>
      <c r="F258" s="127">
        <f>IF((10^(LOG(CICOMPmin_initial)-INT(LOG(CICOMPmin_initial))))-VLOOKUP((10^(LOG(CICOMPmin_initial)-INT(LOG(CICOMPmin_initial)))),C_s1:C_f1,1)&lt;VLOOKUP((10^(LOG(CICOMPmin_initial)-INT(LOG(CICOMPmin_initial)))),C_s1:C_f1,2)-(10^(LOG(CICOMPmin_initial)-INT(LOG(CICOMPmin_initial)))),VLOOKUP((10^(LOG(CICOMPmin_initial)-INT(LOG(CICOMPmin_initial)))),C_s1:C_f1,1),VLOOKUP((10^(LOG(CICOMPmin_initial)-INT(LOG(CICOMPmin_initial)))),C_s1:C_f1,2))</f>
        <v>1</v>
      </c>
    </row>
    <row r="259" spans="1:6" ht="13.5">
      <c r="A259" s="131"/>
      <c r="B259" s="131"/>
      <c r="C259" s="131"/>
      <c r="D259" s="131"/>
      <c r="F259" s="127">
        <f>IF((10^(LOG(CICOMPmin_initial)-INT(LOG(CICOMPmin_initial))))-VLOOKUP((10^(LOG(CICOMPmin_initial)-INT(LOG(CICOMPmin_initial)))),C_s2:C_f2,1)&lt;VLOOKUP((10^(LOG(CICOMPmin_initial)-INT(LOG(CICOMPmin_initial)))),C_s2:C_f2,2)-(10^(LOG(CICOMPmin_initial)-INT(LOG(CICOMPmin_initial)))),VLOOKUP((10^(LOG(CICOMPmin_initial)-INT(LOG(CICOMPmin_initial)))),C_s2:C_f2,1),VLOOKUP((10^(LOG(CICOMPmin_initial)-INT(LOG(CICOMPmin_initial)))),C_s2:C_f2,2))</f>
        <v>1</v>
      </c>
    </row>
    <row r="260" spans="1:4" ht="13.5">
      <c r="A260" s="131"/>
      <c r="B260" s="131"/>
      <c r="C260" s="131"/>
      <c r="D260" s="131"/>
    </row>
    <row r="261" spans="1:6" ht="15.75">
      <c r="A261" s="131"/>
      <c r="B261" s="131"/>
      <c r="C261" s="131"/>
      <c r="D261" s="131"/>
      <c r="E261" s="127" t="s">
        <v>359</v>
      </c>
      <c r="F261" s="127">
        <f>((((56*10^-6)*fv)/fPWM_PSpole)/((10^((0-GVL_dB)/20))*2*PI()*fv))/picoF</f>
        <v>8700482.238494022</v>
      </c>
    </row>
    <row r="262" spans="1:7" ht="13.5">
      <c r="A262" s="131"/>
      <c r="B262" s="131"/>
      <c r="C262" s="131"/>
      <c r="D262" s="131"/>
      <c r="F262" s="127">
        <f>(IF(CVCOMPinitial&lt;10000,F263*10^INT(LOG(CVCOMPinitial)),F264*10^INT(LOG(CVCOMPinitial))*uF))</f>
        <v>8.2</v>
      </c>
      <c r="G262" s="127" t="str">
        <f>IF(CVCOMPinitial&lt;10000,"pF",I236)</f>
        <v>µF</v>
      </c>
    </row>
    <row r="263" spans="1:6" ht="13.5">
      <c r="A263" s="131"/>
      <c r="B263" s="131"/>
      <c r="C263" s="131"/>
      <c r="D263" s="131"/>
      <c r="F263" s="127">
        <f>IF((10^(LOG(CVCOMPinitial)-INT(LOG(CVCOMPinitial))))-VLOOKUP((10^(LOG(CVCOMPinitial)-INT(LOG(CVCOMPinitial)))),C_s1:C_f1,1)&lt;VLOOKUP((10^(LOG(CVCOMPinitial)-INT(LOG(CVCOMPinitial)))),C_s1:C_f1,2)-(10^(LOG(CVCOMPinitial)-INT(LOG(CVCOMPinitial)))),VLOOKUP((10^(LOG(CVCOMPinitial)-INT(LOG(CVCOMPinitial)))),C_s1:C_f1,1),VLOOKUP((10^(LOG(CVCOMPinitial)-INT(LOG(CVCOMPinitial)))),C_s1:C_f1,2))</f>
        <v>8.2</v>
      </c>
    </row>
    <row r="264" spans="1:6" ht="13.5">
      <c r="A264" s="131"/>
      <c r="B264" s="131"/>
      <c r="C264" s="131"/>
      <c r="D264" s="131"/>
      <c r="F264" s="127">
        <f>IF((10^(LOG(CVCOMPinitial)-INT(LOG(CVCOMPinitial))))-VLOOKUP((10^(LOG(CVCOMPinitial)-INT(LOG(CVCOMPinitial)))),C_s2:C_f2,1)&lt;VLOOKUP((10^(LOG(CVCOMPinitial)-INT(LOG(CVCOMPinitial)))),C_s2:C_f2,2)-(10^(LOG(CVCOMPinitial)-INT(LOG(CVCOMPinitial)))),VLOOKUP((10^(LOG(CVCOMPinitial)-INT(LOG(CVCOMPinitial)))),C_s2:C_f2,1),VLOOKUP((10^(LOG(CVCOMPinitial)-INT(LOG(CVCOMPinitial)))),C_s2:C_f2,2))</f>
        <v>8.2</v>
      </c>
    </row>
    <row r="265" spans="1:4" ht="13.5">
      <c r="A265" s="131"/>
      <c r="B265" s="131"/>
      <c r="C265" s="131"/>
      <c r="D265" s="131"/>
    </row>
    <row r="266" spans="1:6" ht="15.75">
      <c r="A266" s="131"/>
      <c r="B266" s="131"/>
      <c r="C266" s="131"/>
      <c r="D266" s="131"/>
      <c r="E266" s="127" t="s">
        <v>360</v>
      </c>
      <c r="F266" s="127">
        <f>(1/(2*PI()*fPWM_PSpole*Cvcomp*uF))/(kOhms)</f>
        <v>14.997985306957082</v>
      </c>
    </row>
    <row r="267" spans="1:7" ht="14.25">
      <c r="A267" s="131"/>
      <c r="B267" s="131"/>
      <c r="C267" s="131"/>
      <c r="D267" s="131"/>
      <c r="F267" s="127">
        <f>(IF((10^(LOG(Rvcomp_initial)-INT(LOG(Rvcomp_initial)))*100)-VLOOKUP((10^(LOG(Rvcomp_initial)-INT(LOG(Rvcomp_initial)))*100),E_48s:E_48f,1)&lt;VLOOKUP((10^(LOG(Rvcomp_initial)-INT(LOG(Rvcomp_initial)))*100),E_48s:E_48f,2)-(10^(LOG(Rvcomp_initial)-INT(LOG(Rvcomp_initial)))*100),VLOOKUP((10^(LOG(Rvcomp_initial)-INT(LOG(Rvcomp_initial)))*100),E_48s:E_48f,1),VLOOKUP((10^(LOG(Rvcomp_initial)-INT(LOG(Rvcomp_initial)))*100),E_48s:E_48f,2)))*10^INT(LOG(Rvcomp_initial))/100</f>
        <v>14.7</v>
      </c>
      <c r="G267" s="127" t="s">
        <v>280</v>
      </c>
    </row>
    <row r="268" spans="1:4" ht="13.5">
      <c r="A268" s="131"/>
      <c r="B268" s="131"/>
      <c r="C268" s="131"/>
      <c r="D268" s="131"/>
    </row>
    <row r="269" spans="1:4" ht="13.5">
      <c r="A269" s="131"/>
      <c r="B269" s="131"/>
      <c r="C269" s="131"/>
      <c r="D269" s="131"/>
    </row>
    <row r="270" spans="1:6" ht="15.75">
      <c r="A270" s="131"/>
      <c r="B270" s="131"/>
      <c r="C270" s="131"/>
      <c r="D270" s="131"/>
      <c r="E270" s="127" t="s">
        <v>361</v>
      </c>
      <c r="F270" s="127">
        <f>((Cvcomp*uF)/((2*PI()*fpole*(Rvcomp*kOhms)*(Cvcomp*uF))-1))/picoF</f>
        <v>575408.1704125007</v>
      </c>
    </row>
    <row r="271" spans="1:7" ht="13.5">
      <c r="A271" s="131"/>
      <c r="B271" s="131"/>
      <c r="C271" s="131"/>
      <c r="D271" s="131"/>
      <c r="F271" s="127">
        <f>(IF(Cvcomp_p_initial&lt;10000,F272*10^INT(LOG(Cvcomp_p_initial)),F273*10^INT(LOG(Cvcomp_p_initial))*uF))</f>
        <v>0.6799999999999999</v>
      </c>
      <c r="G271" s="127" t="str">
        <f>IF(Cvcomp_p_initial&lt;10000,"pF",I236)</f>
        <v>µF</v>
      </c>
    </row>
    <row r="272" spans="1:6" ht="13.5">
      <c r="A272" s="131"/>
      <c r="B272" s="131"/>
      <c r="C272" s="131"/>
      <c r="D272" s="131"/>
      <c r="F272" s="127">
        <f>IF((10^(LOG(Cvcomp_p_initial)-INT(LOG(Cvcomp_p_initial))))-VLOOKUP((10^(LOG(Cvcomp_p_initial)-INT(LOG(Cvcomp_p_initial)))),C_s1:C_f1,1)&lt;VLOOKUP((10^(LOG(Cvcomp_p_initial)-INT(LOG(Cvcomp_p_initial)))),C_s1:C_f1,2)-(10^(LOG(Cvcomp_p_initial)-INT(LOG(Cvcomp_p_initial)))),VLOOKUP((10^(LOG(Cvcomp_p_initial)-INT(LOG(Cvcomp_p_initial)))),C_s1:C_f1,1),VLOOKUP((10^(LOG(Cvcomp_p_initial)-INT(LOG(Cvcomp_p_initial)))),C_s1:C_f1,2))</f>
        <v>5.6</v>
      </c>
    </row>
    <row r="273" spans="1:6" ht="13.5">
      <c r="A273" s="131"/>
      <c r="B273" s="131"/>
      <c r="C273" s="131"/>
      <c r="D273" s="131"/>
      <c r="F273" s="127">
        <f>IF((10^(LOG(Cvcomp_p_initial)-INT(LOG(Cvcomp_p_initial))))-VLOOKUP((10^(LOG(Cvcomp_p_initial)-INT(LOG(Cvcomp_p_initial)))),C_s2:C_f2,1)&lt;VLOOKUP((10^(LOG(Cvcomp_p_initial)-INT(LOG(Cvcomp_p_initial)))),C_s2:C_f2,2)-(10^(LOG(Cvcomp_p_initial)-INT(LOG(Cvcomp_p_initial)))),VLOOKUP((10^(LOG(Cvcomp_p_initial)-INT(LOG(Cvcomp_p_initial)))),C_s2:C_f2,1),VLOOKUP((10^(LOG(Cvcomp_p_initial)-INT(LOG(Cvcomp_p_initial)))),C_s2:C_f2,2))</f>
        <v>6.8</v>
      </c>
    </row>
    <row r="274" spans="1:4" ht="13.5">
      <c r="A274" s="131"/>
      <c r="B274" s="131"/>
      <c r="C274" s="131"/>
      <c r="D274" s="131"/>
    </row>
    <row r="275" spans="1:6" ht="15.75">
      <c r="A275" s="131"/>
      <c r="B275" s="131"/>
      <c r="C275" s="131"/>
      <c r="D275" s="131"/>
      <c r="E275" s="127" t="s">
        <v>429</v>
      </c>
      <c r="F275" s="127">
        <f>(1/(15*fsw*kHz*PI()*Risense))/picoF</f>
        <v>692.5872176162983</v>
      </c>
    </row>
    <row r="276" spans="1:7" ht="13.5">
      <c r="A276" s="131"/>
      <c r="B276" s="131"/>
      <c r="C276" s="131"/>
      <c r="D276" s="131"/>
      <c r="F276" s="127">
        <f>(IF(Cisense_initial&lt;10000,F277*10^INT(LOG(Cisense_initial)),F278*10^INT(LOG(Cisense_initial))*uF))</f>
        <v>680</v>
      </c>
      <c r="G276" s="127" t="str">
        <f>IF(Cisense_initial&lt;10000,"pF",I236)</f>
        <v>pF</v>
      </c>
    </row>
    <row r="277" spans="1:6" ht="13.5">
      <c r="A277" s="131"/>
      <c r="B277" s="131"/>
      <c r="C277" s="131"/>
      <c r="D277" s="131"/>
      <c r="F277" s="127">
        <f>IF((10^(LOG(Cisense_initial)-INT(LOG(Cisense_initial))))-VLOOKUP((10^(LOG(Cisense_initial)-INT(LOG(Cisense_initial)))),C_s1:C_f1,1)&lt;VLOOKUP((10^(LOG(Cisense_initial)-INT(LOG(Cisense_initial)))),C_s1:C_f1,2)-(10^(LOG(Cisense_initial)-INT(LOG(Cisense_initial)))),VLOOKUP((10^(LOG(Cisense_initial)-INT(LOG(Cisense_initial)))),C_s1:C_f1,1),VLOOKUP((10^(LOG(Cisense_initial)-INT(LOG(Cisense_initial)))),C_s1:C_f1,2))</f>
        <v>6.8</v>
      </c>
    </row>
    <row r="278" spans="1:6" ht="13.5">
      <c r="A278" s="131"/>
      <c r="B278" s="131"/>
      <c r="C278" s="131"/>
      <c r="D278" s="131"/>
      <c r="F278" s="127">
        <f>IF((10^(LOG(Cisense_initial)-INT(LOG(Cisense_initial))))-VLOOKUP((10^(LOG(Cisense_initial)-INT(LOG(Cisense_initial)))),C_s2:C_f2,1)&lt;VLOOKUP((10^(LOG(Cisense_initial)-INT(LOG(Cisense_initial)))),C_s2:C_f2,2)-(10^(LOG(Cisense_initial)-INT(LOG(Cisense_initial)))),VLOOKUP((10^(LOG(Cisense_initial)-INT(LOG(Cisense_initial)))),C_s2:C_f2,1),VLOOKUP((10^(LOG(Cisense_initial)-INT(LOG(Cisense_initial)))),C_s2:C_f2,2))</f>
        <v>6.8</v>
      </c>
    </row>
  </sheetData>
  <sheetProtection password="E85D" sheet="1" objects="1"/>
  <mergeCells count="29">
    <mergeCell ref="J36:K36"/>
    <mergeCell ref="J38:K38"/>
    <mergeCell ref="J48:K48"/>
    <mergeCell ref="J59:K59"/>
    <mergeCell ref="J64:K64"/>
    <mergeCell ref="J68:K68"/>
    <mergeCell ref="P111:Q111"/>
    <mergeCell ref="R111:T111"/>
    <mergeCell ref="M112:N112"/>
    <mergeCell ref="A167:D167"/>
    <mergeCell ref="K112:L112"/>
    <mergeCell ref="G110:O110"/>
    <mergeCell ref="A111:A113"/>
    <mergeCell ref="D112:E112"/>
    <mergeCell ref="G111:G113"/>
    <mergeCell ref="O111:O112"/>
    <mergeCell ref="A180:C180"/>
    <mergeCell ref="A232:C232"/>
    <mergeCell ref="A233:C233"/>
    <mergeCell ref="A246:C246"/>
    <mergeCell ref="A110:F110"/>
    <mergeCell ref="A2:D2"/>
    <mergeCell ref="G68:H68"/>
    <mergeCell ref="G34:H34"/>
    <mergeCell ref="G36:H36"/>
    <mergeCell ref="G38:H38"/>
    <mergeCell ref="G48:H48"/>
    <mergeCell ref="G59:H59"/>
    <mergeCell ref="G64:H64"/>
  </mergeCells>
  <printOptions/>
  <pageMargins left="0.75" right="0.75" top="1" bottom="1" header="0.5" footer="0.5"/>
  <pageSetup horizontalDpi="600" verticalDpi="600" orientation="portrait" r:id="rId1"/>
  <ignoredErrors>
    <ignoredError sqref="R114 M114" formula="1"/>
  </ignoredErrors>
</worksheet>
</file>

<file path=xl/worksheets/sheet4.xml><?xml version="1.0" encoding="utf-8"?>
<worksheet xmlns="http://schemas.openxmlformats.org/spreadsheetml/2006/main" xmlns:r="http://schemas.openxmlformats.org/officeDocument/2006/relationships">
  <dimension ref="A1:Z290"/>
  <sheetViews>
    <sheetView zoomScale="80" zoomScaleNormal="80" zoomScalePageLayoutView="0" workbookViewId="0" topLeftCell="A1">
      <selection activeCell="G8" sqref="G8"/>
    </sheetView>
  </sheetViews>
  <sheetFormatPr defaultColWidth="9.140625" defaultRowHeight="12.75"/>
  <cols>
    <col min="1" max="1" width="10.00390625" style="147" customWidth="1"/>
    <col min="2" max="3" width="8.8515625" style="147" customWidth="1"/>
    <col min="4" max="4" width="12.421875" style="147" customWidth="1"/>
    <col min="5" max="6" width="8.8515625" style="147" customWidth="1"/>
    <col min="7" max="7" width="10.421875" style="147" customWidth="1"/>
    <col min="8" max="16384" width="8.8515625" style="147" customWidth="1"/>
  </cols>
  <sheetData>
    <row r="1" spans="1:5" ht="13.5">
      <c r="A1" s="275" t="s">
        <v>469</v>
      </c>
      <c r="B1" s="275"/>
      <c r="C1" s="275"/>
      <c r="D1" s="275"/>
      <c r="E1" s="275"/>
    </row>
    <row r="2" spans="1:5" ht="12.75">
      <c r="A2" s="274" t="s">
        <v>470</v>
      </c>
      <c r="B2" s="274"/>
      <c r="D2" s="276" t="s">
        <v>483</v>
      </c>
      <c r="E2" s="276"/>
    </row>
    <row r="3" spans="1:5" ht="12.75">
      <c r="A3" s="274"/>
      <c r="B3" s="274"/>
      <c r="D3" s="276"/>
      <c r="E3" s="276"/>
    </row>
    <row r="4" spans="1:5" ht="12.75">
      <c r="A4" s="274"/>
      <c r="B4" s="274"/>
      <c r="D4" s="276"/>
      <c r="E4" s="276"/>
    </row>
    <row r="5" spans="1:7" ht="15">
      <c r="A5" s="148" t="s">
        <v>467</v>
      </c>
      <c r="B5" s="147">
        <f>Vline</f>
        <v>205</v>
      </c>
      <c r="D5" s="148" t="s">
        <v>467</v>
      </c>
      <c r="E5" s="147">
        <f>Vline</f>
        <v>205</v>
      </c>
      <c r="G5" s="147" t="s">
        <v>454</v>
      </c>
    </row>
    <row r="6" spans="1:26" ht="15.75">
      <c r="A6" s="128" t="s">
        <v>313</v>
      </c>
      <c r="B6" s="128">
        <v>7</v>
      </c>
      <c r="D6" s="148" t="s">
        <v>471</v>
      </c>
      <c r="E6" s="147">
        <f>percent_load/100</f>
        <v>0.5</v>
      </c>
      <c r="G6" s="149" t="s">
        <v>453</v>
      </c>
      <c r="H6" s="149" t="s">
        <v>131</v>
      </c>
      <c r="I6" s="149" t="s">
        <v>321</v>
      </c>
      <c r="J6" s="150" t="s">
        <v>455</v>
      </c>
      <c r="K6" s="150" t="s">
        <v>456</v>
      </c>
      <c r="L6" s="150" t="s">
        <v>457</v>
      </c>
      <c r="M6" s="150" t="s">
        <v>458</v>
      </c>
      <c r="N6" s="151" t="s">
        <v>322</v>
      </c>
      <c r="O6" s="150" t="s">
        <v>459</v>
      </c>
      <c r="P6" s="150" t="s">
        <v>460</v>
      </c>
      <c r="Q6" s="150" t="s">
        <v>461</v>
      </c>
      <c r="R6" s="150" t="s">
        <v>462</v>
      </c>
      <c r="S6" s="150" t="s">
        <v>463</v>
      </c>
      <c r="T6" s="150" t="s">
        <v>340</v>
      </c>
      <c r="U6" s="150" t="s">
        <v>345</v>
      </c>
      <c r="V6" s="150" t="s">
        <v>348</v>
      </c>
      <c r="W6" s="152" t="s">
        <v>132</v>
      </c>
      <c r="X6" s="161" t="s">
        <v>484</v>
      </c>
      <c r="Y6" s="161" t="s">
        <v>485</v>
      </c>
      <c r="Z6" s="162" t="s">
        <v>486</v>
      </c>
    </row>
    <row r="7" spans="1:26" ht="15.75">
      <c r="A7" s="128" t="s">
        <v>314</v>
      </c>
      <c r="B7" s="128">
        <f>1/(fsw*kHz)</f>
        <v>7.180228818950741E-06</v>
      </c>
      <c r="D7" s="128" t="s">
        <v>313</v>
      </c>
      <c r="E7" s="128">
        <v>7</v>
      </c>
      <c r="G7" s="153">
        <f>Vacin_min</f>
        <v>176</v>
      </c>
      <c r="H7" s="153">
        <f aca="true" t="shared" si="0" ref="H7:H38">(Iout*(Vout_nom^2)*2.5*Rsense*K_1)/(eff*(G7^2)*K_FQ)*us</f>
        <v>0.4962230822646102</v>
      </c>
      <c r="I7" s="153">
        <f aca="true" t="shared" si="1" ref="I7:I38">(1*10^-9*(5*10^8*SQRT(fsw*kHz)+(1.09655978*10^10)*SQRT(ftyp)*SQRT(H7)))/SQRT(fsw*kHz)</f>
        <v>5.777115676877649</v>
      </c>
      <c r="J7" s="153">
        <f aca="true" t="shared" si="2" ref="J7:J38">(b_1^3/(27*a_1^3))-(d_1^3/27)+SQRT((ftyp)^2*H7^2/(4*a_1^2*c_1^2*(fsw*kHz)^2))+(b_1^3*(ftyp)*H7/(27*a_1^4*c_1*(fsw*kHz))-(d_1^3*(ftyp)*H7/(27*a_1*c_1*(fsw*kHz)))+(b_1*d_1^2*(ftyp)*H7/(9*a_1^2*c_1*(fsw*kHz)))-(b_1^2*d_1*(ftyp)*H7/(9*a_1^3*c_1*(fsw*kHz))))</f>
        <v>6.071562132847934</v>
      </c>
      <c r="K7" s="153">
        <f aca="true" t="shared" si="3" ref="K7:K38">(b_1*d_1^2/(9*a_1))-(b_1^2*d_1/(9*a_1^2))+(ftyp*H7/(2*a_1*c_1*fsw*kHz))</f>
        <v>6.067416128455784</v>
      </c>
      <c r="L7" s="153">
        <f aca="true" t="shared" si="4" ref="L7:L38">(d_1^2/9)+(b_1^2/(9*a_1^2))-(2*b_1*d_1/(9*a_1))</f>
        <v>0.00045657096939147324</v>
      </c>
      <c r="M7" s="153">
        <f aca="true" t="shared" si="5" ref="M7:M38">((b_1*c_1*fsw*kHz)+(2*a_1*c_1*d_1*fsw*kHz))/(3*a_1*c_1*fsw*kHz)</f>
        <v>0.5213675213675214</v>
      </c>
      <c r="N7" s="153">
        <f>(J7+K7)^(1/3)+(L7/(J7^(1/3)))+M7</f>
        <v>2.8198507287074914</v>
      </c>
      <c r="O7" s="153">
        <f aca="true" t="shared" si="6" ref="O7:O38">(b_2^3/(27*a_2^3))-(d_2^3/27)</f>
        <v>0.07325223505585884</v>
      </c>
      <c r="P7" s="153">
        <f aca="true" t="shared" si="7" ref="P7:P38">(ftyp^2*H7^2/(4*a_2^2*c_2^2*(fsw*kHz)^2))+(b_2^3*ftyp*H7/(27*a_2^4*c_2*(fsw*kHz)))-(d_2^3*ftyp*H7/(27*a_2*c_2*(fsw*kHz)))+(b_2*d_2^2*ftyp*H7/(9*a_2^2*c_2*(fsw*kHz)))-(b_2^2*d_2*ftyp*H7/(9*a_2^3*c_2*(fsw*kHz)))</f>
        <v>9.257534052040484</v>
      </c>
      <c r="Q7" s="153">
        <f aca="true" t="shared" si="8" ref="Q7:Q38">(b_2*d_2^2/(9*a_2))-(b_2^2*d_2/(9*a_2^2))+(ftyp*H7/(2*a_2*c_2*(fsw*kHz)))</f>
        <v>2.9694185836505786</v>
      </c>
      <c r="R7" s="153">
        <f aca="true" t="shared" si="9" ref="R7:R38">(d_2^2/9)+(b_2^2/(9*a_2^2))-(2*b_2*d_2/(9*a_2))</f>
        <v>0.06779950800763512</v>
      </c>
      <c r="S7" s="153">
        <f aca="true" t="shared" si="10" ref="S7:S38">(b_2*c_2*(fsw*kHz)+2*a_2*c_2*d_2*(fsw*kHz))/(3*a_2*c_2*(fsw*kHz))</f>
        <v>0.7603833865814694</v>
      </c>
      <c r="T7" s="153">
        <f>((O7+SQRT(P7)+Q7)^(1/3))+(R7/((O7+SQRT(P7)+Q7)^(1/3)))+S7</f>
        <v>2.6232100353084546</v>
      </c>
      <c r="U7" s="153">
        <f aca="true" t="shared" si="11" ref="U7:U38">c_3+(SQRT(ftyp)*SQRT(H7)/(SQRT(a_3)*SQRT(b_3)*SQRT(fsw*kHz)))</f>
        <v>1.871312193767545</v>
      </c>
      <c r="V7" s="153">
        <f aca="true" t="shared" si="12" ref="V7:V38">(a_4*(fsw*kHz)*b_4/ftyp)</f>
        <v>4.43609603795875</v>
      </c>
      <c r="W7" s="153">
        <f>IF(I7&gt;=0.5,IF(I7&lt;1,I7,IF(N7&gt;=1,IF(N7&lt;2,N7,IF(T7&gt;=2,IF(T7&lt;4.5,T7,IF(U7&gt;=4.5,IF(U7&lt;4.6,U7,V7))))))))</f>
        <v>2.6232100353084546</v>
      </c>
      <c r="X7" s="163">
        <f aca="true" t="shared" si="13" ref="X7:X38">Pin_max/G7</f>
        <v>9.270334928229666</v>
      </c>
      <c r="Y7" s="163">
        <f aca="true" t="shared" si="14" ref="Y7:Y38">-X7*Rsense*1.414</f>
        <v>-0.13108253588516747</v>
      </c>
      <c r="Z7" s="164">
        <f>MIN(6,MAX(0.5,Beta*G*($Y7-Voff_trim)/(MAX(0,MIN(4.5,W7)-Alpha1_A)+MAX(0,MIN(4.5,W7)-Alpha1_B)-Alpha1_C)+Alpha2))</f>
        <v>5.7254104732441125</v>
      </c>
    </row>
    <row r="8" spans="1:26" ht="15.75">
      <c r="A8" s="128" t="s">
        <v>323</v>
      </c>
      <c r="B8" s="128">
        <f>65*kHz</f>
        <v>65000</v>
      </c>
      <c r="D8" s="128" t="s">
        <v>314</v>
      </c>
      <c r="E8" s="128">
        <f>1/(fsw*kHz)</f>
        <v>7.180228818950741E-06</v>
      </c>
      <c r="G8" s="154">
        <f>G7+1</f>
        <v>177</v>
      </c>
      <c r="H8" s="154">
        <f t="shared" si="0"/>
        <v>0.49063188088443815</v>
      </c>
      <c r="I8" s="154">
        <f t="shared" si="1"/>
        <v>5.747301464013933</v>
      </c>
      <c r="J8" s="154">
        <f t="shared" si="2"/>
        <v>6.003173456443585</v>
      </c>
      <c r="K8" s="154">
        <f t="shared" si="3"/>
        <v>5.999028786396523</v>
      </c>
      <c r="L8" s="154">
        <f t="shared" si="4"/>
        <v>0.00045657096939147324</v>
      </c>
      <c r="M8" s="154">
        <f t="shared" si="5"/>
        <v>0.5213675213675214</v>
      </c>
      <c r="N8" s="154">
        <f aca="true" t="shared" si="15" ref="N8:N71">(J8+K8)^(1/3)+(L8/(J8^(1/3)))+M8</f>
        <v>2.8111872664651174</v>
      </c>
      <c r="O8" s="154">
        <f t="shared" si="6"/>
        <v>0.07325223505585884</v>
      </c>
      <c r="P8" s="154">
        <f t="shared" si="7"/>
        <v>9.051280422964254</v>
      </c>
      <c r="Q8" s="154">
        <f t="shared" si="8"/>
        <v>2.9353341575763143</v>
      </c>
      <c r="R8" s="154">
        <f t="shared" si="9"/>
        <v>0.06779950800763512</v>
      </c>
      <c r="S8" s="154">
        <f t="shared" si="10"/>
        <v>0.7603833865814694</v>
      </c>
      <c r="T8" s="154">
        <f aca="true" t="shared" si="16" ref="T8:T71">((O8+SQRT(P8)+Q8)^(1/3))+(R8/((O8+SQRT(P8)+Q8)^(1/3)))+S8</f>
        <v>2.6165068066336707</v>
      </c>
      <c r="U8" s="154">
        <f t="shared" si="11"/>
        <v>1.8635646672490842</v>
      </c>
      <c r="V8" s="154">
        <f t="shared" si="12"/>
        <v>4.43609603795875</v>
      </c>
      <c r="W8" s="154">
        <f aca="true" t="shared" si="17" ref="W8:W71">IF(I8&gt;=0.5,IF(I8&lt;1,I8,IF(N8&gt;=1,IF(N8&lt;2,N8,IF(T8&gt;=2,IF(T8&lt;4.5,T8,IF(U8&gt;=4.5,IF(U8&lt;4.6,U8,V8))))))))</f>
        <v>2.6165068066336707</v>
      </c>
      <c r="X8" s="163">
        <f t="shared" si="13"/>
        <v>9.217960154623848</v>
      </c>
      <c r="Y8" s="165">
        <f t="shared" si="14"/>
        <v>-0.1303419565863812</v>
      </c>
      <c r="Z8" s="166">
        <f aca="true" t="shared" si="18" ref="Z8:Z38">MIN(6,MAX(0.5,Beta*G*($Y8-Voff_trim)/(MAX(0,MIN(4.5,W8)-Alpha1_A)+MAX(0,MIN(4.5,W8)-Alpha1_B)-Alpha1_C)+Alpha2))</f>
        <v>5.7206146453607465</v>
      </c>
    </row>
    <row r="9" spans="1:26" ht="15.75">
      <c r="A9" s="261"/>
      <c r="B9" s="262"/>
      <c r="D9" s="128" t="s">
        <v>323</v>
      </c>
      <c r="E9" s="128">
        <f>65*kHz</f>
        <v>65000</v>
      </c>
      <c r="G9" s="153">
        <f aca="true" t="shared" si="19" ref="G9:G72">G8+1</f>
        <v>178</v>
      </c>
      <c r="H9" s="153">
        <f t="shared" si="0"/>
        <v>0.4851346482839466</v>
      </c>
      <c r="I9" s="153">
        <f t="shared" si="1"/>
        <v>5.71782224230599</v>
      </c>
      <c r="J9" s="153">
        <f t="shared" si="2"/>
        <v>5.935934157432164</v>
      </c>
      <c r="K9" s="153">
        <f t="shared" si="3"/>
        <v>5.931790799304459</v>
      </c>
      <c r="L9" s="153">
        <f t="shared" si="4"/>
        <v>0.00045657096939147324</v>
      </c>
      <c r="M9" s="153">
        <f t="shared" si="5"/>
        <v>0.5213675213675214</v>
      </c>
      <c r="N9" s="153">
        <f t="shared" si="15"/>
        <v>2.802605006138755</v>
      </c>
      <c r="O9" s="153">
        <f t="shared" si="6"/>
        <v>0.07325223505585884</v>
      </c>
      <c r="P9" s="153">
        <f t="shared" si="7"/>
        <v>8.850758454295711</v>
      </c>
      <c r="Q9" s="153">
        <f t="shared" si="8"/>
        <v>2.90182257295535</v>
      </c>
      <c r="R9" s="153">
        <f t="shared" si="9"/>
        <v>0.06779950800763512</v>
      </c>
      <c r="S9" s="153">
        <f t="shared" si="10"/>
        <v>0.7603833865814694</v>
      </c>
      <c r="T9" s="153">
        <f t="shared" si="16"/>
        <v>2.60986773298359</v>
      </c>
      <c r="U9" s="153">
        <f t="shared" si="11"/>
        <v>1.8559041915903813</v>
      </c>
      <c r="V9" s="153">
        <f t="shared" si="12"/>
        <v>4.43609603795875</v>
      </c>
      <c r="W9" s="153">
        <f t="shared" si="17"/>
        <v>2.60986773298359</v>
      </c>
      <c r="X9" s="163">
        <f t="shared" si="13"/>
        <v>9.166173861620344</v>
      </c>
      <c r="Y9" s="163">
        <f t="shared" si="14"/>
        <v>-0.12960969840331166</v>
      </c>
      <c r="Z9" s="164">
        <f t="shared" si="18"/>
        <v>5.715868943535964</v>
      </c>
    </row>
    <row r="10" spans="1:26" ht="13.5">
      <c r="A10" s="128" t="s">
        <v>131</v>
      </c>
      <c r="B10" s="128">
        <f>(Iout*(Vout_nom^2)*2.5*Rsense*K_1)/(eff*(B5^2)*K_FQ)*us</f>
        <v>0.3657586245384548</v>
      </c>
      <c r="D10" s="261"/>
      <c r="E10" s="262"/>
      <c r="G10" s="154">
        <f t="shared" si="19"/>
        <v>179</v>
      </c>
      <c r="H10" s="154">
        <f t="shared" si="0"/>
        <v>0.4797292904787168</v>
      </c>
      <c r="I10" s="154">
        <f t="shared" si="1"/>
        <v>5.688672397376906</v>
      </c>
      <c r="J10" s="154">
        <f t="shared" si="2"/>
        <v>5.869818623281933</v>
      </c>
      <c r="K10" s="154">
        <f t="shared" si="3"/>
        <v>5.865676555147585</v>
      </c>
      <c r="L10" s="154">
        <f t="shared" si="4"/>
        <v>0.00045657096939147324</v>
      </c>
      <c r="M10" s="154">
        <f t="shared" si="5"/>
        <v>0.5213675213675214</v>
      </c>
      <c r="N10" s="154">
        <f t="shared" si="15"/>
        <v>2.794102736871926</v>
      </c>
      <c r="O10" s="154">
        <f t="shared" si="6"/>
        <v>0.07325223505585884</v>
      </c>
      <c r="P10" s="154">
        <f t="shared" si="7"/>
        <v>8.655777851913587</v>
      </c>
      <c r="Q10" s="154">
        <f t="shared" si="8"/>
        <v>2.8688710646854703</v>
      </c>
      <c r="R10" s="154">
        <f t="shared" si="9"/>
        <v>0.06779950800763512</v>
      </c>
      <c r="S10" s="154">
        <f t="shared" si="10"/>
        <v>0.7603833865814694</v>
      </c>
      <c r="T10" s="154">
        <f t="shared" si="16"/>
        <v>2.603291856052616</v>
      </c>
      <c r="U10" s="154">
        <f t="shared" si="11"/>
        <v>1.84832930783848</v>
      </c>
      <c r="V10" s="154">
        <f t="shared" si="12"/>
        <v>4.43609603795875</v>
      </c>
      <c r="W10" s="154">
        <f t="shared" si="17"/>
        <v>2.603291856052616</v>
      </c>
      <c r="X10" s="163">
        <f t="shared" si="13"/>
        <v>9.11496618641576</v>
      </c>
      <c r="Y10" s="165">
        <f t="shared" si="14"/>
        <v>-0.12888562187591884</v>
      </c>
      <c r="Z10" s="166">
        <f t="shared" si="18"/>
        <v>5.711172689828017</v>
      </c>
    </row>
    <row r="11" spans="1:26" ht="13.5">
      <c r="A11" s="261"/>
      <c r="B11" s="262"/>
      <c r="D11" s="128" t="s">
        <v>131</v>
      </c>
      <c r="E11" s="128">
        <f>((E6*Iout)*(Vout_nom^2)*2.5*Rsense*K_1)/(eff*(E5^2)*K_FQ)*us</f>
        <v>0.1828793122692274</v>
      </c>
      <c r="G11" s="153">
        <f t="shared" si="19"/>
        <v>180</v>
      </c>
      <c r="H11" s="153">
        <f t="shared" si="0"/>
        <v>0.4744137714885359</v>
      </c>
      <c r="I11" s="153">
        <f t="shared" si="1"/>
        <v>5.659846439613701</v>
      </c>
      <c r="J11" s="153">
        <f t="shared" si="2"/>
        <v>5.8048019509385265</v>
      </c>
      <c r="K11" s="153">
        <f t="shared" si="3"/>
        <v>5.800661151357423</v>
      </c>
      <c r="L11" s="153">
        <f t="shared" si="4"/>
        <v>0.00045657096939147324</v>
      </c>
      <c r="M11" s="153">
        <f t="shared" si="5"/>
        <v>0.5213675213675214</v>
      </c>
      <c r="N11" s="153">
        <f t="shared" si="15"/>
        <v>2.7856792724967994</v>
      </c>
      <c r="O11" s="153">
        <f t="shared" si="6"/>
        <v>0.07325223505585884</v>
      </c>
      <c r="P11" s="153">
        <f t="shared" si="7"/>
        <v>8.466155655512697</v>
      </c>
      <c r="Q11" s="153">
        <f t="shared" si="8"/>
        <v>2.8364672212628976</v>
      </c>
      <c r="R11" s="153">
        <f t="shared" si="9"/>
        <v>0.06779950800763512</v>
      </c>
      <c r="S11" s="153">
        <f t="shared" si="10"/>
        <v>0.7603833865814694</v>
      </c>
      <c r="T11" s="153">
        <f t="shared" si="16"/>
        <v>2.5967782370857537</v>
      </c>
      <c r="U11" s="153">
        <f t="shared" si="11"/>
        <v>1.8408385894615995</v>
      </c>
      <c r="V11" s="153">
        <f t="shared" si="12"/>
        <v>4.43609603795875</v>
      </c>
      <c r="W11" s="153">
        <f t="shared" si="17"/>
        <v>2.5967782370857537</v>
      </c>
      <c r="X11" s="163">
        <f t="shared" si="13"/>
        <v>9.064327485380117</v>
      </c>
      <c r="Y11" s="163">
        <f t="shared" si="14"/>
        <v>-0.12816959064327485</v>
      </c>
      <c r="Z11" s="164">
        <f t="shared" si="18"/>
        <v>5.7065252190806675</v>
      </c>
    </row>
    <row r="12" spans="1:26" ht="13.5">
      <c r="A12" s="128" t="s">
        <v>321</v>
      </c>
      <c r="B12" s="128">
        <f>(1*10^-9*(5*10^8*SQRT(fsw*kHz)+(1.09655978*10^10)*SQRT(ftyp)*SQRT(B10)))/SQRT(fsw*kHz)</f>
        <v>5.030596873807152</v>
      </c>
      <c r="D12" s="261"/>
      <c r="E12" s="262"/>
      <c r="G12" s="154">
        <f t="shared" si="19"/>
        <v>181</v>
      </c>
      <c r="H12" s="154">
        <f t="shared" si="0"/>
        <v>0.46918611141993727</v>
      </c>
      <c r="I12" s="154">
        <f t="shared" si="1"/>
        <v>5.631339000720808</v>
      </c>
      <c r="J12" s="154">
        <f t="shared" si="2"/>
        <v>5.740859923371576</v>
      </c>
      <c r="K12" s="154">
        <f t="shared" si="3"/>
        <v>5.73672037137611</v>
      </c>
      <c r="L12" s="154">
        <f t="shared" si="4"/>
        <v>0.00045657096939147324</v>
      </c>
      <c r="M12" s="154">
        <f t="shared" si="5"/>
        <v>0.5213675213675214</v>
      </c>
      <c r="N12" s="154">
        <f t="shared" si="15"/>
        <v>2.7773334508970695</v>
      </c>
      <c r="O12" s="154">
        <f t="shared" si="6"/>
        <v>0.07325223505585884</v>
      </c>
      <c r="P12" s="154">
        <f t="shared" si="7"/>
        <v>8.281715917278337</v>
      </c>
      <c r="Q12" s="154">
        <f t="shared" si="8"/>
        <v>2.8045989730932974</v>
      </c>
      <c r="R12" s="154">
        <f t="shared" si="9"/>
        <v>0.06779950800763512</v>
      </c>
      <c r="S12" s="154">
        <f t="shared" si="10"/>
        <v>0.7603833865814694</v>
      </c>
      <c r="T12" s="154">
        <f t="shared" si="16"/>
        <v>2.5903259563739076</v>
      </c>
      <c r="U12" s="154">
        <f t="shared" si="11"/>
        <v>1.8334306414535242</v>
      </c>
      <c r="V12" s="154">
        <f t="shared" si="12"/>
        <v>4.43609603795875</v>
      </c>
      <c r="W12" s="154">
        <f t="shared" si="17"/>
        <v>2.5903259563739076</v>
      </c>
      <c r="X12" s="163">
        <f t="shared" si="13"/>
        <v>9.014248328002326</v>
      </c>
      <c r="Y12" s="165">
        <f t="shared" si="14"/>
        <v>-0.12746147135795288</v>
      </c>
      <c r="Z12" s="166">
        <f t="shared" si="18"/>
        <v>5.701925878612988</v>
      </c>
    </row>
    <row r="13" spans="1:26" ht="13.5">
      <c r="A13" s="261"/>
      <c r="B13" s="262"/>
      <c r="D13" s="128" t="s">
        <v>321</v>
      </c>
      <c r="E13" s="128">
        <f>(1*10^-9*(5*10^8*SQRT(fsw*kHz)+(1.09655978*10^10)*SQRT(ftyp)*SQRT(E11)))/SQRT(fsw*kHz)</f>
        <v>3.7036157722916103</v>
      </c>
      <c r="G13" s="153">
        <f t="shared" si="19"/>
        <v>182</v>
      </c>
      <c r="H13" s="153">
        <f t="shared" si="0"/>
        <v>0.4640443846222848</v>
      </c>
      <c r="I13" s="153">
        <f t="shared" si="1"/>
        <v>5.603144830387178</v>
      </c>
      <c r="J13" s="153">
        <f t="shared" si="2"/>
        <v>5.677968987020899</v>
      </c>
      <c r="K13" s="153">
        <f t="shared" si="3"/>
        <v>5.673830662103019</v>
      </c>
      <c r="L13" s="153">
        <f t="shared" si="4"/>
        <v>0.00045657096939147324</v>
      </c>
      <c r="M13" s="153">
        <f t="shared" si="5"/>
        <v>0.5213675213675214</v>
      </c>
      <c r="N13" s="153">
        <f t="shared" si="15"/>
        <v>2.7690641333906774</v>
      </c>
      <c r="O13" s="153">
        <f t="shared" si="6"/>
        <v>0.07325223505585884</v>
      </c>
      <c r="P13" s="153">
        <f t="shared" si="7"/>
        <v>8.10228939631486</v>
      </c>
      <c r="Q13" s="153">
        <f t="shared" si="8"/>
        <v>2.7732545812511176</v>
      </c>
      <c r="R13" s="153">
        <f t="shared" si="9"/>
        <v>0.06779950800763512</v>
      </c>
      <c r="S13" s="153">
        <f t="shared" si="10"/>
        <v>0.7603833865814694</v>
      </c>
      <c r="T13" s="153">
        <f t="shared" si="16"/>
        <v>2.5839341127649136</v>
      </c>
      <c r="U13" s="153">
        <f t="shared" si="11"/>
        <v>1.826104099467516</v>
      </c>
      <c r="V13" s="153">
        <f t="shared" si="12"/>
        <v>4.43609603795875</v>
      </c>
      <c r="W13" s="153">
        <f t="shared" si="17"/>
        <v>2.5839341127649136</v>
      </c>
      <c r="X13" s="163">
        <f t="shared" si="13"/>
        <v>8.96471949103528</v>
      </c>
      <c r="Y13" s="163">
        <f t="shared" si="14"/>
        <v>-0.12676113360323887</v>
      </c>
      <c r="Z13" s="164">
        <f t="shared" si="18"/>
        <v>5.697374027918331</v>
      </c>
    </row>
    <row r="14" spans="1:26" ht="15.75">
      <c r="A14" s="128" t="s">
        <v>328</v>
      </c>
      <c r="B14" s="128">
        <v>0.156</v>
      </c>
      <c r="D14" s="261"/>
      <c r="E14" s="262"/>
      <c r="G14" s="154">
        <f t="shared" si="19"/>
        <v>183</v>
      </c>
      <c r="H14" s="154">
        <f t="shared" si="0"/>
        <v>0.45898671791419765</v>
      </c>
      <c r="I14" s="154">
        <f t="shared" si="1"/>
        <v>5.575258793062657</v>
      </c>
      <c r="J14" s="154">
        <f t="shared" si="2"/>
        <v>5.616106230103032</v>
      </c>
      <c r="K14" s="154">
        <f t="shared" si="3"/>
        <v>5.6119691122017255</v>
      </c>
      <c r="L14" s="154">
        <f t="shared" si="4"/>
        <v>0.00045657096939147324</v>
      </c>
      <c r="M14" s="154">
        <f t="shared" si="5"/>
        <v>0.5213675213675214</v>
      </c>
      <c r="N14" s="154">
        <f t="shared" si="15"/>
        <v>2.7608702041316637</v>
      </c>
      <c r="O14" s="154">
        <f t="shared" si="6"/>
        <v>0.07325223505585884</v>
      </c>
      <c r="P14" s="154">
        <f t="shared" si="7"/>
        <v>7.927713267974906</v>
      </c>
      <c r="Q14" s="154">
        <f t="shared" si="8"/>
        <v>2.7424226266677256</v>
      </c>
      <c r="R14" s="154">
        <f t="shared" si="9"/>
        <v>0.06779950800763512</v>
      </c>
      <c r="S14" s="154">
        <f t="shared" si="10"/>
        <v>0.7603833865814694</v>
      </c>
      <c r="T14" s="154">
        <f t="shared" si="16"/>
        <v>2.5776018231897244</v>
      </c>
      <c r="U14" s="154">
        <f t="shared" si="11"/>
        <v>1.8188576289786225</v>
      </c>
      <c r="V14" s="154">
        <f t="shared" si="12"/>
        <v>4.43609603795875</v>
      </c>
      <c r="W14" s="154">
        <f t="shared" si="17"/>
        <v>2.5776018231897244</v>
      </c>
      <c r="X14" s="163">
        <f t="shared" si="13"/>
        <v>8.915731952832902</v>
      </c>
      <c r="Y14" s="165">
        <f t="shared" si="14"/>
        <v>-0.12606844981305723</v>
      </c>
      <c r="Z14" s="166">
        <f t="shared" si="18"/>
        <v>5.6928690383721605</v>
      </c>
    </row>
    <row r="15" spans="1:26" ht="15.75">
      <c r="A15" s="128" t="s">
        <v>329</v>
      </c>
      <c r="B15" s="128">
        <v>0.088</v>
      </c>
      <c r="D15" s="128" t="s">
        <v>328</v>
      </c>
      <c r="E15" s="128">
        <v>0.156</v>
      </c>
      <c r="G15" s="153">
        <f t="shared" si="19"/>
        <v>184</v>
      </c>
      <c r="H15" s="153">
        <f t="shared" si="0"/>
        <v>0.4540112888772615</v>
      </c>
      <c r="I15" s="153">
        <f t="shared" si="1"/>
        <v>5.5476758648394915</v>
      </c>
      <c r="J15" s="153">
        <f t="shared" si="2"/>
        <v>5.555249361740806</v>
      </c>
      <c r="K15" s="153">
        <f t="shared" si="3"/>
        <v>5.551113431229981</v>
      </c>
      <c r="L15" s="153">
        <f t="shared" si="4"/>
        <v>0.00045657096939147324</v>
      </c>
      <c r="M15" s="153">
        <f t="shared" si="5"/>
        <v>0.5213675213675214</v>
      </c>
      <c r="N15" s="153">
        <f t="shared" si="15"/>
        <v>2.7527505695304684</v>
      </c>
      <c r="O15" s="153">
        <f t="shared" si="6"/>
        <v>0.07325223505585884</v>
      </c>
      <c r="P15" s="153">
        <f t="shared" si="7"/>
        <v>7.757830847286104</v>
      </c>
      <c r="Q15" s="153">
        <f t="shared" si="8"/>
        <v>2.712091999729731</v>
      </c>
      <c r="R15" s="153">
        <f t="shared" si="9"/>
        <v>0.06779950800763512</v>
      </c>
      <c r="S15" s="153">
        <f t="shared" si="10"/>
        <v>0.7603833865814694</v>
      </c>
      <c r="T15" s="153">
        <f t="shared" si="16"/>
        <v>2.571328222203209</v>
      </c>
      <c r="U15" s="153">
        <f t="shared" si="11"/>
        <v>1.811689924473304</v>
      </c>
      <c r="V15" s="153">
        <f t="shared" si="12"/>
        <v>4.43609603795875</v>
      </c>
      <c r="W15" s="153">
        <f t="shared" si="17"/>
        <v>2.571328222203209</v>
      </c>
      <c r="X15" s="163">
        <f t="shared" si="13"/>
        <v>8.867276887871853</v>
      </c>
      <c r="Y15" s="163">
        <f t="shared" si="14"/>
        <v>-0.125383295194508</v>
      </c>
      <c r="Z15" s="164">
        <f t="shared" si="18"/>
        <v>5.688410292948443</v>
      </c>
    </row>
    <row r="16" spans="1:26" ht="15.75">
      <c r="A16" s="128" t="s">
        <v>330</v>
      </c>
      <c r="B16" s="128">
        <v>0.1223</v>
      </c>
      <c r="D16" s="128" t="s">
        <v>329</v>
      </c>
      <c r="E16" s="128">
        <v>0.088</v>
      </c>
      <c r="G16" s="154">
        <f t="shared" si="19"/>
        <v>185</v>
      </c>
      <c r="H16" s="154">
        <f t="shared" si="0"/>
        <v>0.449116324214129</v>
      </c>
      <c r="I16" s="154">
        <f t="shared" si="1"/>
        <v>5.5203911304349536</v>
      </c>
      <c r="J16" s="154">
        <f t="shared" si="2"/>
        <v>5.495376691880472</v>
      </c>
      <c r="K16" s="154">
        <f t="shared" si="3"/>
        <v>5.4912419295572334</v>
      </c>
      <c r="L16" s="154">
        <f t="shared" si="4"/>
        <v>0.00045657096939147324</v>
      </c>
      <c r="M16" s="154">
        <f t="shared" si="5"/>
        <v>0.5213675213675214</v>
      </c>
      <c r="N16" s="154">
        <f t="shared" si="15"/>
        <v>2.7447041576919955</v>
      </c>
      <c r="O16" s="154">
        <f t="shared" si="6"/>
        <v>0.07325223505585884</v>
      </c>
      <c r="P16" s="154">
        <f t="shared" si="7"/>
        <v>7.5924913257196796</v>
      </c>
      <c r="Q16" s="154">
        <f t="shared" si="8"/>
        <v>2.6822518902698316</v>
      </c>
      <c r="R16" s="154">
        <f t="shared" si="9"/>
        <v>0.06779950800763512</v>
      </c>
      <c r="S16" s="154">
        <f t="shared" si="10"/>
        <v>0.7603833865814694</v>
      </c>
      <c r="T16" s="154">
        <f t="shared" si="16"/>
        <v>2.565112461539029</v>
      </c>
      <c r="U16" s="154">
        <f t="shared" si="11"/>
        <v>1.8045997086653403</v>
      </c>
      <c r="V16" s="154">
        <f t="shared" si="12"/>
        <v>4.43609603795875</v>
      </c>
      <c r="W16" s="154">
        <f t="shared" si="17"/>
        <v>2.565112461539029</v>
      </c>
      <c r="X16" s="163">
        <f t="shared" si="13"/>
        <v>8.819345661450924</v>
      </c>
      <c r="Y16" s="165">
        <f t="shared" si="14"/>
        <v>-0.12470554765291608</v>
      </c>
      <c r="Z16" s="166">
        <f>MIN(6,MAX(0.5,Beta*G*($Y16-Voff_trim)/(MAX(0,MIN(4.5,W16)-Alpha1_A)+MAX(0,MIN(4.5,W16)-Alpha1_B)-Alpha1_C)+Alpha2))</f>
        <v>5.683997185944282</v>
      </c>
    </row>
    <row r="17" spans="1:26" ht="15.75">
      <c r="A17" s="128" t="s">
        <v>331</v>
      </c>
      <c r="B17" s="128">
        <v>0.5</v>
      </c>
      <c r="D17" s="128" t="s">
        <v>330</v>
      </c>
      <c r="E17" s="128">
        <v>0.1223</v>
      </c>
      <c r="G17" s="153">
        <f t="shared" si="19"/>
        <v>186</v>
      </c>
      <c r="H17" s="153">
        <f t="shared" si="0"/>
        <v>0.4443000981682438</v>
      </c>
      <c r="I17" s="153">
        <f t="shared" si="1"/>
        <v>5.493399780271323</v>
      </c>
      <c r="J17" s="153">
        <f t="shared" si="2"/>
        <v>5.436467111962585</v>
      </c>
      <c r="K17" s="153">
        <f t="shared" si="3"/>
        <v>5.432333499035896</v>
      </c>
      <c r="L17" s="153">
        <f t="shared" si="4"/>
        <v>0.00045657096939147324</v>
      </c>
      <c r="M17" s="153">
        <f t="shared" si="5"/>
        <v>0.5213675213675214</v>
      </c>
      <c r="N17" s="153">
        <f t="shared" si="15"/>
        <v>2.7367299178708158</v>
      </c>
      <c r="O17" s="153">
        <f t="shared" si="6"/>
        <v>0.07325223505585884</v>
      </c>
      <c r="P17" s="153">
        <f t="shared" si="7"/>
        <v>7.431549520589515</v>
      </c>
      <c r="Q17" s="153">
        <f t="shared" si="8"/>
        <v>2.652891777933318</v>
      </c>
      <c r="R17" s="153">
        <f t="shared" si="9"/>
        <v>0.06779950800763512</v>
      </c>
      <c r="S17" s="153">
        <f t="shared" si="10"/>
        <v>0.7603833865814694</v>
      </c>
      <c r="T17" s="153">
        <f t="shared" si="16"/>
        <v>2.558953709678092</v>
      </c>
      <c r="U17" s="153">
        <f t="shared" si="11"/>
        <v>1.7975857317370318</v>
      </c>
      <c r="V17" s="153">
        <f t="shared" si="12"/>
        <v>4.43609603795875</v>
      </c>
      <c r="W17" s="153">
        <f t="shared" si="17"/>
        <v>2.558953709678092</v>
      </c>
      <c r="X17" s="163">
        <f t="shared" si="13"/>
        <v>8.771929824561404</v>
      </c>
      <c r="Y17" s="163">
        <f t="shared" si="14"/>
        <v>-0.12403508771929825</v>
      </c>
      <c r="Z17" s="164">
        <f t="shared" si="18"/>
        <v>5.679629122712538</v>
      </c>
    </row>
    <row r="18" spans="1:26" ht="15.75">
      <c r="A18" s="128" t="s">
        <v>332</v>
      </c>
      <c r="B18" s="128">
        <f>(b_1^3/(27*a_1^3))-(d_1^3/27)+SQRT((ftyp)^2*B10^2/(4*a_1^2*c_1^2*(fsw*kHz)^2))+(b_1^3*(ftyp)*B10/(27*a_1^4*c_1*(fsw*kHz))-(d_1^3*(ftyp)*B10/(27*a_1*c_1*(fsw*kHz)))+(b_1*d_1^2*(ftyp)*B10/(9*a_1^2*c_1*(fsw*kHz)))-(b_1^2*d_1*(ftyp)*B10/(9*a_1^3*c_1*(fsw*kHz))))</f>
        <v>4.475788528029511</v>
      </c>
      <c r="D18" s="128" t="s">
        <v>331</v>
      </c>
      <c r="E18" s="128">
        <v>0.5</v>
      </c>
      <c r="G18" s="154">
        <f t="shared" si="19"/>
        <v>187</v>
      </c>
      <c r="H18" s="154">
        <f t="shared" si="0"/>
        <v>0.4395609310025613</v>
      </c>
      <c r="I18" s="154">
        <f t="shared" si="1"/>
        <v>5.466697107649552</v>
      </c>
      <c r="J18" s="154">
        <f t="shared" si="2"/>
        <v>5.378500076314514</v>
      </c>
      <c r="K18" s="154">
        <f t="shared" si="3"/>
        <v>5.374367594394204</v>
      </c>
      <c r="L18" s="154">
        <f t="shared" si="4"/>
        <v>0.00045657096939147324</v>
      </c>
      <c r="M18" s="154">
        <f t="shared" si="5"/>
        <v>0.5213675213675214</v>
      </c>
      <c r="N18" s="154">
        <f t="shared" si="15"/>
        <v>2.728826819942895</v>
      </c>
      <c r="O18" s="154">
        <f t="shared" si="6"/>
        <v>0.07325223505585884</v>
      </c>
      <c r="P18" s="154">
        <f t="shared" si="7"/>
        <v>7.274865636411872</v>
      </c>
      <c r="Q18" s="154">
        <f t="shared" si="8"/>
        <v>2.6240014229042323</v>
      </c>
      <c r="R18" s="154">
        <f t="shared" si="9"/>
        <v>0.06779950800763512</v>
      </c>
      <c r="S18" s="154">
        <f t="shared" si="10"/>
        <v>0.7603833865814694</v>
      </c>
      <c r="T18" s="154">
        <f t="shared" si="16"/>
        <v>2.552851151430101</v>
      </c>
      <c r="U18" s="154">
        <f t="shared" si="11"/>
        <v>1.7906467706047482</v>
      </c>
      <c r="V18" s="154">
        <f t="shared" si="12"/>
        <v>4.43609603795875</v>
      </c>
      <c r="W18" s="154">
        <f t="shared" si="17"/>
        <v>2.552851151430101</v>
      </c>
      <c r="X18" s="163">
        <f t="shared" si="13"/>
        <v>8.725021108922038</v>
      </c>
      <c r="Y18" s="165">
        <f t="shared" si="14"/>
        <v>-0.1233717984801576</v>
      </c>
      <c r="Z18" s="166">
        <f t="shared" si="18"/>
        <v>5.67530551940214</v>
      </c>
    </row>
    <row r="19" spans="1:26" ht="15.75">
      <c r="A19" s="128" t="s">
        <v>333</v>
      </c>
      <c r="B19" s="128">
        <f>(b_1*d_1^2/(9*a_1))-(b_1^2*d_1/(9*a_1^2))+(ftyp*B10/(2*a_1*c_1*fsw*kHz))</f>
        <v>4.471673659094034</v>
      </c>
      <c r="D19" s="128" t="s">
        <v>332</v>
      </c>
      <c r="E19" s="128">
        <f>(b_1^3/(27*a_1^3))-(d_1^3/27)+SQRT((ftyp)^2*E11^2/(4*a_1^2*c_1^2*(fsw*kHz)^2))+(b_1^3*(ftyp)*E11/(27*a_1^4*c_1*(fsw*kHz))-(d_1^3*(ftyp)*E11/(27*a_1*c_1*(fsw*kHz)))+(b_1*d_1^2*(ftyp)*E11/(9*a_1^2*c_1*(fsw*kHz)))-(b_1^2*d_1*(ftyp)*E11/(9*a_1^3*c_1*(fsw*kHz))))</f>
        <v>2.238903598042389</v>
      </c>
      <c r="G19" s="153">
        <f t="shared" si="19"/>
        <v>188</v>
      </c>
      <c r="H19" s="153">
        <f t="shared" si="0"/>
        <v>0.4348971875347602</v>
      </c>
      <c r="I19" s="153">
        <f t="shared" si="1"/>
        <v>5.440278506013118</v>
      </c>
      <c r="J19" s="153">
        <f t="shared" si="2"/>
        <v>5.3214555842339</v>
      </c>
      <c r="K19" s="153">
        <f t="shared" si="3"/>
        <v>5.3173242153200375</v>
      </c>
      <c r="L19" s="153">
        <f t="shared" si="4"/>
        <v>0.00045657096939147324</v>
      </c>
      <c r="M19" s="153">
        <f t="shared" si="5"/>
        <v>0.5213675213675214</v>
      </c>
      <c r="N19" s="153">
        <f t="shared" si="15"/>
        <v>2.720993853893256</v>
      </c>
      <c r="O19" s="153">
        <f t="shared" si="6"/>
        <v>0.07325223505585884</v>
      </c>
      <c r="P19" s="153">
        <f t="shared" si="7"/>
        <v>7.122305037594704</v>
      </c>
      <c r="Q19" s="153">
        <f t="shared" si="8"/>
        <v>2.5955708569758933</v>
      </c>
      <c r="R19" s="153">
        <f t="shared" si="9"/>
        <v>0.06779950800763512</v>
      </c>
      <c r="S19" s="153">
        <f t="shared" si="10"/>
        <v>0.7603833865814694</v>
      </c>
      <c r="T19" s="153">
        <f t="shared" si="16"/>
        <v>2.5468039875277215</v>
      </c>
      <c r="U19" s="153">
        <f t="shared" si="11"/>
        <v>1.7837816282079144</v>
      </c>
      <c r="V19" s="153">
        <f t="shared" si="12"/>
        <v>4.43609603795875</v>
      </c>
      <c r="W19" s="153">
        <f t="shared" si="17"/>
        <v>2.5468039875277215</v>
      </c>
      <c r="X19" s="163">
        <f t="shared" si="13"/>
        <v>8.678611422172452</v>
      </c>
      <c r="Y19" s="163">
        <f t="shared" si="14"/>
        <v>-0.12271556550951847</v>
      </c>
      <c r="Z19" s="164">
        <f t="shared" si="18"/>
        <v>5.6710258027058496</v>
      </c>
    </row>
    <row r="20" spans="1:26" ht="15.75">
      <c r="A20" s="128" t="s">
        <v>334</v>
      </c>
      <c r="B20" s="128">
        <f>(d_1^2/9)+(b_1^2/(9*a_1^2))-(2*b_1*d_1/(9*a_1))</f>
        <v>0.00045657096939147324</v>
      </c>
      <c r="D20" s="128" t="s">
        <v>333</v>
      </c>
      <c r="E20" s="128">
        <f>(b_1*d_1^2/(9*a_1))-(b_1^2*d_1/(9*a_1^2))+(ftyp*E11/(2*a_1*c_1*fsw*kHz))</f>
        <v>2.234832373414356</v>
      </c>
      <c r="G20" s="154">
        <f t="shared" si="19"/>
        <v>189</v>
      </c>
      <c r="H20" s="154">
        <f t="shared" si="0"/>
        <v>0.43030727572656324</v>
      </c>
      <c r="I20" s="154">
        <f t="shared" si="1"/>
        <v>5.414139466298764</v>
      </c>
      <c r="J20" s="154">
        <f t="shared" si="2"/>
        <v>5.265314162733961</v>
      </c>
      <c r="K20" s="154">
        <f t="shared" si="3"/>
        <v>5.261183889206556</v>
      </c>
      <c r="L20" s="154">
        <f t="shared" si="4"/>
        <v>0.00045657096939147324</v>
      </c>
      <c r="M20" s="154">
        <f t="shared" si="5"/>
        <v>0.5213675213675214</v>
      </c>
      <c r="N20" s="154">
        <f t="shared" si="15"/>
        <v>2.7132300293190164</v>
      </c>
      <c r="O20" s="154">
        <f t="shared" si="6"/>
        <v>0.07325223505585884</v>
      </c>
      <c r="P20" s="154">
        <f t="shared" si="7"/>
        <v>6.973738031862116</v>
      </c>
      <c r="Q20" s="154">
        <f t="shared" si="8"/>
        <v>2.567590374951283</v>
      </c>
      <c r="R20" s="154">
        <f t="shared" si="9"/>
        <v>0.06779950800763512</v>
      </c>
      <c r="S20" s="154">
        <f t="shared" si="10"/>
        <v>0.7603833865814694</v>
      </c>
      <c r="T20" s="154">
        <f t="shared" si="16"/>
        <v>2.54081143423294</v>
      </c>
      <c r="U20" s="154">
        <f t="shared" si="11"/>
        <v>1.7769891328205711</v>
      </c>
      <c r="V20" s="154">
        <f t="shared" si="12"/>
        <v>4.43609603795875</v>
      </c>
      <c r="W20" s="154">
        <f t="shared" si="17"/>
        <v>2.54081143423294</v>
      </c>
      <c r="X20" s="163">
        <f t="shared" si="13"/>
        <v>8.632692843219159</v>
      </c>
      <c r="Y20" s="165">
        <f t="shared" si="14"/>
        <v>-0.12206627680311889</v>
      </c>
      <c r="Z20" s="166">
        <f t="shared" si="18"/>
        <v>5.666789409615197</v>
      </c>
    </row>
    <row r="21" spans="1:26" ht="15.75">
      <c r="A21" s="128" t="s">
        <v>335</v>
      </c>
      <c r="B21" s="128">
        <f>((b_1*c_1*fsw*kHz)+(2*a_1*c_1*d_1*fsw*kHz))/(3*a_1*c_1*fsw*kHz)</f>
        <v>0.5213675213675214</v>
      </c>
      <c r="D21" s="128" t="s">
        <v>334</v>
      </c>
      <c r="E21" s="128">
        <f>(d_1^2/9)+(b_1^2/(9*a_1^2))-(2*b_1*d_1/(9*a_1))</f>
        <v>0.00045657096939147324</v>
      </c>
      <c r="G21" s="153">
        <f t="shared" si="19"/>
        <v>190</v>
      </c>
      <c r="H21" s="153">
        <f t="shared" si="0"/>
        <v>0.42578964532489094</v>
      </c>
      <c r="I21" s="153">
        <f t="shared" si="1"/>
        <v>5.388275574370875</v>
      </c>
      <c r="J21" s="153">
        <f t="shared" si="2"/>
        <v>5.210056849922791</v>
      </c>
      <c r="K21" s="153">
        <f t="shared" si="3"/>
        <v>5.205927654531823</v>
      </c>
      <c r="L21" s="153">
        <f t="shared" si="4"/>
        <v>0.00045657096939147324</v>
      </c>
      <c r="M21" s="153">
        <f t="shared" si="5"/>
        <v>0.5213675213675214</v>
      </c>
      <c r="N21" s="153">
        <f t="shared" si="15"/>
        <v>2.7055343749472653</v>
      </c>
      <c r="O21" s="153">
        <f t="shared" si="6"/>
        <v>0.07325223505585884</v>
      </c>
      <c r="P21" s="153">
        <f t="shared" si="7"/>
        <v>6.829039663853416</v>
      </c>
      <c r="Q21" s="153">
        <f t="shared" si="8"/>
        <v>2.540050526359403</v>
      </c>
      <c r="R21" s="153">
        <f t="shared" si="9"/>
        <v>0.06779950800763512</v>
      </c>
      <c r="S21" s="153">
        <f t="shared" si="10"/>
        <v>0.7603833865814694</v>
      </c>
      <c r="T21" s="153">
        <f t="shared" si="16"/>
        <v>2.5348727229551686</v>
      </c>
      <c r="U21" s="153">
        <f t="shared" si="11"/>
        <v>1.7702681373846731</v>
      </c>
      <c r="V21" s="153">
        <f t="shared" si="12"/>
        <v>4.43609603795875</v>
      </c>
      <c r="W21" s="153">
        <f t="shared" si="17"/>
        <v>2.5348727229551686</v>
      </c>
      <c r="X21" s="163">
        <f t="shared" si="13"/>
        <v>8.587257617728532</v>
      </c>
      <c r="Y21" s="163">
        <f t="shared" si="14"/>
        <v>-0.12142382271468145</v>
      </c>
      <c r="Z21" s="164">
        <f t="shared" si="18"/>
        <v>5.662595787182383</v>
      </c>
    </row>
    <row r="22" spans="1:26" ht="15.75">
      <c r="A22" s="128" t="s">
        <v>322</v>
      </c>
      <c r="B22" s="128">
        <f>(B18+B19)^(1/3)+(B20/(B18^(1/3)))+B21</f>
        <v>2.597672968317146</v>
      </c>
      <c r="D22" s="128" t="s">
        <v>335</v>
      </c>
      <c r="E22" s="128">
        <f>((b_1*c_1*fsw*kHz)+(2*a_1*c_1*d_1*fsw*kHz))/(3*a_1*c_1*fsw*kHz)</f>
        <v>0.5213675213675214</v>
      </c>
      <c r="G22" s="154">
        <f t="shared" si="19"/>
        <v>191</v>
      </c>
      <c r="H22" s="154">
        <f t="shared" si="0"/>
        <v>0.42134278655268675</v>
      </c>
      <c r="I22" s="154">
        <f t="shared" si="1"/>
        <v>5.362682508536473</v>
      </c>
      <c r="J22" s="154">
        <f t="shared" si="2"/>
        <v>5.155665178990209</v>
      </c>
      <c r="K22" s="154">
        <f t="shared" si="3"/>
        <v>5.151537044845967</v>
      </c>
      <c r="L22" s="154">
        <f t="shared" si="4"/>
        <v>0.00045657096939147324</v>
      </c>
      <c r="M22" s="154">
        <f t="shared" si="5"/>
        <v>0.5213675213675214</v>
      </c>
      <c r="N22" s="154">
        <f t="shared" si="15"/>
        <v>2.697905938167249</v>
      </c>
      <c r="O22" s="154">
        <f t="shared" si="6"/>
        <v>0.07325223505585884</v>
      </c>
      <c r="P22" s="154">
        <f t="shared" si="7"/>
        <v>6.688089518368508</v>
      </c>
      <c r="Q22" s="154">
        <f t="shared" si="8"/>
        <v>2.5129421074744402</v>
      </c>
      <c r="R22" s="154">
        <f t="shared" si="9"/>
        <v>0.06779950800763512</v>
      </c>
      <c r="S22" s="154">
        <f t="shared" si="10"/>
        <v>0.7603833865814694</v>
      </c>
      <c r="T22" s="154">
        <f t="shared" si="16"/>
        <v>2.5289870998806947</v>
      </c>
      <c r="U22" s="154">
        <f t="shared" si="11"/>
        <v>1.7636175188643346</v>
      </c>
      <c r="V22" s="154">
        <f t="shared" si="12"/>
        <v>4.43609603795875</v>
      </c>
      <c r="W22" s="154">
        <f t="shared" si="17"/>
        <v>2.5289870998806947</v>
      </c>
      <c r="X22" s="163">
        <f t="shared" si="13"/>
        <v>8.542298153761367</v>
      </c>
      <c r="Y22" s="165">
        <f t="shared" si="14"/>
        <v>-0.12078809589418572</v>
      </c>
      <c r="Z22" s="166">
        <f t="shared" si="18"/>
        <v>5.6584443922888745</v>
      </c>
    </row>
    <row r="23" spans="1:26" ht="13.5">
      <c r="A23" s="261"/>
      <c r="B23" s="262"/>
      <c r="D23" s="128" t="s">
        <v>322</v>
      </c>
      <c r="E23" s="128">
        <f>(E19+E20)^(1/3)+(E21/(E19^(1/3)))+E22</f>
        <v>2.169461957620421</v>
      </c>
      <c r="G23" s="153">
        <f t="shared" si="19"/>
        <v>192</v>
      </c>
      <c r="H23" s="153">
        <f t="shared" si="0"/>
        <v>0.416965228847346</v>
      </c>
      <c r="I23" s="153">
        <f t="shared" si="1"/>
        <v>5.3373560371378455</v>
      </c>
      <c r="J23" s="153">
        <f t="shared" si="2"/>
        <v>5.102121162776881</v>
      </c>
      <c r="K23" s="153">
        <f t="shared" si="3"/>
        <v>5.0979940733406055</v>
      </c>
      <c r="L23" s="153">
        <f t="shared" si="4"/>
        <v>0.00045657096939147324</v>
      </c>
      <c r="M23" s="153">
        <f t="shared" si="5"/>
        <v>0.5213675213675214</v>
      </c>
      <c r="N23" s="153">
        <f t="shared" si="15"/>
        <v>2.6903437845763842</v>
      </c>
      <c r="O23" s="153">
        <f t="shared" si="6"/>
        <v>0.07325223505585884</v>
      </c>
      <c r="P23" s="153">
        <f t="shared" si="7"/>
        <v>6.550771532761096</v>
      </c>
      <c r="Q23" s="153">
        <f t="shared" si="8"/>
        <v>2.4862561536251224</v>
      </c>
      <c r="R23" s="153">
        <f t="shared" si="9"/>
        <v>0.06779950800763512</v>
      </c>
      <c r="S23" s="153">
        <f t="shared" si="10"/>
        <v>0.7603833865814694</v>
      </c>
      <c r="T23" s="153">
        <f t="shared" si="16"/>
        <v>2.523153825613079</v>
      </c>
      <c r="U23" s="153">
        <f t="shared" si="11"/>
        <v>1.7570361776202497</v>
      </c>
      <c r="V23" s="153">
        <f t="shared" si="12"/>
        <v>4.43609603795875</v>
      </c>
      <c r="W23" s="153">
        <f t="shared" si="17"/>
        <v>2.523153825613079</v>
      </c>
      <c r="X23" s="163">
        <f t="shared" si="13"/>
        <v>8.49780701754386</v>
      </c>
      <c r="Y23" s="163">
        <f t="shared" si="14"/>
        <v>-0.12015899122807017</v>
      </c>
      <c r="Z23" s="164">
        <f t="shared" si="18"/>
        <v>5.654334691420519</v>
      </c>
    </row>
    <row r="24" spans="1:26" ht="15.75">
      <c r="A24" s="128" t="s">
        <v>324</v>
      </c>
      <c r="B24" s="128">
        <v>0.313</v>
      </c>
      <c r="D24" s="261"/>
      <c r="E24" s="262"/>
      <c r="G24" s="154">
        <f t="shared" si="19"/>
        <v>193</v>
      </c>
      <c r="H24" s="154">
        <f t="shared" si="0"/>
        <v>0.4126555396447842</v>
      </c>
      <c r="I24" s="154">
        <f t="shared" si="1"/>
        <v>5.312292016220033</v>
      </c>
      <c r="J24" s="154">
        <f t="shared" si="2"/>
        <v>5.049407278901668</v>
      </c>
      <c r="K24" s="154">
        <f t="shared" si="3"/>
        <v>5.045281217976482</v>
      </c>
      <c r="L24" s="154">
        <f t="shared" si="4"/>
        <v>0.00045657096939147324</v>
      </c>
      <c r="M24" s="154">
        <f t="shared" si="5"/>
        <v>0.5213675213675214</v>
      </c>
      <c r="N24" s="154">
        <f t="shared" si="15"/>
        <v>2.6828469975396043</v>
      </c>
      <c r="O24" s="154">
        <f t="shared" si="6"/>
        <v>0.07325223505585884</v>
      </c>
      <c r="P24" s="154">
        <f t="shared" si="7"/>
        <v>6.416973818009673</v>
      </c>
      <c r="Q24" s="154">
        <f t="shared" si="8"/>
        <v>2.4599839317823005</v>
      </c>
      <c r="R24" s="154">
        <f t="shared" si="9"/>
        <v>0.06779950800763512</v>
      </c>
      <c r="S24" s="154">
        <f t="shared" si="10"/>
        <v>0.7603833865814694</v>
      </c>
      <c r="T24" s="154">
        <f t="shared" si="16"/>
        <v>2.517372174824123</v>
      </c>
      <c r="U24" s="154">
        <f t="shared" si="11"/>
        <v>1.7505230368035647</v>
      </c>
      <c r="V24" s="154">
        <f t="shared" si="12"/>
        <v>4.43609603795875</v>
      </c>
      <c r="W24" s="154">
        <f t="shared" si="17"/>
        <v>2.517372174824123</v>
      </c>
      <c r="X24" s="163">
        <f t="shared" si="13"/>
        <v>8.453776929370058</v>
      </c>
      <c r="Y24" s="165">
        <f t="shared" si="14"/>
        <v>-0.11953640578129261</v>
      </c>
      <c r="Z24" s="166">
        <f t="shared" si="18"/>
        <v>5.650266160448907</v>
      </c>
    </row>
    <row r="25" spans="1:26" ht="15.75">
      <c r="A25" s="128" t="s">
        <v>325</v>
      </c>
      <c r="B25" s="128">
        <v>0.401</v>
      </c>
      <c r="D25" s="128" t="s">
        <v>324</v>
      </c>
      <c r="E25" s="128">
        <v>0.313</v>
      </c>
      <c r="G25" s="153">
        <f t="shared" si="19"/>
        <v>194</v>
      </c>
      <c r="H25" s="153">
        <f t="shared" si="0"/>
        <v>0.4084123232072634</v>
      </c>
      <c r="I25" s="153">
        <f t="shared" si="1"/>
        <v>5.2874863872704445</v>
      </c>
      <c r="J25" s="153">
        <f t="shared" si="2"/>
        <v>4.997506455424213</v>
      </c>
      <c r="K25" s="153">
        <f t="shared" si="3"/>
        <v>4.993381407146331</v>
      </c>
      <c r="L25" s="153">
        <f t="shared" si="4"/>
        <v>0.00045657096939147324</v>
      </c>
      <c r="M25" s="153">
        <f t="shared" si="5"/>
        <v>0.5213675213675214</v>
      </c>
      <c r="N25" s="153">
        <f t="shared" si="15"/>
        <v>2.6754146777615926</v>
      </c>
      <c r="O25" s="153">
        <f t="shared" si="6"/>
        <v>0.07325223505585884</v>
      </c>
      <c r="P25" s="153">
        <f t="shared" si="7"/>
        <v>6.286588488022399</v>
      </c>
      <c r="Q25" s="153">
        <f t="shared" si="8"/>
        <v>2.4341169334132795</v>
      </c>
      <c r="R25" s="153">
        <f t="shared" si="9"/>
        <v>0.06779950800763512</v>
      </c>
      <c r="S25" s="153">
        <f t="shared" si="10"/>
        <v>0.7603833865814694</v>
      </c>
      <c r="T25" s="153">
        <f t="shared" si="16"/>
        <v>2.5116414359150423</v>
      </c>
      <c r="U25" s="153">
        <f t="shared" si="11"/>
        <v>1.7440770417684943</v>
      </c>
      <c r="V25" s="153">
        <f t="shared" si="12"/>
        <v>4.43609603795875</v>
      </c>
      <c r="W25" s="153">
        <f t="shared" si="17"/>
        <v>2.5116414359150423</v>
      </c>
      <c r="X25" s="163">
        <f t="shared" si="13"/>
        <v>8.410200759631037</v>
      </c>
      <c r="Y25" s="163">
        <f t="shared" si="14"/>
        <v>-0.11892023874118285</v>
      </c>
      <c r="Z25" s="164">
        <f t="shared" si="18"/>
        <v>5.64623828441883</v>
      </c>
    </row>
    <row r="26" spans="1:26" ht="15.75">
      <c r="A26" s="128" t="s">
        <v>326</v>
      </c>
      <c r="B26" s="128">
        <v>0.1223</v>
      </c>
      <c r="D26" s="128" t="s">
        <v>325</v>
      </c>
      <c r="E26" s="128">
        <v>0.401</v>
      </c>
      <c r="G26" s="154">
        <f t="shared" si="19"/>
        <v>195</v>
      </c>
      <c r="H26" s="154">
        <f t="shared" si="0"/>
        <v>0.4042342194931903</v>
      </c>
      <c r="I26" s="154">
        <f t="shared" si="1"/>
        <v>5.262935175028032</v>
      </c>
      <c r="J26" s="154">
        <f t="shared" si="2"/>
        <v>4.946402057020883</v>
      </c>
      <c r="K26" s="154">
        <f t="shared" si="3"/>
        <v>4.9422780058511</v>
      </c>
      <c r="L26" s="154">
        <f t="shared" si="4"/>
        <v>0.00045657096939147324</v>
      </c>
      <c r="M26" s="154">
        <f t="shared" si="5"/>
        <v>0.5213675213675214</v>
      </c>
      <c r="N26" s="154">
        <f>(J26+K26)^(1/3)+(L26/(J26^(1/3)))+M26</f>
        <v>2.6680459428714585</v>
      </c>
      <c r="O26" s="154">
        <f t="shared" si="6"/>
        <v>0.07325223505585884</v>
      </c>
      <c r="P26" s="154">
        <f t="shared" si="7"/>
        <v>6.159511496757096</v>
      </c>
      <c r="Q26" s="154">
        <f t="shared" si="8"/>
        <v>2.408646867592014</v>
      </c>
      <c r="R26" s="154">
        <f t="shared" si="9"/>
        <v>0.06779950800763512</v>
      </c>
      <c r="S26" s="154">
        <f t="shared" si="10"/>
        <v>0.7603833865814694</v>
      </c>
      <c r="T26" s="154">
        <f t="shared" si="16"/>
        <v>2.505960910687497</v>
      </c>
      <c r="U26" s="154">
        <f t="shared" si="11"/>
        <v>1.737697159503015</v>
      </c>
      <c r="V26" s="154">
        <f t="shared" si="12"/>
        <v>4.43609603795875</v>
      </c>
      <c r="W26" s="154">
        <f t="shared" si="17"/>
        <v>2.505960910687497</v>
      </c>
      <c r="X26" s="163">
        <f t="shared" si="13"/>
        <v>8.367071524966262</v>
      </c>
      <c r="Y26" s="165">
        <f t="shared" si="14"/>
        <v>-0.11831039136302293</v>
      </c>
      <c r="Z26" s="166">
        <f t="shared" si="18"/>
        <v>5.642250557341596</v>
      </c>
    </row>
    <row r="27" spans="1:26" ht="15.75">
      <c r="A27" s="128" t="s">
        <v>327</v>
      </c>
      <c r="B27" s="128">
        <v>0.5</v>
      </c>
      <c r="D27" s="128" t="s">
        <v>326</v>
      </c>
      <c r="E27" s="128">
        <v>0.1223</v>
      </c>
      <c r="G27" s="153">
        <f t="shared" si="19"/>
        <v>196</v>
      </c>
      <c r="H27" s="153">
        <f t="shared" si="0"/>
        <v>0.4001199030671742</v>
      </c>
      <c r="I27" s="153">
        <f t="shared" si="1"/>
        <v>5.238634485359522</v>
      </c>
      <c r="J27" s="153">
        <f t="shared" si="2"/>
        <v>4.896077871653184</v>
      </c>
      <c r="K27" s="153">
        <f t="shared" si="3"/>
        <v>4.8919548023686055</v>
      </c>
      <c r="L27" s="153">
        <f t="shared" si="4"/>
        <v>0.00045657096939147324</v>
      </c>
      <c r="M27" s="153">
        <f t="shared" si="5"/>
        <v>0.5213675213675214</v>
      </c>
      <c r="N27" s="153">
        <f t="shared" si="15"/>
        <v>2.6607399270194274</v>
      </c>
      <c r="O27" s="153">
        <f t="shared" si="6"/>
        <v>0.07325223505585884</v>
      </c>
      <c r="P27" s="153">
        <f t="shared" si="7"/>
        <v>6.035642482760695</v>
      </c>
      <c r="Q27" s="153">
        <f t="shared" si="8"/>
        <v>2.3835656543547326</v>
      </c>
      <c r="R27" s="153">
        <f t="shared" si="9"/>
        <v>0.06779950800763512</v>
      </c>
      <c r="S27" s="153">
        <f t="shared" si="10"/>
        <v>0.7603833865814694</v>
      </c>
      <c r="T27" s="153">
        <f t="shared" si="16"/>
        <v>2.500329914024145</v>
      </c>
      <c r="U27" s="153">
        <f t="shared" si="11"/>
        <v>1.731382378076979</v>
      </c>
      <c r="V27" s="153">
        <f t="shared" si="12"/>
        <v>4.43609603795875</v>
      </c>
      <c r="W27" s="153">
        <f t="shared" si="17"/>
        <v>2.500329914024145</v>
      </c>
      <c r="X27" s="163">
        <f t="shared" si="13"/>
        <v>8.324382384532761</v>
      </c>
      <c r="Y27" s="163">
        <f t="shared" si="14"/>
        <v>-0.11770676691729323</v>
      </c>
      <c r="Z27" s="164">
        <f t="shared" si="18"/>
        <v>5.638302481994022</v>
      </c>
    </row>
    <row r="28" spans="1:26" ht="15.75">
      <c r="A28" s="128" t="s">
        <v>336</v>
      </c>
      <c r="B28" s="128">
        <f>(b_2^3/(27*a_2^3))-(d_2^3/27)</f>
        <v>0.07325223505585884</v>
      </c>
      <c r="D28" s="128" t="s">
        <v>327</v>
      </c>
      <c r="E28" s="128">
        <v>0.5</v>
      </c>
      <c r="G28" s="154">
        <f t="shared" si="19"/>
        <v>197</v>
      </c>
      <c r="H28" s="154">
        <f t="shared" si="0"/>
        <v>0.39606808204871463</v>
      </c>
      <c r="I28" s="154">
        <f t="shared" si="1"/>
        <v>5.214580503200336</v>
      </c>
      <c r="J28" s="154">
        <f t="shared" si="2"/>
        <v>4.846518097708636</v>
      </c>
      <c r="K28" s="154">
        <f t="shared" si="3"/>
        <v>4.8423959953946785</v>
      </c>
      <c r="L28" s="154">
        <f t="shared" si="4"/>
        <v>0.00045657096939147324</v>
      </c>
      <c r="M28" s="154">
        <f t="shared" si="5"/>
        <v>0.5213675213675214</v>
      </c>
      <c r="N28" s="154">
        <f t="shared" si="15"/>
        <v>2.653495780485144</v>
      </c>
      <c r="O28" s="154">
        <f t="shared" si="6"/>
        <v>0.07325223505585884</v>
      </c>
      <c r="P28" s="154">
        <f t="shared" si="7"/>
        <v>5.9148846207544565</v>
      </c>
      <c r="Q28" s="154">
        <f t="shared" si="8"/>
        <v>2.3588654182910505</v>
      </c>
      <c r="R28" s="154">
        <f t="shared" si="9"/>
        <v>0.06779950800763512</v>
      </c>
      <c r="S28" s="154">
        <f t="shared" si="10"/>
        <v>0.7603833865814694</v>
      </c>
      <c r="T28" s="154">
        <f t="shared" si="16"/>
        <v>2.4947477735783914</v>
      </c>
      <c r="U28" s="154">
        <f t="shared" si="11"/>
        <v>1.7251317061070455</v>
      </c>
      <c r="V28" s="154">
        <f t="shared" si="12"/>
        <v>4.43609603795875</v>
      </c>
      <c r="W28" s="154">
        <f t="shared" si="17"/>
        <v>2.4947477735783914</v>
      </c>
      <c r="X28" s="163">
        <f t="shared" si="13"/>
        <v>8.282126636387924</v>
      </c>
      <c r="Y28" s="165">
        <f t="shared" si="14"/>
        <v>-0.11710927063852523</v>
      </c>
      <c r="Z28" s="166">
        <f t="shared" si="18"/>
        <v>5.634393569722939</v>
      </c>
    </row>
    <row r="29" spans="1:26" ht="15.75">
      <c r="A29" s="128" t="s">
        <v>337</v>
      </c>
      <c r="B29" s="128">
        <f>(ftyp^2*B10^2/(4*a_2^2*c_2^2*(fsw*kHz)^2))+(b_2^3*ftyp*B10/(27*a_2^4*c_2*(fsw*kHz)))-(d_2^3*ftyp*B10/(27*a_2*c_2*(fsw*kHz)))+(b_2*d_2^2*ftyp*B10/(9*a_2^2*c_2*(fsw*kHz)))-(b_2^2*d_2*ftyp*B10/(9*a_2^3*c_2*(fsw*kHz)))</f>
        <v>5.050264490766389</v>
      </c>
      <c r="D29" s="128" t="s">
        <v>336</v>
      </c>
      <c r="E29" s="128">
        <f>(b_2^3/(27*a_2^3))-(d_2^3/27)</f>
        <v>0.07325223505585884</v>
      </c>
      <c r="G29" s="153">
        <f t="shared" si="19"/>
        <v>198</v>
      </c>
      <c r="H29" s="153">
        <f t="shared" si="0"/>
        <v>0.39207749709796363</v>
      </c>
      <c r="I29" s="153">
        <f t="shared" si="1"/>
        <v>5.190769490557911</v>
      </c>
      <c r="J29" s="153">
        <f t="shared" si="2"/>
        <v>4.797707331595151</v>
      </c>
      <c r="K29" s="153">
        <f t="shared" si="3"/>
        <v>4.793586181637774</v>
      </c>
      <c r="L29" s="153">
        <f t="shared" si="4"/>
        <v>0.00045657096939147324</v>
      </c>
      <c r="M29" s="153">
        <f t="shared" si="5"/>
        <v>0.5213675213675214</v>
      </c>
      <c r="N29" s="153">
        <f t="shared" si="15"/>
        <v>2.646312669297195</v>
      </c>
      <c r="O29" s="153">
        <f t="shared" si="6"/>
        <v>0.07325223505585884</v>
      </c>
      <c r="P29" s="153">
        <f t="shared" si="7"/>
        <v>5.797144479912012</v>
      </c>
      <c r="Q29" s="153">
        <f t="shared" si="8"/>
        <v>2.3345384823610913</v>
      </c>
      <c r="R29" s="153">
        <f t="shared" si="9"/>
        <v>0.06779950800763512</v>
      </c>
      <c r="S29" s="153">
        <f t="shared" si="10"/>
        <v>0.7603833865814694</v>
      </c>
      <c r="T29" s="153">
        <f t="shared" si="16"/>
        <v>2.4892138294730266</v>
      </c>
      <c r="U29" s="153">
        <f t="shared" si="11"/>
        <v>1.7189441722378178</v>
      </c>
      <c r="V29" s="153">
        <f t="shared" si="12"/>
        <v>4.43609603795875</v>
      </c>
      <c r="W29" s="153">
        <f t="shared" si="17"/>
        <v>2.4892138294730266</v>
      </c>
      <c r="X29" s="163">
        <f t="shared" si="13"/>
        <v>8.240297713981924</v>
      </c>
      <c r="Y29" s="163">
        <f t="shared" si="14"/>
        <v>-0.1165178096757044</v>
      </c>
      <c r="Z29" s="164">
        <f t="shared" si="18"/>
        <v>5.630523340255012</v>
      </c>
    </row>
    <row r="30" spans="1:26" ht="15.75">
      <c r="A30" s="128" t="s">
        <v>338</v>
      </c>
      <c r="B30" s="128">
        <f>(b_2*d_2^2/(9*a_2))-(b_2^2*d_2/(9*a_2^2))+(ftyp*B10/(2*a_2*c_2*(fsw*kHz)))</f>
        <v>2.174096458345681</v>
      </c>
      <c r="D30" s="128" t="s">
        <v>337</v>
      </c>
      <c r="E30" s="128">
        <f>(ftyp^2*E11^2/(4*a_2^2*c_2^2*(fsw*kHz)^2))+(b_2^3*ftyp*E11/(27*a_2^4*c_2*(fsw*kHz)))-(d_2^3*ftyp*E11/(27*a_2*c_2*(fsw*kHz)))+(b_2*d_2^2*ftyp*E11/(9*a_2^2*c_2*(fsw*kHz)))-(b_2^2*d_2*ftyp*E11/(9*a_2^3*c_2*(fsw*kHz)))</f>
        <v>1.2822474889944728</v>
      </c>
      <c r="G30" s="154">
        <f t="shared" si="19"/>
        <v>199</v>
      </c>
      <c r="H30" s="154">
        <f t="shared" si="0"/>
        <v>0.3881469204370739</v>
      </c>
      <c r="I30" s="154">
        <f t="shared" si="1"/>
        <v>5.167197784575207</v>
      </c>
      <c r="J30" s="154">
        <f t="shared" si="2"/>
        <v>4.749630555770668</v>
      </c>
      <c r="K30" s="154">
        <f t="shared" si="3"/>
        <v>4.74551034384884</v>
      </c>
      <c r="L30" s="154">
        <f t="shared" si="4"/>
        <v>0.00045657096939147324</v>
      </c>
      <c r="M30" s="154">
        <f t="shared" si="5"/>
        <v>0.5213675213675214</v>
      </c>
      <c r="N30" s="154">
        <f t="shared" si="15"/>
        <v>2.639189774863475</v>
      </c>
      <c r="O30" s="154">
        <f t="shared" si="6"/>
        <v>0.07325223505585884</v>
      </c>
      <c r="P30" s="154">
        <f t="shared" si="7"/>
        <v>5.682331888496377</v>
      </c>
      <c r="Q30" s="154">
        <f t="shared" si="8"/>
        <v>2.3105773619295458</v>
      </c>
      <c r="R30" s="154">
        <f t="shared" si="9"/>
        <v>0.06779950800763512</v>
      </c>
      <c r="S30" s="154">
        <f t="shared" si="10"/>
        <v>0.7603833865814694</v>
      </c>
      <c r="T30" s="154">
        <f t="shared" si="16"/>
        <v>2.4837274340074593</v>
      </c>
      <c r="U30" s="154">
        <f t="shared" si="11"/>
        <v>1.7128188246386329</v>
      </c>
      <c r="V30" s="154">
        <f t="shared" si="12"/>
        <v>4.43609603795875</v>
      </c>
      <c r="W30" s="154">
        <f t="shared" si="17"/>
        <v>2.4837274340074593</v>
      </c>
      <c r="X30" s="163">
        <f t="shared" si="13"/>
        <v>8.198889182755885</v>
      </c>
      <c r="Y30" s="165">
        <f t="shared" si="14"/>
        <v>-0.1159322930441682</v>
      </c>
      <c r="Z30" s="166">
        <f t="shared" si="18"/>
        <v>5.6266913215116885</v>
      </c>
    </row>
    <row r="31" spans="1:26" ht="15.75">
      <c r="A31" s="128" t="s">
        <v>339</v>
      </c>
      <c r="B31" s="128">
        <f>(d_2^2/9)+(b_2^2/(9*a_2^2))-(2*b_2*d_2/(9*a_2))</f>
        <v>0.06779950800763512</v>
      </c>
      <c r="D31" s="128" t="s">
        <v>338</v>
      </c>
      <c r="E31" s="128">
        <f>(b_2*d_2^2/(9*a_2))-(b_2^2*d_2/(9*a_2^2))+(ftyp*E11/(2*a_2*c_2*(fsw*kHz)))</f>
        <v>1.059249044396704</v>
      </c>
      <c r="G31" s="153">
        <f t="shared" si="19"/>
        <v>200</v>
      </c>
      <c r="H31" s="153">
        <f t="shared" si="0"/>
        <v>0.38427515490571407</v>
      </c>
      <c r="I31" s="153">
        <f t="shared" si="1"/>
        <v>5.143861795652331</v>
      </c>
      <c r="J31" s="153">
        <f t="shared" si="2"/>
        <v>4.702273127190706</v>
      </c>
      <c r="K31" s="153">
        <f t="shared" si="3"/>
        <v>4.698153839269102</v>
      </c>
      <c r="L31" s="153">
        <f t="shared" si="4"/>
        <v>0.00045657096939147324</v>
      </c>
      <c r="M31" s="153">
        <f t="shared" si="5"/>
        <v>0.5213675213675214</v>
      </c>
      <c r="N31" s="153">
        <f t="shared" si="15"/>
        <v>2.6321262936120373</v>
      </c>
      <c r="O31" s="153">
        <f t="shared" si="6"/>
        <v>0.07325223505585884</v>
      </c>
      <c r="P31" s="153">
        <f t="shared" si="7"/>
        <v>5.570359804540568</v>
      </c>
      <c r="Q31" s="153">
        <f t="shared" si="8"/>
        <v>2.286974759008015</v>
      </c>
      <c r="R31" s="153">
        <f t="shared" si="9"/>
        <v>0.06779950800763512</v>
      </c>
      <c r="S31" s="153">
        <f t="shared" si="10"/>
        <v>0.7603833865814694</v>
      </c>
      <c r="T31" s="153">
        <f t="shared" si="16"/>
        <v>2.4782879513732476</v>
      </c>
      <c r="U31" s="153">
        <f t="shared" si="11"/>
        <v>1.7067547305154394</v>
      </c>
      <c r="V31" s="153">
        <f t="shared" si="12"/>
        <v>4.43609603795875</v>
      </c>
      <c r="W31" s="153">
        <f t="shared" si="17"/>
        <v>2.4782879513732476</v>
      </c>
      <c r="X31" s="163">
        <f t="shared" si="13"/>
        <v>8.157894736842104</v>
      </c>
      <c r="Y31" s="163">
        <f t="shared" si="14"/>
        <v>-0.11535263157894735</v>
      </c>
      <c r="Z31" s="164">
        <f t="shared" si="18"/>
        <v>5.6228970494291595</v>
      </c>
    </row>
    <row r="32" spans="1:26" ht="15.75">
      <c r="A32" s="128" t="s">
        <v>341</v>
      </c>
      <c r="B32" s="128">
        <f>(b_2*c_2*(fsw*kHz)+2*a_2*c_2*d_2*(fsw*kHz))/(3*a_2*c_2*(fsw*kHz))</f>
        <v>0.7603833865814694</v>
      </c>
      <c r="D32" s="128" t="s">
        <v>339</v>
      </c>
      <c r="E32" s="128">
        <f>(d_2^2/9)+(b_2^2/(9*a_2^2))-(2*b_2*d_2/(9*a_2))</f>
        <v>0.06779950800763512</v>
      </c>
      <c r="G32" s="154">
        <f t="shared" si="19"/>
        <v>201</v>
      </c>
      <c r="H32" s="154">
        <f t="shared" si="0"/>
        <v>0.38046103304939394</v>
      </c>
      <c r="I32" s="154">
        <f t="shared" si="1"/>
        <v>5.120758005624211</v>
      </c>
      <c r="J32" s="154">
        <f t="shared" si="2"/>
        <v>4.655620766157234</v>
      </c>
      <c r="K32" s="154">
        <f t="shared" si="3"/>
        <v>4.651502388479138</v>
      </c>
      <c r="L32" s="154">
        <f t="shared" si="4"/>
        <v>0.00045657096939147324</v>
      </c>
      <c r="M32" s="154">
        <f t="shared" si="5"/>
        <v>0.5213675213675214</v>
      </c>
      <c r="N32" s="154">
        <f t="shared" si="15"/>
        <v>2.6251214366420696</v>
      </c>
      <c r="O32" s="154">
        <f t="shared" si="6"/>
        <v>0.07325223505585884</v>
      </c>
      <c r="P32" s="154">
        <f t="shared" si="7"/>
        <v>5.461144192273376</v>
      </c>
      <c r="Q32" s="154">
        <f t="shared" si="8"/>
        <v>2.2637235566973626</v>
      </c>
      <c r="R32" s="154">
        <f t="shared" si="9"/>
        <v>0.06779950800763512</v>
      </c>
      <c r="S32" s="154">
        <f t="shared" si="10"/>
        <v>0.7603833865814694</v>
      </c>
      <c r="T32" s="154">
        <f t="shared" si="16"/>
        <v>2.4728947573776634</v>
      </c>
      <c r="U32" s="154">
        <f t="shared" si="11"/>
        <v>1.7007509756372534</v>
      </c>
      <c r="V32" s="154">
        <f t="shared" si="12"/>
        <v>4.43609603795875</v>
      </c>
      <c r="W32" s="154">
        <f t="shared" si="17"/>
        <v>2.4728947573776634</v>
      </c>
      <c r="X32" s="163">
        <f t="shared" si="13"/>
        <v>8.11730819586279</v>
      </c>
      <c r="Y32" s="165">
        <f t="shared" si="14"/>
        <v>-0.11477873788949985</v>
      </c>
      <c r="Z32" s="166">
        <f t="shared" si="18"/>
        <v>5.6191400677831345</v>
      </c>
    </row>
    <row r="33" spans="1:26" ht="15.75">
      <c r="A33" s="128" t="s">
        <v>340</v>
      </c>
      <c r="B33" s="128">
        <f>((B28+SQRT(B29)+B30)^(1/3))+(B31/((B28+SQRT(B29)+B30)^(1/3)))+B32</f>
        <v>2.451772775639449</v>
      </c>
      <c r="D33" s="128" t="s">
        <v>341</v>
      </c>
      <c r="E33" s="128">
        <f>(b_2*c_2*(fsw*kHz)+2*a_2*c_2*d_2*(fsw*kHz))/(3*a_2*c_2*(fsw*kHz))</f>
        <v>0.7603833865814694</v>
      </c>
      <c r="G33" s="153">
        <f t="shared" si="19"/>
        <v>202</v>
      </c>
      <c r="H33" s="153">
        <f t="shared" si="0"/>
        <v>0.3767034162393041</v>
      </c>
      <c r="I33" s="153">
        <f t="shared" si="1"/>
        <v>5.097882965992408</v>
      </c>
      <c r="J33" s="153">
        <f t="shared" si="2"/>
        <v>4.6096595455530025</v>
      </c>
      <c r="K33" s="153">
        <f t="shared" si="3"/>
        <v>4.605542064633436</v>
      </c>
      <c r="L33" s="153">
        <f t="shared" si="4"/>
        <v>0.00045657096939147324</v>
      </c>
      <c r="M33" s="153">
        <f t="shared" si="5"/>
        <v>0.5213675213675214</v>
      </c>
      <c r="N33" s="153">
        <f t="shared" si="15"/>
        <v>2.618174429384682</v>
      </c>
      <c r="O33" s="153">
        <f t="shared" si="6"/>
        <v>0.07325223505585884</v>
      </c>
      <c r="P33" s="153">
        <f t="shared" si="7"/>
        <v>5.354603904008132</v>
      </c>
      <c r="Q33" s="153">
        <f t="shared" si="8"/>
        <v>2.240816813822188</v>
      </c>
      <c r="R33" s="153">
        <f t="shared" si="9"/>
        <v>0.06779950800763512</v>
      </c>
      <c r="S33" s="153">
        <f t="shared" si="10"/>
        <v>0.7603833865814694</v>
      </c>
      <c r="T33" s="153">
        <f t="shared" si="16"/>
        <v>2.4675472391750146</v>
      </c>
      <c r="U33" s="153">
        <f t="shared" si="11"/>
        <v>1.694806663876673</v>
      </c>
      <c r="V33" s="153">
        <f t="shared" si="12"/>
        <v>4.43609603795875</v>
      </c>
      <c r="W33" s="153">
        <f t="shared" si="17"/>
        <v>2.4675472391750146</v>
      </c>
      <c r="X33" s="163">
        <f t="shared" si="13"/>
        <v>8.077123501823866</v>
      </c>
      <c r="Y33" s="163">
        <f t="shared" si="14"/>
        <v>-0.11421052631578947</v>
      </c>
      <c r="Z33" s="164">
        <f t="shared" si="18"/>
        <v>5.615419928018288</v>
      </c>
    </row>
    <row r="34" spans="1:26" ht="13.5">
      <c r="A34" s="261"/>
      <c r="B34" s="262"/>
      <c r="D34" s="128" t="s">
        <v>340</v>
      </c>
      <c r="E34" s="128">
        <f>((E29+SQRT(E30)+E31)^(1/3))+(E32/((E29+SQRT(E30)+E31)^(1/3)))+E33</f>
        <v>2.1252607336859497</v>
      </c>
      <c r="G34" s="154">
        <f t="shared" si="19"/>
        <v>203</v>
      </c>
      <c r="H34" s="154">
        <f t="shared" si="0"/>
        <v>0.37300119382243113</v>
      </c>
      <c r="I34" s="154">
        <f t="shared" si="1"/>
        <v>5.075233296209194</v>
      </c>
      <c r="J34" s="154">
        <f t="shared" si="2"/>
        <v>4.564375880446192</v>
      </c>
      <c r="K34" s="154">
        <f t="shared" si="3"/>
        <v>4.5602592830652355</v>
      </c>
      <c r="L34" s="154">
        <f t="shared" si="4"/>
        <v>0.00045657096939147324</v>
      </c>
      <c r="M34" s="154">
        <f t="shared" si="5"/>
        <v>0.5213675213675214</v>
      </c>
      <c r="N34" s="154">
        <f t="shared" si="15"/>
        <v>2.6112845112731584</v>
      </c>
      <c r="O34" s="154">
        <f t="shared" si="6"/>
        <v>0.07325223505585884</v>
      </c>
      <c r="P34" s="154">
        <f t="shared" si="7"/>
        <v>5.250660567227382</v>
      </c>
      <c r="Q34" s="154">
        <f t="shared" si="8"/>
        <v>2.2182477597498584</v>
      </c>
      <c r="R34" s="154">
        <f t="shared" si="9"/>
        <v>0.06779950800763512</v>
      </c>
      <c r="S34" s="154">
        <f t="shared" si="10"/>
        <v>0.7603833865814694</v>
      </c>
      <c r="T34" s="154">
        <f t="shared" si="16"/>
        <v>2.462244795005483</v>
      </c>
      <c r="U34" s="154">
        <f t="shared" si="11"/>
        <v>1.68892091676398</v>
      </c>
      <c r="V34" s="154">
        <f t="shared" si="12"/>
        <v>4.43609603795875</v>
      </c>
      <c r="W34" s="154">
        <f t="shared" si="17"/>
        <v>2.462244795005483</v>
      </c>
      <c r="X34" s="163">
        <f t="shared" si="13"/>
        <v>8.037334716100597</v>
      </c>
      <c r="Y34" s="165">
        <f t="shared" si="14"/>
        <v>-0.11364791288566244</v>
      </c>
      <c r="Z34" s="166">
        <f t="shared" si="18"/>
        <v>5.611736189082232</v>
      </c>
    </row>
    <row r="35" spans="1:26" ht="15.75">
      <c r="A35" s="128" t="s">
        <v>342</v>
      </c>
      <c r="B35" s="128">
        <v>1.007</v>
      </c>
      <c r="D35" s="261"/>
      <c r="E35" s="262"/>
      <c r="G35" s="153">
        <f t="shared" si="19"/>
        <v>204</v>
      </c>
      <c r="H35" s="153">
        <f t="shared" si="0"/>
        <v>0.3693532823007633</v>
      </c>
      <c r="I35" s="153">
        <f t="shared" si="1"/>
        <v>5.052805682012091</v>
      </c>
      <c r="J35" s="153">
        <f t="shared" si="2"/>
        <v>4.519756518050885</v>
      </c>
      <c r="K35" s="153">
        <f t="shared" si="3"/>
        <v>4.515640791247197</v>
      </c>
      <c r="L35" s="153">
        <f t="shared" si="4"/>
        <v>0.00045657096939147324</v>
      </c>
      <c r="M35" s="153">
        <f t="shared" si="5"/>
        <v>0.5213675213675214</v>
      </c>
      <c r="N35" s="153">
        <f t="shared" si="15"/>
        <v>2.6044509354223857</v>
      </c>
      <c r="O35" s="153">
        <f t="shared" si="6"/>
        <v>0.07325223505585884</v>
      </c>
      <c r="P35" s="153">
        <f t="shared" si="7"/>
        <v>5.149238476610711</v>
      </c>
      <c r="Q35" s="153">
        <f t="shared" si="8"/>
        <v>2.1960097893868737</v>
      </c>
      <c r="R35" s="153">
        <f t="shared" si="9"/>
        <v>0.06779950800763512</v>
      </c>
      <c r="S35" s="153">
        <f t="shared" si="10"/>
        <v>0.7603833865814694</v>
      </c>
      <c r="T35" s="153">
        <f t="shared" si="16"/>
        <v>2.456986833941216</v>
      </c>
      <c r="U35" s="153">
        <f t="shared" si="11"/>
        <v>1.6830928730543528</v>
      </c>
      <c r="V35" s="153">
        <f t="shared" si="12"/>
        <v>4.43609603795875</v>
      </c>
      <c r="W35" s="153">
        <f t="shared" si="17"/>
        <v>2.456986833941216</v>
      </c>
      <c r="X35" s="163">
        <f t="shared" si="13"/>
        <v>7.997936016511868</v>
      </c>
      <c r="Y35" s="163">
        <f t="shared" si="14"/>
        <v>-0.11309081527347781</v>
      </c>
      <c r="Z35" s="164">
        <f t="shared" si="18"/>
        <v>5.608088417263874</v>
      </c>
    </row>
    <row r="36" spans="1:26" ht="15.75">
      <c r="A36" s="128" t="s">
        <v>343</v>
      </c>
      <c r="B36" s="128">
        <v>0.1223</v>
      </c>
      <c r="D36" s="128" t="s">
        <v>342</v>
      </c>
      <c r="E36" s="128">
        <v>1.007</v>
      </c>
      <c r="G36" s="155">
        <f t="shared" si="19"/>
        <v>205</v>
      </c>
      <c r="H36" s="155">
        <f t="shared" si="0"/>
        <v>0.3657586245384548</v>
      </c>
      <c r="I36" s="155">
        <f t="shared" si="1"/>
        <v>5.030596873807152</v>
      </c>
      <c r="J36" s="155">
        <f t="shared" si="2"/>
        <v>4.475788528029511</v>
      </c>
      <c r="K36" s="155">
        <f t="shared" si="3"/>
        <v>4.471673659094034</v>
      </c>
      <c r="L36" s="155">
        <f t="shared" si="4"/>
        <v>0.00045657096939147324</v>
      </c>
      <c r="M36" s="155">
        <f t="shared" si="5"/>
        <v>0.5213675213675214</v>
      </c>
      <c r="N36" s="155">
        <f t="shared" si="15"/>
        <v>2.597672968317146</v>
      </c>
      <c r="O36" s="155">
        <f t="shared" si="6"/>
        <v>0.07325223505585884</v>
      </c>
      <c r="P36" s="155">
        <f t="shared" si="7"/>
        <v>5.050264490766389</v>
      </c>
      <c r="Q36" s="155">
        <f t="shared" si="8"/>
        <v>2.174096458345681</v>
      </c>
      <c r="R36" s="155">
        <f t="shared" si="9"/>
        <v>0.06779950800763512</v>
      </c>
      <c r="S36" s="155">
        <f t="shared" si="10"/>
        <v>0.7603833865814694</v>
      </c>
      <c r="T36" s="155">
        <f t="shared" si="16"/>
        <v>2.451772775639449</v>
      </c>
      <c r="U36" s="155">
        <f t="shared" si="11"/>
        <v>1.6773216883077458</v>
      </c>
      <c r="V36" s="155">
        <f t="shared" si="12"/>
        <v>4.43609603795875</v>
      </c>
      <c r="W36" s="155">
        <f t="shared" si="17"/>
        <v>2.451772775639449</v>
      </c>
      <c r="X36" s="163">
        <f t="shared" si="13"/>
        <v>7.958921694480103</v>
      </c>
      <c r="Y36" s="165">
        <f t="shared" si="14"/>
        <v>-0.11253915275994865</v>
      </c>
      <c r="Z36" s="166">
        <f t="shared" si="18"/>
        <v>5.604476186036043</v>
      </c>
    </row>
    <row r="37" spans="1:26" ht="15.75">
      <c r="A37" s="128" t="s">
        <v>344</v>
      </c>
      <c r="B37" s="128">
        <v>0.5</v>
      </c>
      <c r="D37" s="128" t="s">
        <v>343</v>
      </c>
      <c r="E37" s="128">
        <v>0.1223</v>
      </c>
      <c r="G37" s="153">
        <f t="shared" si="19"/>
        <v>206</v>
      </c>
      <c r="H37" s="153">
        <f t="shared" si="0"/>
        <v>0.36221618899586594</v>
      </c>
      <c r="I37" s="153">
        <f t="shared" si="1"/>
        <v>5.008603685099351</v>
      </c>
      <c r="J37" s="153">
        <f t="shared" si="2"/>
        <v>4.432459293124021</v>
      </c>
      <c r="K37" s="153">
        <f t="shared" si="3"/>
        <v>4.428345269593877</v>
      </c>
      <c r="L37" s="153">
        <f t="shared" si="4"/>
        <v>0.00045657096939147324</v>
      </c>
      <c r="M37" s="153">
        <f t="shared" si="5"/>
        <v>0.5213675213675214</v>
      </c>
      <c r="N37" s="153">
        <f>(J37+K37)^(1/3)+(L37/(J37^(1/3)))+M37</f>
        <v>2.59094988950899</v>
      </c>
      <c r="O37" s="153">
        <f t="shared" si="6"/>
        <v>0.07325223505585884</v>
      </c>
      <c r="P37" s="153">
        <f t="shared" si="7"/>
        <v>4.9536679334402915</v>
      </c>
      <c r="Q37" s="153">
        <f t="shared" si="8"/>
        <v>2.1525014782753153</v>
      </c>
      <c r="R37" s="153">
        <f t="shared" si="9"/>
        <v>0.06779950800763512</v>
      </c>
      <c r="S37" s="153">
        <f t="shared" si="10"/>
        <v>0.7603833865814694</v>
      </c>
      <c r="T37" s="153">
        <f t="shared" si="16"/>
        <v>2.4466020501024266</v>
      </c>
      <c r="U37" s="153">
        <f t="shared" si="11"/>
        <v>1.6716065344810094</v>
      </c>
      <c r="V37" s="153">
        <f t="shared" si="12"/>
        <v>4.43609603795875</v>
      </c>
      <c r="W37" s="153">
        <f t="shared" si="17"/>
        <v>2.4466020501024266</v>
      </c>
      <c r="X37" s="163">
        <f t="shared" si="13"/>
        <v>7.9202861522738885</v>
      </c>
      <c r="Y37" s="163">
        <f t="shared" si="14"/>
        <v>-0.11199284619315279</v>
      </c>
      <c r="Z37" s="164">
        <f t="shared" si="18"/>
        <v>5.600899075902191</v>
      </c>
    </row>
    <row r="38" spans="1:26" ht="15.75">
      <c r="A38" s="128" t="s">
        <v>345</v>
      </c>
      <c r="B38" s="128">
        <f>c_3+(SQRT(ftyp)*SQRT(B10)/(SQRT(a_3)*SQRT(b_3)*SQRT(fsw*kHz)))</f>
        <v>1.6773216883077458</v>
      </c>
      <c r="D38" s="128" t="s">
        <v>344</v>
      </c>
      <c r="E38" s="128">
        <v>0.5</v>
      </c>
      <c r="G38" s="154">
        <f t="shared" si="19"/>
        <v>207</v>
      </c>
      <c r="H38" s="154">
        <f t="shared" si="0"/>
        <v>0.3587249689894412</v>
      </c>
      <c r="I38" s="154">
        <f t="shared" si="1"/>
        <v>4.986822990968436</v>
      </c>
      <c r="J38" s="154">
        <f t="shared" si="2"/>
        <v>4.3897565001031005</v>
      </c>
      <c r="K38" s="154">
        <f t="shared" si="3"/>
        <v>4.3856433097556575</v>
      </c>
      <c r="L38" s="154">
        <f t="shared" si="4"/>
        <v>0.00045657096939147324</v>
      </c>
      <c r="M38" s="154">
        <f t="shared" si="5"/>
        <v>0.5213675213675214</v>
      </c>
      <c r="N38" s="154">
        <f t="shared" si="15"/>
        <v>2.584280991321421</v>
      </c>
      <c r="O38" s="154">
        <f t="shared" si="6"/>
        <v>0.07325223505585884</v>
      </c>
      <c r="P38" s="154">
        <f t="shared" si="7"/>
        <v>4.859380498987314</v>
      </c>
      <c r="Q38" s="154">
        <f t="shared" si="8"/>
        <v>2.131218712349557</v>
      </c>
      <c r="R38" s="154">
        <f t="shared" si="9"/>
        <v>0.06779950800763512</v>
      </c>
      <c r="S38" s="154">
        <f t="shared" si="10"/>
        <v>0.7603833865814694</v>
      </c>
      <c r="T38" s="154">
        <f t="shared" si="16"/>
        <v>2.4414740974438995</v>
      </c>
      <c r="U38" s="154">
        <f t="shared" si="11"/>
        <v>1.665946599531826</v>
      </c>
      <c r="V38" s="154">
        <f t="shared" si="12"/>
        <v>4.43609603795875</v>
      </c>
      <c r="W38" s="154">
        <f t="shared" si="17"/>
        <v>2.4414740974438995</v>
      </c>
      <c r="X38" s="163">
        <f t="shared" si="13"/>
        <v>7.882023900330537</v>
      </c>
      <c r="Y38" s="165">
        <f t="shared" si="14"/>
        <v>-0.11145181795067378</v>
      </c>
      <c r="Z38" s="166">
        <f t="shared" si="18"/>
        <v>5.597356674247124</v>
      </c>
    </row>
    <row r="39" spans="1:26" ht="13.5">
      <c r="A39" s="261"/>
      <c r="B39" s="262"/>
      <c r="D39" s="128" t="s">
        <v>345</v>
      </c>
      <c r="E39" s="128">
        <f>c_3+(SQRT(ftyp)*SQRT(E11)/(SQRT(a_3)*SQRT(b_3)*SQRT(fsw*kHz)))</f>
        <v>1.332492149440402</v>
      </c>
      <c r="G39" s="153">
        <f t="shared" si="19"/>
        <v>208</v>
      </c>
      <c r="H39" s="153">
        <f aca="true" t="shared" si="20" ref="H39:H70">(Iout*(Vout_nom^2)*2.5*Rsense*K_1)/(eff*(G39^2)*K_FQ)*us</f>
        <v>0.3552839819764369</v>
      </c>
      <c r="I39" s="153">
        <f aca="true" t="shared" si="21" ref="I39:I70">(1*10^-9*(5*10^8*SQRT(fsw*kHz)+(1.09655978*10^10)*SQRT(ftyp)*SQRT(H39)))/SQRT(fsw*kHz)</f>
        <v>4.96525172658878</v>
      </c>
      <c r="J39" s="153">
        <f aca="true" t="shared" si="22" ref="J39:J70">(b_1^3/(27*a_1^3))-(d_1^3/27)+SQRT((ftyp)^2*H39^2/(4*a_1^2*c_1^2*(fsw*kHz)^2))+(b_1^3*(ftyp)*H39/(27*a_1^4*c_1*(fsw*kHz))-(d_1^3*(ftyp)*H39/(27*a_1*c_1*(fsw*kHz)))+(b_1*d_1^2*(ftyp)*H39/(9*a_1^2*c_1*(fsw*kHz)))-(b_1^2*d_1*(ftyp)*H39/(9*a_1^3*c_1*(fsw*kHz))))</f>
        <v>4.34766813101333</v>
      </c>
      <c r="K39" s="153">
        <f aca="true" t="shared" si="23" ref="K39:K70">(b_1*d_1^2/(9*a_1))-(b_1^2*d_1/(9*a_1^2))+(ftyp*H39/(2*a_1*c_1*fsw*kHz))</f>
        <v>4.34355576186044</v>
      </c>
      <c r="L39" s="153">
        <f aca="true" t="shared" si="24" ref="L39:L70">(d_1^2/9)+(b_1^2/(9*a_1^2))-(2*b_1*d_1/(9*a_1))</f>
        <v>0.00045657096939147324</v>
      </c>
      <c r="M39" s="153">
        <f aca="true" t="shared" si="25" ref="M39:M70">((b_1*c_1*fsw*kHz)+(2*a_1*c_1*d_1*fsw*kHz))/(3*a_1*c_1*fsw*kHz)</f>
        <v>0.5213675213675214</v>
      </c>
      <c r="N39" s="153">
        <f t="shared" si="15"/>
        <v>2.577665578563109</v>
      </c>
      <c r="O39" s="153">
        <f aca="true" t="shared" si="26" ref="O39:O70">(b_2^3/(27*a_2^3))-(d_2^3/27)</f>
        <v>0.07325223505585884</v>
      </c>
      <c r="P39" s="153">
        <f aca="true" t="shared" si="27" ref="P39:P70">(ftyp^2*H39^2/(4*a_2^2*c_2^2*(fsw*kHz)^2))+(b_2^3*ftyp*H39/(27*a_2^4*c_2*(fsw*kHz)))-(d_2^3*ftyp*H39/(27*a_2*c_2*(fsw*kHz)))+(b_2*d_2^2*ftyp*H39/(9*a_2^2*c_2*(fsw*kHz)))-(b_2^2*d_2*ftyp*H39/(9*a_2^3*c_2*(fsw*kHz)))</f>
        <v>4.767336161902016</v>
      </c>
      <c r="Q39" s="153">
        <f aca="true" t="shared" si="28" ref="Q39:Q70">(b_2*d_2^2/(9*a_2))-(b_2^2*d_2/(9*a_2^2))+(ftyp*H39/(2*a_2*c_2*(fsw*kHz)))</f>
        <v>2.1102421709065733</v>
      </c>
      <c r="R39" s="153">
        <f aca="true" t="shared" si="29" ref="R39:R70">(d_2^2/9)+(b_2^2/(9*a_2^2))-(2*b_2*d_2/(9*a_2))</f>
        <v>0.06779950800763512</v>
      </c>
      <c r="S39" s="153">
        <f aca="true" t="shared" si="30" ref="S39:S70">(b_2*c_2*(fsw*kHz)+2*a_2*c_2*d_2*(fsw*kHz))/(3*a_2*c_2*(fsw*kHz))</f>
        <v>0.7603833865814694</v>
      </c>
      <c r="T39" s="153">
        <f t="shared" si="16"/>
        <v>2.4363883676619924</v>
      </c>
      <c r="U39" s="153">
        <f aca="true" t="shared" si="31" ref="U39:U70">c_3+(SQRT(ftyp)*SQRT(H39)/(SQRT(a_3)*SQRT(b_3)*SQRT(fsw*kHz)))</f>
        <v>1.6603410870340765</v>
      </c>
      <c r="V39" s="153">
        <f aca="true" t="shared" si="32" ref="V39:V70">(a_4*(fsw*kHz)*b_4/ftyp)</f>
        <v>4.43609603795875</v>
      </c>
      <c r="W39" s="153">
        <f t="shared" si="17"/>
        <v>2.4363883676619924</v>
      </c>
      <c r="X39" s="163">
        <f aca="true" t="shared" si="33" ref="X39:X70">Pin_max/G39</f>
        <v>7.84412955465587</v>
      </c>
      <c r="Y39" s="163">
        <f aca="true" t="shared" si="34" ref="Y39:Y70">-X39*Rsense*1.414</f>
        <v>-0.11091599190283401</v>
      </c>
      <c r="Z39" s="164">
        <f aca="true" t="shared" si="35" ref="Z39:Z70">MIN(6,MAX(0.5,Beta*G*($Y39-Voff_trim)/(MAX(0,MIN(4.5,W39)-Alpha1_A)+MAX(0,MIN(4.5,W39)-Alpha1_B)-Alpha1_C)+Alpha2))</f>
        <v>5.593848575191583</v>
      </c>
    </row>
    <row r="40" spans="1:26" ht="15.75">
      <c r="A40" s="128" t="s">
        <v>346</v>
      </c>
      <c r="B40" s="128">
        <v>1.007</v>
      </c>
      <c r="D40" s="261"/>
      <c r="E40" s="262"/>
      <c r="G40" s="154">
        <f t="shared" si="19"/>
        <v>209</v>
      </c>
      <c r="H40" s="154">
        <f t="shared" si="20"/>
        <v>0.35189226886354624</v>
      </c>
      <c r="I40" s="154">
        <f t="shared" si="21"/>
        <v>4.943886885791705</v>
      </c>
      <c r="J40" s="154">
        <f t="shared" si="22"/>
        <v>4.3061824547226415</v>
      </c>
      <c r="K40" s="154">
        <f t="shared" si="23"/>
        <v>4.302070895005046</v>
      </c>
      <c r="L40" s="154">
        <f t="shared" si="24"/>
        <v>0.00045657096939147324</v>
      </c>
      <c r="M40" s="154">
        <f t="shared" si="25"/>
        <v>0.5213675213675214</v>
      </c>
      <c r="N40" s="154">
        <f t="shared" si="15"/>
        <v>2.5711029682488924</v>
      </c>
      <c r="O40" s="154">
        <f t="shared" si="26"/>
        <v>0.07325223505585884</v>
      </c>
      <c r="P40" s="154">
        <f t="shared" si="27"/>
        <v>4.6774710902155965</v>
      </c>
      <c r="Q40" s="154">
        <f t="shared" si="28"/>
        <v>2.0895660072342364</v>
      </c>
      <c r="R40" s="154">
        <f t="shared" si="29"/>
        <v>0.06779950800763512</v>
      </c>
      <c r="S40" s="154">
        <f t="shared" si="30"/>
        <v>0.7603833865814694</v>
      </c>
      <c r="T40" s="154">
        <f t="shared" si="16"/>
        <v>2.4313443204182357</v>
      </c>
      <c r="U40" s="154">
        <f t="shared" si="31"/>
        <v>1.6547892158042483</v>
      </c>
      <c r="V40" s="154">
        <f t="shared" si="32"/>
        <v>4.43609603795875</v>
      </c>
      <c r="W40" s="154">
        <f t="shared" si="17"/>
        <v>2.4313443204182357</v>
      </c>
      <c r="X40" s="163">
        <f t="shared" si="33"/>
        <v>7.806597834298665</v>
      </c>
      <c r="Y40" s="165">
        <f t="shared" si="34"/>
        <v>-0.1103852933769831</v>
      </c>
      <c r="Z40" s="166">
        <f t="shared" si="35"/>
        <v>5.590374379450568</v>
      </c>
    </row>
    <row r="41" spans="1:26" ht="15.75">
      <c r="A41" s="128" t="s">
        <v>347</v>
      </c>
      <c r="B41" s="128">
        <v>2.056</v>
      </c>
      <c r="D41" s="128" t="s">
        <v>346</v>
      </c>
      <c r="E41" s="128">
        <v>1.007</v>
      </c>
      <c r="G41" s="153">
        <f t="shared" si="19"/>
        <v>210</v>
      </c>
      <c r="H41" s="153">
        <f t="shared" si="20"/>
        <v>0.3485488933385162</v>
      </c>
      <c r="I41" s="153">
        <f t="shared" si="21"/>
        <v>4.922725519668887</v>
      </c>
      <c r="J41" s="153">
        <f t="shared" si="22"/>
        <v>4.265288018745009</v>
      </c>
      <c r="K41" s="153">
        <f t="shared" si="23"/>
        <v>4.261177256926898</v>
      </c>
      <c r="L41" s="153">
        <f t="shared" si="24"/>
        <v>0.00045657096939147324</v>
      </c>
      <c r="M41" s="153">
        <f t="shared" si="25"/>
        <v>0.5213675213675214</v>
      </c>
      <c r="N41" s="153">
        <f t="shared" si="15"/>
        <v>2.564592489328313</v>
      </c>
      <c r="O41" s="153">
        <f t="shared" si="26"/>
        <v>0.07325223505585884</v>
      </c>
      <c r="P41" s="153">
        <f t="shared" si="27"/>
        <v>4.589723562576558</v>
      </c>
      <c r="Q41" s="153">
        <f t="shared" si="28"/>
        <v>2.0691845134956073</v>
      </c>
      <c r="R41" s="153">
        <f t="shared" si="29"/>
        <v>0.06779950800763512</v>
      </c>
      <c r="S41" s="153">
        <f t="shared" si="30"/>
        <v>0.7603833865814694</v>
      </c>
      <c r="T41" s="153">
        <f t="shared" si="16"/>
        <v>2.426341424822566</v>
      </c>
      <c r="U41" s="153">
        <f t="shared" si="31"/>
        <v>1.649290219538514</v>
      </c>
      <c r="V41" s="153">
        <f t="shared" si="32"/>
        <v>4.43609603795875</v>
      </c>
      <c r="W41" s="153">
        <f t="shared" si="17"/>
        <v>2.426341424822566</v>
      </c>
      <c r="X41" s="163">
        <f t="shared" si="33"/>
        <v>7.769423558897243</v>
      </c>
      <c r="Y41" s="163">
        <f t="shared" si="34"/>
        <v>-0.109859649122807</v>
      </c>
      <c r="Z41" s="164">
        <f t="shared" si="35"/>
        <v>5.586933694195317</v>
      </c>
    </row>
    <row r="42" spans="1:26" ht="15">
      <c r="A42" s="128" t="s">
        <v>348</v>
      </c>
      <c r="B42" s="128">
        <f>(a_4*(fsw*kHz)*b_4/ftyp)</f>
        <v>4.43609603795875</v>
      </c>
      <c r="D42" s="128" t="s">
        <v>347</v>
      </c>
      <c r="E42" s="128">
        <v>2.056</v>
      </c>
      <c r="G42" s="154">
        <f t="shared" si="19"/>
        <v>211</v>
      </c>
      <c r="H42" s="154">
        <f t="shared" si="20"/>
        <v>0.34525294122388456</v>
      </c>
      <c r="I42" s="154">
        <f t="shared" si="21"/>
        <v>4.9017647352154805</v>
      </c>
      <c r="J42" s="154">
        <f t="shared" si="22"/>
        <v>4.224973641335687</v>
      </c>
      <c r="K42" s="154">
        <f t="shared" si="23"/>
        <v>4.220863666099426</v>
      </c>
      <c r="L42" s="154">
        <f t="shared" si="24"/>
        <v>0.00045657096939147324</v>
      </c>
      <c r="M42" s="154">
        <f t="shared" si="25"/>
        <v>0.5213675213675214</v>
      </c>
      <c r="N42" s="154">
        <f t="shared" si="15"/>
        <v>2.5581334824214474</v>
      </c>
      <c r="O42" s="154">
        <f t="shared" si="26"/>
        <v>0.07325223505585884</v>
      </c>
      <c r="P42" s="154">
        <f t="shared" si="27"/>
        <v>4.504033888841672</v>
      </c>
      <c r="Q42" s="154">
        <f t="shared" si="28"/>
        <v>2.049092116789263</v>
      </c>
      <c r="R42" s="154">
        <f t="shared" si="29"/>
        <v>0.06779950800763512</v>
      </c>
      <c r="S42" s="154">
        <f t="shared" si="30"/>
        <v>0.7603833865814694</v>
      </c>
      <c r="T42" s="154">
        <f t="shared" si="16"/>
        <v>2.4213791592241067</v>
      </c>
      <c r="U42" s="154">
        <f t="shared" si="31"/>
        <v>1.6438433464601323</v>
      </c>
      <c r="V42" s="154">
        <f t="shared" si="32"/>
        <v>4.43609603795875</v>
      </c>
      <c r="W42" s="154">
        <f t="shared" si="17"/>
        <v>2.4213791592241067</v>
      </c>
      <c r="X42" s="163">
        <f t="shared" si="33"/>
        <v>7.7326016462958345</v>
      </c>
      <c r="Y42" s="165">
        <f t="shared" si="34"/>
        <v>-0.1093389872786231</v>
      </c>
      <c r="Z42" s="166">
        <f t="shared" si="35"/>
        <v>5.583526132918787</v>
      </c>
    </row>
    <row r="43" spans="1:26" ht="13.5">
      <c r="A43" s="261"/>
      <c r="B43" s="262"/>
      <c r="D43" s="128" t="s">
        <v>348</v>
      </c>
      <c r="E43" s="128">
        <f>(a_4*(fsw*kHz)*b_4/ftyp)</f>
        <v>4.43609603795875</v>
      </c>
      <c r="G43" s="153">
        <f t="shared" si="19"/>
        <v>212</v>
      </c>
      <c r="H43" s="153">
        <f t="shared" si="20"/>
        <v>0.34200351985200617</v>
      </c>
      <c r="I43" s="153">
        <f t="shared" si="21"/>
        <v>4.881001694011633</v>
      </c>
      <c r="J43" s="153">
        <f t="shared" si="22"/>
        <v>4.185228403846866</v>
      </c>
      <c r="K43" s="153">
        <f t="shared" si="23"/>
        <v>4.1811192040878495</v>
      </c>
      <c r="L43" s="153">
        <f t="shared" si="24"/>
        <v>0.00045657096939147324</v>
      </c>
      <c r="M43" s="153">
        <f t="shared" si="25"/>
        <v>0.5213675213675214</v>
      </c>
      <c r="N43" s="153">
        <f t="shared" si="15"/>
        <v>2.551725299561804</v>
      </c>
      <c r="O43" s="153">
        <f t="shared" si="26"/>
        <v>0.07325223505585884</v>
      </c>
      <c r="P43" s="153">
        <f t="shared" si="27"/>
        <v>4.4203443340129605</v>
      </c>
      <c r="Q43" s="153">
        <f t="shared" si="28"/>
        <v>2.0292833753394035</v>
      </c>
      <c r="R43" s="153">
        <f t="shared" si="29"/>
        <v>0.06779950800763512</v>
      </c>
      <c r="S43" s="153">
        <f t="shared" si="30"/>
        <v>0.7603833865814694</v>
      </c>
      <c r="T43" s="153">
        <f t="shared" si="16"/>
        <v>2.4164570110075463</v>
      </c>
      <c r="U43" s="153">
        <f t="shared" si="31"/>
        <v>1.6384478589768299</v>
      </c>
      <c r="V43" s="153">
        <f t="shared" si="32"/>
        <v>4.43609603795875</v>
      </c>
      <c r="W43" s="153">
        <f t="shared" si="17"/>
        <v>2.4164570110075463</v>
      </c>
      <c r="X43" s="163">
        <f t="shared" si="33"/>
        <v>7.696127110228401</v>
      </c>
      <c r="Y43" s="163">
        <f t="shared" si="34"/>
        <v>-0.10882323733862959</v>
      </c>
      <c r="Z43" s="164">
        <f t="shared" si="35"/>
        <v>5.580151315304573</v>
      </c>
    </row>
    <row r="44" spans="1:26" ht="13.5">
      <c r="A44" s="128" t="s">
        <v>349</v>
      </c>
      <c r="B44" s="128">
        <f>IF(B12&gt;=0.5,IF(B12&lt;1,B12,IF(B22&gt;=1,IF(B22&lt;2,B22,IF(B33&gt;=2,IF(B33&lt;4.5,B33,IF(B38&gt;=4.5,IF(B38&lt;4.6,B38,B42))))))))</f>
        <v>2.451772775639449</v>
      </c>
      <c r="C44" s="156"/>
      <c r="D44" s="261"/>
      <c r="E44" s="262"/>
      <c r="G44" s="154">
        <f t="shared" si="19"/>
        <v>213</v>
      </c>
      <c r="H44" s="154">
        <f t="shared" si="20"/>
        <v>0.33879975746056923</v>
      </c>
      <c r="I44" s="154">
        <f t="shared" si="21"/>
        <v>4.860433610941157</v>
      </c>
      <c r="J44" s="154">
        <f t="shared" si="22"/>
        <v>4.1460416433339295</v>
      </c>
      <c r="K44" s="154">
        <f t="shared" si="23"/>
        <v>4.141933208155604</v>
      </c>
      <c r="L44" s="154">
        <f t="shared" si="24"/>
        <v>0.00045657096939147324</v>
      </c>
      <c r="M44" s="154">
        <f t="shared" si="25"/>
        <v>0.5213675213675214</v>
      </c>
      <c r="N44" s="154">
        <f t="shared" si="15"/>
        <v>2.545367303946065</v>
      </c>
      <c r="O44" s="154">
        <f t="shared" si="26"/>
        <v>0.07325223505585884</v>
      </c>
      <c r="P44" s="154">
        <f t="shared" si="27"/>
        <v>4.338599045364725</v>
      </c>
      <c r="Q44" s="154">
        <f t="shared" si="28"/>
        <v>2.0097529748108722</v>
      </c>
      <c r="R44" s="154">
        <f t="shared" si="29"/>
        <v>0.06779950800763512</v>
      </c>
      <c r="S44" s="154">
        <f t="shared" si="30"/>
        <v>0.7603833865814694</v>
      </c>
      <c r="T44" s="154">
        <f t="shared" si="16"/>
        <v>2.411574476394941</v>
      </c>
      <c r="U44" s="154">
        <f t="shared" si="31"/>
        <v>1.6331030333478307</v>
      </c>
      <c r="V44" s="154">
        <f t="shared" si="32"/>
        <v>4.43609603795875</v>
      </c>
      <c r="W44" s="154">
        <f t="shared" si="17"/>
        <v>2.411574476394941</v>
      </c>
      <c r="X44" s="163">
        <f t="shared" si="33"/>
        <v>7.659995058067705</v>
      </c>
      <c r="Y44" s="165">
        <f t="shared" si="34"/>
        <v>-0.10831233012107734</v>
      </c>
      <c r="Z44" s="166">
        <f t="shared" si="35"/>
        <v>5.576808867099132</v>
      </c>
    </row>
    <row r="45" spans="1:26" ht="13.5">
      <c r="A45" s="173" t="s">
        <v>487</v>
      </c>
      <c r="B45" s="174">
        <f>MIN(6,MAX(0.5,Beta*G*((Pin_max*Rsense*-1.414/B5)-Voff_trim)/(MAX(0,MIN(4.5,B44)-Alpha1_A)+MAX(0,MIN(4.5,B44)-Alpha1_B)-Alpha1_C)+Alpha2))</f>
        <v>5.604476186036043</v>
      </c>
      <c r="D45" s="128" t="s">
        <v>349</v>
      </c>
      <c r="E45" s="128">
        <f>IF(E13&gt;=0.5,IF(E13&lt;1,E13,IF(E23&gt;=1,IF(E23&lt;2,E23,IF(E34&gt;=2,IF(E34&lt;4.5,E34,IF(E39&gt;=4.5,IF(E39&lt;4.6,E39,E43))))))))</f>
        <v>2.1252607336859497</v>
      </c>
      <c r="G45" s="153">
        <f t="shared" si="19"/>
        <v>214</v>
      </c>
      <c r="H45" s="153">
        <f t="shared" si="20"/>
        <v>0.33564080260783835</v>
      </c>
      <c r="I45" s="153">
        <f t="shared" si="21"/>
        <v>4.840057752946104</v>
      </c>
      <c r="J45" s="153">
        <f t="shared" si="22"/>
        <v>4.107402945403018</v>
      </c>
      <c r="K45" s="153">
        <f t="shared" si="23"/>
        <v>4.103295264112024</v>
      </c>
      <c r="L45" s="153">
        <f t="shared" si="24"/>
        <v>0.00045657096939147324</v>
      </c>
      <c r="M45" s="153">
        <f t="shared" si="25"/>
        <v>0.5213675213675214</v>
      </c>
      <c r="N45" s="153">
        <f t="shared" si="15"/>
        <v>2.5390588696904635</v>
      </c>
      <c r="O45" s="153">
        <f t="shared" si="26"/>
        <v>0.07325223505585884</v>
      </c>
      <c r="P45" s="153">
        <f t="shared" si="27"/>
        <v>4.25874398261261</v>
      </c>
      <c r="Q45" s="153">
        <f t="shared" si="28"/>
        <v>1.990495724744424</v>
      </c>
      <c r="R45" s="153">
        <f t="shared" si="29"/>
        <v>0.06779950800763512</v>
      </c>
      <c r="S45" s="153">
        <f t="shared" si="30"/>
        <v>0.7603833865814694</v>
      </c>
      <c r="T45" s="153">
        <f t="shared" si="16"/>
        <v>2.4067310602527687</v>
      </c>
      <c r="U45" s="153">
        <f t="shared" si="31"/>
        <v>1.627808159360224</v>
      </c>
      <c r="V45" s="153">
        <f t="shared" si="32"/>
        <v>4.43609603795875</v>
      </c>
      <c r="W45" s="153">
        <f t="shared" si="17"/>
        <v>2.4067310602527687</v>
      </c>
      <c r="X45" s="163">
        <f t="shared" si="33"/>
        <v>7.624200688637481</v>
      </c>
      <c r="Y45" s="163">
        <f t="shared" si="34"/>
        <v>-0.10780619773733399</v>
      </c>
      <c r="Z45" s="164">
        <f t="shared" si="35"/>
        <v>5.573498419987234</v>
      </c>
    </row>
    <row r="46" spans="7:26" ht="12.75">
      <c r="G46" s="154">
        <f t="shared" si="19"/>
        <v>215</v>
      </c>
      <c r="H46" s="154">
        <f t="shared" si="20"/>
        <v>0.3325258236068916</v>
      </c>
      <c r="I46" s="154">
        <f t="shared" si="21"/>
        <v>4.819871437816122</v>
      </c>
      <c r="J46" s="154">
        <f t="shared" si="22"/>
        <v>4.06930213729091</v>
      </c>
      <c r="K46" s="154">
        <f t="shared" si="23"/>
        <v>4.065195199392373</v>
      </c>
      <c r="L46" s="154">
        <f t="shared" si="24"/>
        <v>0.00045657096939147324</v>
      </c>
      <c r="M46" s="154">
        <f t="shared" si="25"/>
        <v>0.5213675213675214</v>
      </c>
      <c r="N46" s="154">
        <f t="shared" si="15"/>
        <v>2.5327993815935863</v>
      </c>
      <c r="O46" s="154">
        <f t="shared" si="26"/>
        <v>0.07325223505585884</v>
      </c>
      <c r="P46" s="154">
        <f t="shared" si="27"/>
        <v>4.180726850984299</v>
      </c>
      <c r="Q46" s="154">
        <f t="shared" si="28"/>
        <v>1.9715065551077926</v>
      </c>
      <c r="R46" s="154">
        <f t="shared" si="29"/>
        <v>0.06779950800763512</v>
      </c>
      <c r="S46" s="154">
        <f t="shared" si="30"/>
        <v>0.7603833865814694</v>
      </c>
      <c r="T46" s="154">
        <f t="shared" si="16"/>
        <v>2.4019262759040756</v>
      </c>
      <c r="U46" s="154">
        <f t="shared" si="31"/>
        <v>1.6225625400143624</v>
      </c>
      <c r="V46" s="154">
        <f t="shared" si="32"/>
        <v>4.43609603795875</v>
      </c>
      <c r="W46" s="154">
        <f t="shared" si="17"/>
        <v>2.4019262759040756</v>
      </c>
      <c r="X46" s="163">
        <f t="shared" si="33"/>
        <v>7.588739290085679</v>
      </c>
      <c r="Y46" s="165">
        <f t="shared" si="34"/>
        <v>-0.10730477356181149</v>
      </c>
      <c r="Z46" s="166">
        <f t="shared" si="35"/>
        <v>5.57021961147052</v>
      </c>
    </row>
    <row r="47" spans="7:26" ht="12.75">
      <c r="G47" s="153">
        <f>G46+1</f>
        <v>216</v>
      </c>
      <c r="H47" s="153">
        <f t="shared" si="20"/>
        <v>0.32945400797814994</v>
      </c>
      <c r="I47" s="153">
        <f t="shared" si="21"/>
        <v>4.799872033011418</v>
      </c>
      <c r="J47" s="153">
        <f t="shared" si="22"/>
        <v>4.031729281168642</v>
      </c>
      <c r="K47" s="153">
        <f t="shared" si="23"/>
        <v>4.027623076361585</v>
      </c>
      <c r="L47" s="153">
        <f t="shared" si="24"/>
        <v>0.00045657096939147324</v>
      </c>
      <c r="M47" s="153">
        <f t="shared" si="25"/>
        <v>0.5213675213675214</v>
      </c>
      <c r="N47" s="153">
        <f t="shared" si="15"/>
        <v>2.526588234905397</v>
      </c>
      <c r="O47" s="153">
        <f t="shared" si="26"/>
        <v>0.07325223505585884</v>
      </c>
      <c r="P47" s="153">
        <f t="shared" si="27"/>
        <v>4.104497037058431</v>
      </c>
      <c r="Q47" s="153">
        <f t="shared" si="28"/>
        <v>1.952780512958262</v>
      </c>
      <c r="R47" s="153">
        <f t="shared" si="29"/>
        <v>0.06779950800763512</v>
      </c>
      <c r="S47" s="153">
        <f t="shared" si="30"/>
        <v>0.7603833865814694</v>
      </c>
      <c r="T47" s="153">
        <f t="shared" si="16"/>
        <v>2.397159644945555</v>
      </c>
      <c r="U47" s="153">
        <f t="shared" si="31"/>
        <v>1.6173654912179996</v>
      </c>
      <c r="V47" s="153">
        <f t="shared" si="32"/>
        <v>4.43609603795875</v>
      </c>
      <c r="W47" s="153">
        <f t="shared" si="17"/>
        <v>2.397159644945555</v>
      </c>
      <c r="X47" s="163">
        <f t="shared" si="33"/>
        <v>7.553606237816764</v>
      </c>
      <c r="Y47" s="163">
        <f t="shared" si="34"/>
        <v>-0.10680799220272903</v>
      </c>
      <c r="Z47" s="164">
        <f t="shared" si="35"/>
        <v>5.566972084749114</v>
      </c>
    </row>
    <row r="48" spans="7:26" ht="12.75">
      <c r="G48" s="154">
        <f t="shared" si="19"/>
        <v>217</v>
      </c>
      <c r="H48" s="154">
        <f t="shared" si="20"/>
        <v>0.32642456191952607</v>
      </c>
      <c r="I48" s="154">
        <f t="shared" si="21"/>
        <v>4.780056954518278</v>
      </c>
      <c r="J48" s="154">
        <f t="shared" si="22"/>
        <v>3.994674667660644</v>
      </c>
      <c r="K48" s="154">
        <f t="shared" si="23"/>
        <v>3.990569185833532</v>
      </c>
      <c r="L48" s="154">
        <f t="shared" si="24"/>
        <v>0.00045657096939147324</v>
      </c>
      <c r="M48" s="154">
        <f t="shared" si="25"/>
        <v>0.5213675213675214</v>
      </c>
      <c r="N48" s="154">
        <f t="shared" si="15"/>
        <v>2.5204248351023075</v>
      </c>
      <c r="O48" s="154">
        <f t="shared" si="26"/>
        <v>0.07325223505585884</v>
      </c>
      <c r="P48" s="154">
        <f t="shared" si="27"/>
        <v>4.030005547245104</v>
      </c>
      <c r="Q48" s="154">
        <f t="shared" si="28"/>
        <v>1.9343127592126512</v>
      </c>
      <c r="R48" s="154">
        <f t="shared" si="29"/>
        <v>0.06779950800763512</v>
      </c>
      <c r="S48" s="154">
        <f t="shared" si="30"/>
        <v>0.7603833865814694</v>
      </c>
      <c r="T48" s="154">
        <f t="shared" si="16"/>
        <v>2.392430697069408</v>
      </c>
      <c r="U48" s="154">
        <f t="shared" si="31"/>
        <v>1.6122163414888844</v>
      </c>
      <c r="V48" s="154">
        <f t="shared" si="32"/>
        <v>4.43609603795875</v>
      </c>
      <c r="W48" s="154">
        <f t="shared" si="17"/>
        <v>2.392430697069408</v>
      </c>
      <c r="X48" s="163">
        <f t="shared" si="33"/>
        <v>7.518796992481203</v>
      </c>
      <c r="Y48" s="165">
        <f t="shared" si="34"/>
        <v>-0.1063157894736842</v>
      </c>
      <c r="Z48" s="166">
        <f t="shared" si="35"/>
        <v>5.563755488606148</v>
      </c>
    </row>
    <row r="49" spans="7:26" ht="12.75">
      <c r="G49" s="153">
        <f t="shared" si="19"/>
        <v>218</v>
      </c>
      <c r="H49" s="153">
        <f t="shared" si="20"/>
        <v>0.32343670979354777</v>
      </c>
      <c r="I49" s="153">
        <f t="shared" si="21"/>
        <v>4.760423665736084</v>
      </c>
      <c r="J49" s="153">
        <f t="shared" si="22"/>
        <v>3.958128809571503</v>
      </c>
      <c r="K49" s="153">
        <f t="shared" si="23"/>
        <v>3.954024040797908</v>
      </c>
      <c r="L49" s="153">
        <f t="shared" si="24"/>
        <v>0.00045657096939147324</v>
      </c>
      <c r="M49" s="153">
        <f t="shared" si="25"/>
        <v>0.5213675213675214</v>
      </c>
      <c r="N49" s="153">
        <f t="shared" si="15"/>
        <v>2.5143085976680895</v>
      </c>
      <c r="O49" s="153">
        <f t="shared" si="26"/>
        <v>0.07325223505585884</v>
      </c>
      <c r="P49" s="153">
        <f t="shared" si="27"/>
        <v>3.9572049487876737</v>
      </c>
      <c r="Q49" s="153">
        <f t="shared" si="28"/>
        <v>1.9160985655207747</v>
      </c>
      <c r="R49" s="153">
        <f t="shared" si="29"/>
        <v>0.06779950800763512</v>
      </c>
      <c r="S49" s="153">
        <f t="shared" si="30"/>
        <v>0.7603833865814694</v>
      </c>
      <c r="T49" s="153">
        <f t="shared" si="16"/>
        <v>2.3877389698898406</v>
      </c>
      <c r="U49" s="153">
        <f t="shared" si="31"/>
        <v>1.607114431665541</v>
      </c>
      <c r="V49" s="153">
        <f t="shared" si="32"/>
        <v>4.43609603795875</v>
      </c>
      <c r="W49" s="153">
        <f t="shared" si="17"/>
        <v>2.3877389698898406</v>
      </c>
      <c r="X49" s="163">
        <f t="shared" si="33"/>
        <v>7.48430709802028</v>
      </c>
      <c r="Y49" s="163">
        <f t="shared" si="34"/>
        <v>-0.10582810236600676</v>
      </c>
      <c r="Z49" s="164">
        <f t="shared" si="35"/>
        <v>5.560569477295161</v>
      </c>
    </row>
    <row r="50" spans="7:26" ht="12.75">
      <c r="G50" s="154">
        <f t="shared" si="19"/>
        <v>219</v>
      </c>
      <c r="H50" s="154">
        <f t="shared" si="20"/>
        <v>0.3204896936308368</v>
      </c>
      <c r="I50" s="154">
        <f t="shared" si="21"/>
        <v>4.7409696763948235</v>
      </c>
      <c r="J50" s="154">
        <f t="shared" si="22"/>
        <v>3.9220824358127695</v>
      </c>
      <c r="K50" s="154">
        <f t="shared" si="23"/>
        <v>3.917978370347154</v>
      </c>
      <c r="L50" s="154">
        <f t="shared" si="24"/>
        <v>0.00045657096939147324</v>
      </c>
      <c r="M50" s="154">
        <f t="shared" si="25"/>
        <v>0.5213675213675214</v>
      </c>
      <c r="N50" s="154">
        <f t="shared" si="15"/>
        <v>2.5082389478804674</v>
      </c>
      <c r="O50" s="154">
        <f t="shared" si="26"/>
        <v>0.07325223505585884</v>
      </c>
      <c r="P50" s="154">
        <f t="shared" si="27"/>
        <v>3.8860493131715206</v>
      </c>
      <c r="Q50" s="154">
        <f t="shared" si="28"/>
        <v>1.8981333112386096</v>
      </c>
      <c r="R50" s="154">
        <f t="shared" si="29"/>
        <v>0.06779950800763512</v>
      </c>
      <c r="S50" s="154">
        <f t="shared" si="30"/>
        <v>0.7603833865814694</v>
      </c>
      <c r="T50" s="154">
        <f t="shared" si="16"/>
        <v>2.3830840087740524</v>
      </c>
      <c r="U50" s="154">
        <f t="shared" si="31"/>
        <v>1.6020591146259722</v>
      </c>
      <c r="V50" s="154">
        <f t="shared" si="32"/>
        <v>4.43609603795875</v>
      </c>
      <c r="W50" s="154">
        <f t="shared" si="17"/>
        <v>2.3830840087740524</v>
      </c>
      <c r="X50" s="163">
        <f t="shared" si="33"/>
        <v>7.45013217976448</v>
      </c>
      <c r="Y50" s="165">
        <f t="shared" si="34"/>
        <v>-0.10534486902186974</v>
      </c>
      <c r="Z50" s="166">
        <f t="shared" si="35"/>
        <v>5.557413710430258</v>
      </c>
    </row>
    <row r="51" spans="7:26" ht="12.75">
      <c r="G51" s="153">
        <f t="shared" si="19"/>
        <v>220</v>
      </c>
      <c r="H51" s="153">
        <f t="shared" si="20"/>
        <v>0.31758277264935053</v>
      </c>
      <c r="I51" s="153">
        <f t="shared" si="21"/>
        <v>4.72169254150212</v>
      </c>
      <c r="J51" s="153">
        <f t="shared" si="22"/>
        <v>3.886526485522573</v>
      </c>
      <c r="K51" s="153">
        <f t="shared" si="23"/>
        <v>3.8824231137961855</v>
      </c>
      <c r="L51" s="153">
        <f t="shared" si="24"/>
        <v>0.00045657096939147324</v>
      </c>
      <c r="M51" s="153">
        <f t="shared" si="25"/>
        <v>0.5213675213675214</v>
      </c>
      <c r="N51" s="153">
        <f t="shared" si="15"/>
        <v>2.5022153206032067</v>
      </c>
      <c r="O51" s="153">
        <f t="shared" si="26"/>
        <v>0.07325223505585884</v>
      </c>
      <c r="P51" s="153">
        <f t="shared" si="27"/>
        <v>3.8164941618311703</v>
      </c>
      <c r="Q51" s="153">
        <f t="shared" si="28"/>
        <v>1.880412480497552</v>
      </c>
      <c r="R51" s="153">
        <f t="shared" si="29"/>
        <v>0.06779950800763512</v>
      </c>
      <c r="S51" s="153">
        <f t="shared" si="30"/>
        <v>0.7603833865814694</v>
      </c>
      <c r="T51" s="153">
        <f t="shared" si="16"/>
        <v>2.3784653666775846</v>
      </c>
      <c r="U51" s="153">
        <f t="shared" si="31"/>
        <v>1.597049755014036</v>
      </c>
      <c r="V51" s="153">
        <f t="shared" si="32"/>
        <v>4.43609603795875</v>
      </c>
      <c r="W51" s="153">
        <f t="shared" si="17"/>
        <v>2.3784653666775846</v>
      </c>
      <c r="X51" s="163">
        <f t="shared" si="33"/>
        <v>7.416267942583732</v>
      </c>
      <c r="Y51" s="163">
        <f t="shared" si="34"/>
        <v>-0.10486602870813397</v>
      </c>
      <c r="Z51" s="164">
        <f t="shared" si="35"/>
        <v>5.5542878528789785</v>
      </c>
    </row>
    <row r="52" spans="7:26" ht="12.75">
      <c r="G52" s="154">
        <f t="shared" si="19"/>
        <v>221</v>
      </c>
      <c r="H52" s="154">
        <f t="shared" si="20"/>
        <v>0.31471522278881603</v>
      </c>
      <c r="I52" s="154">
        <f t="shared" si="21"/>
        <v>4.702589860318851</v>
      </c>
      <c r="J52" s="154">
        <f t="shared" si="22"/>
        <v>3.851452102371059</v>
      </c>
      <c r="K52" s="154">
        <f t="shared" si="23"/>
        <v>3.847349414987948</v>
      </c>
      <c r="L52" s="154">
        <f t="shared" si="24"/>
        <v>0.00045657096939147324</v>
      </c>
      <c r="M52" s="154">
        <f t="shared" si="25"/>
        <v>0.5213675213675214</v>
      </c>
      <c r="N52" s="154">
        <f t="shared" si="15"/>
        <v>2.4962371600835422</v>
      </c>
      <c r="O52" s="154">
        <f t="shared" si="26"/>
        <v>0.07325223505585884</v>
      </c>
      <c r="P52" s="154">
        <f t="shared" si="27"/>
        <v>3.7484964140524983</v>
      </c>
      <c r="Q52" s="154">
        <f t="shared" si="28"/>
        <v>1.8629316593662897</v>
      </c>
      <c r="R52" s="154">
        <f t="shared" si="29"/>
        <v>0.06779950800763512</v>
      </c>
      <c r="S52" s="154">
        <f t="shared" si="30"/>
        <v>0.7603833865814694</v>
      </c>
      <c r="T52" s="154">
        <f t="shared" si="16"/>
        <v>2.373882603983895</v>
      </c>
      <c r="U52" s="154">
        <f t="shared" si="31"/>
        <v>1.5920857289732484</v>
      </c>
      <c r="V52" s="154">
        <f t="shared" si="32"/>
        <v>4.43609603795875</v>
      </c>
      <c r="W52" s="154">
        <f t="shared" si="17"/>
        <v>2.373882603983895</v>
      </c>
      <c r="X52" s="163">
        <f t="shared" si="33"/>
        <v>7.382710169087878</v>
      </c>
      <c r="Y52" s="165">
        <f t="shared" si="34"/>
        <v>-0.10439152179090261</v>
      </c>
      <c r="Z52" s="166">
        <f t="shared" si="35"/>
        <v>5.55119157465775</v>
      </c>
    </row>
    <row r="53" spans="7:26" ht="12.75">
      <c r="G53" s="153">
        <f t="shared" si="19"/>
        <v>222</v>
      </c>
      <c r="H53" s="153">
        <f t="shared" si="20"/>
        <v>0.3118863362598118</v>
      </c>
      <c r="I53" s="153">
        <f t="shared" si="21"/>
        <v>4.683659275362461</v>
      </c>
      <c r="J53" s="153">
        <f t="shared" si="22"/>
        <v>3.816850629044992</v>
      </c>
      <c r="K53" s="153">
        <f t="shared" si="23"/>
        <v>3.8127486167781197</v>
      </c>
      <c r="L53" s="153">
        <f t="shared" si="24"/>
        <v>0.00045657096939147324</v>
      </c>
      <c r="M53" s="153">
        <f t="shared" si="25"/>
        <v>0.5213675213675214</v>
      </c>
      <c r="N53" s="153">
        <f t="shared" si="15"/>
        <v>2.4903039197547776</v>
      </c>
      <c r="O53" s="153">
        <f t="shared" si="26"/>
        <v>0.07325223505585884</v>
      </c>
      <c r="P53" s="153">
        <f t="shared" si="27"/>
        <v>3.6820143369718523</v>
      </c>
      <c r="Q53" s="153">
        <f t="shared" si="28"/>
        <v>1.8456865331019663</v>
      </c>
      <c r="R53" s="153">
        <f t="shared" si="29"/>
        <v>0.06779950800763512</v>
      </c>
      <c r="S53" s="153">
        <f t="shared" si="30"/>
        <v>0.7603833865814694</v>
      </c>
      <c r="T53" s="153">
        <f t="shared" si="16"/>
        <v>2.3693352883480308</v>
      </c>
      <c r="U53" s="153">
        <f t="shared" si="31"/>
        <v>1.5871664238877836</v>
      </c>
      <c r="V53" s="153">
        <f t="shared" si="32"/>
        <v>4.43609603795875</v>
      </c>
      <c r="W53" s="153">
        <f t="shared" si="17"/>
        <v>2.3693352883480308</v>
      </c>
      <c r="X53" s="163">
        <f t="shared" si="33"/>
        <v>7.34945471787577</v>
      </c>
      <c r="Y53" s="163">
        <f t="shared" si="34"/>
        <v>-0.10392128971076338</v>
      </c>
      <c r="Z53" s="164">
        <f t="shared" si="35"/>
        <v>5.548124550829894</v>
      </c>
    </row>
    <row r="54" spans="7:26" ht="12.75">
      <c r="G54" s="154">
        <f t="shared" si="19"/>
        <v>223</v>
      </c>
      <c r="H54" s="154">
        <f t="shared" si="20"/>
        <v>0.3090954211069711</v>
      </c>
      <c r="I54" s="154">
        <f t="shared" si="21"/>
        <v>4.664898471437069</v>
      </c>
      <c r="J54" s="154">
        <f t="shared" si="22"/>
        <v>3.782713601905085</v>
      </c>
      <c r="K54" s="154">
        <f t="shared" si="23"/>
        <v>3.778612255692549</v>
      </c>
      <c r="L54" s="154">
        <f t="shared" si="24"/>
        <v>0.00045657096939147324</v>
      </c>
      <c r="M54" s="154">
        <f t="shared" si="25"/>
        <v>0.5213675213675214</v>
      </c>
      <c r="N54" s="154">
        <f t="shared" si="15"/>
        <v>2.484415062043904</v>
      </c>
      <c r="O54" s="154">
        <f t="shared" si="26"/>
        <v>0.07325223505585884</v>
      </c>
      <c r="P54" s="154">
        <f t="shared" si="27"/>
        <v>3.6170074975786943</v>
      </c>
      <c r="Q54" s="154">
        <f t="shared" si="28"/>
        <v>1.8286728834874328</v>
      </c>
      <c r="R54" s="154">
        <f t="shared" si="29"/>
        <v>0.06779950800763512</v>
      </c>
      <c r="S54" s="154">
        <f t="shared" si="30"/>
        <v>0.7603833865814694</v>
      </c>
      <c r="T54" s="154">
        <f t="shared" si="16"/>
        <v>2.364822994544277</v>
      </c>
      <c r="U54" s="154">
        <f t="shared" si="31"/>
        <v>1.582291238130439</v>
      </c>
      <c r="V54" s="154">
        <f t="shared" si="32"/>
        <v>4.43609603795875</v>
      </c>
      <c r="W54" s="154">
        <f t="shared" si="17"/>
        <v>2.364822994544277</v>
      </c>
      <c r="X54" s="163">
        <f t="shared" si="33"/>
        <v>7.316497521831485</v>
      </c>
      <c r="Y54" s="165">
        <f t="shared" si="34"/>
        <v>-0.10345527495869719</v>
      </c>
      <c r="Z54" s="166">
        <f t="shared" si="35"/>
        <v>5.545086461406117</v>
      </c>
    </row>
    <row r="55" spans="7:26" ht="12.75">
      <c r="G55" s="153">
        <f t="shared" si="19"/>
        <v>224</v>
      </c>
      <c r="H55" s="153">
        <f t="shared" si="20"/>
        <v>0.3063418007858052</v>
      </c>
      <c r="I55" s="153">
        <f t="shared" si="21"/>
        <v>4.646305174689581</v>
      </c>
      <c r="J55" s="153">
        <f t="shared" si="22"/>
        <v>3.749032745809922</v>
      </c>
      <c r="K55" s="153">
        <f t="shared" si="23"/>
        <v>3.7449320567512783</v>
      </c>
      <c r="L55" s="153">
        <f t="shared" si="24"/>
        <v>0.00045657096939147324</v>
      </c>
      <c r="M55" s="153">
        <f t="shared" si="25"/>
        <v>0.5213675213675214</v>
      </c>
      <c r="N55" s="153">
        <f t="shared" si="15"/>
        <v>2.478570058184094</v>
      </c>
      <c r="O55" s="153">
        <f t="shared" si="26"/>
        <v>0.07325223505585884</v>
      </c>
      <c r="P55" s="153">
        <f t="shared" si="27"/>
        <v>3.553436716632983</v>
      </c>
      <c r="Q55" s="153">
        <f t="shared" si="28"/>
        <v>1.8118865862515279</v>
      </c>
      <c r="R55" s="153">
        <f t="shared" si="29"/>
        <v>0.06779950800763512</v>
      </c>
      <c r="S55" s="153">
        <f t="shared" si="30"/>
        <v>0.7603833865814694</v>
      </c>
      <c r="T55" s="153">
        <f t="shared" si="16"/>
        <v>2.3603453043176654</v>
      </c>
      <c r="U55" s="153">
        <f t="shared" si="31"/>
        <v>1.5774595808173568</v>
      </c>
      <c r="V55" s="153">
        <f t="shared" si="32"/>
        <v>4.43609603795875</v>
      </c>
      <c r="W55" s="153">
        <f t="shared" si="17"/>
        <v>2.3603453043176654</v>
      </c>
      <c r="X55" s="163">
        <f t="shared" si="33"/>
        <v>7.283834586466165</v>
      </c>
      <c r="Y55" s="163">
        <f t="shared" si="34"/>
        <v>-0.10299342105263157</v>
      </c>
      <c r="Z55" s="164">
        <f t="shared" si="35"/>
        <v>5.54207699124735</v>
      </c>
    </row>
    <row r="56" spans="7:26" ht="12.75">
      <c r="G56" s="154">
        <f t="shared" si="19"/>
        <v>225</v>
      </c>
      <c r="H56" s="154">
        <f t="shared" si="20"/>
        <v>0.303624813752663</v>
      </c>
      <c r="I56" s="154">
        <f t="shared" si="21"/>
        <v>4.627877151690961</v>
      </c>
      <c r="J56" s="154">
        <f t="shared" si="22"/>
        <v>3.7157999691005528</v>
      </c>
      <c r="K56" s="154">
        <f t="shared" si="23"/>
        <v>3.7116999284532355</v>
      </c>
      <c r="L56" s="154">
        <f t="shared" si="24"/>
        <v>0.00045657096939147324</v>
      </c>
      <c r="M56" s="154">
        <f t="shared" si="25"/>
        <v>0.5213675213675214</v>
      </c>
      <c r="N56" s="154">
        <f>(J56+K56)^(1/3)+(L56/(J56^(1/3)))+M56</f>
        <v>2.472768388031917</v>
      </c>
      <c r="O56" s="154">
        <f t="shared" si="26"/>
        <v>0.07325223505585884</v>
      </c>
      <c r="P56" s="154">
        <f t="shared" si="27"/>
        <v>3.491264024412763</v>
      </c>
      <c r="Q56" s="154">
        <f t="shared" si="28"/>
        <v>1.7953236085694362</v>
      </c>
      <c r="R56" s="154">
        <f t="shared" si="29"/>
        <v>0.06779950800763512</v>
      </c>
      <c r="S56" s="154">
        <f t="shared" si="30"/>
        <v>0.7603833865814694</v>
      </c>
      <c r="T56" s="154">
        <f t="shared" si="16"/>
        <v>2.355901806239226</v>
      </c>
      <c r="U56" s="154">
        <f t="shared" si="31"/>
        <v>1.5726708715692796</v>
      </c>
      <c r="V56" s="154">
        <f t="shared" si="32"/>
        <v>4.43609603795875</v>
      </c>
      <c r="W56" s="154">
        <f t="shared" si="17"/>
        <v>2.355901806239226</v>
      </c>
      <c r="X56" s="163">
        <f t="shared" si="33"/>
        <v>7.251461988304094</v>
      </c>
      <c r="Y56" s="165">
        <f t="shared" si="34"/>
        <v>-0.10253567251461987</v>
      </c>
      <c r="Z56" s="166">
        <f t="shared" si="35"/>
        <v>5.539095829969958</v>
      </c>
    </row>
    <row r="57" spans="7:26" ht="12.75">
      <c r="G57" s="153">
        <f t="shared" si="19"/>
        <v>226</v>
      </c>
      <c r="H57" s="153">
        <f t="shared" si="20"/>
        <v>0.3009438130673616</v>
      </c>
      <c r="I57" s="153">
        <f t="shared" si="21"/>
        <v>4.609612208541885</v>
      </c>
      <c r="J57" s="153">
        <f t="shared" si="22"/>
        <v>3.683007358740081</v>
      </c>
      <c r="K57" s="153">
        <f t="shared" si="23"/>
        <v>3.678907957915916</v>
      </c>
      <c r="L57" s="153">
        <f t="shared" si="24"/>
        <v>0.00045657096939147324</v>
      </c>
      <c r="M57" s="153">
        <f t="shared" si="25"/>
        <v>0.5213675213675214</v>
      </c>
      <c r="N57" s="153">
        <f t="shared" si="15"/>
        <v>2.4670095398891423</v>
      </c>
      <c r="O57" s="153">
        <f t="shared" si="26"/>
        <v>0.07325223505585884</v>
      </c>
      <c r="P57" s="153">
        <f t="shared" si="27"/>
        <v>3.430452618211533</v>
      </c>
      <c r="Q57" s="153">
        <f t="shared" si="28"/>
        <v>1.7789800066402932</v>
      </c>
      <c r="R57" s="153">
        <f t="shared" si="29"/>
        <v>0.06779950800763512</v>
      </c>
      <c r="S57" s="153">
        <f t="shared" si="30"/>
        <v>0.7603833865814694</v>
      </c>
      <c r="T57" s="153">
        <f t="shared" si="16"/>
        <v>2.3514920955648684</v>
      </c>
      <c r="U57" s="153">
        <f t="shared" si="31"/>
        <v>1.56792454027915</v>
      </c>
      <c r="V57" s="153">
        <f t="shared" si="32"/>
        <v>4.43609603795875</v>
      </c>
      <c r="W57" s="153">
        <f t="shared" si="17"/>
        <v>2.3514920955648684</v>
      </c>
      <c r="X57" s="163">
        <f t="shared" si="33"/>
        <v>7.219375873311598</v>
      </c>
      <c r="Y57" s="163">
        <f t="shared" si="34"/>
        <v>-0.102081974848626</v>
      </c>
      <c r="Z57" s="164">
        <f t="shared" si="35"/>
        <v>5.536142671853198</v>
      </c>
    </row>
    <row r="58" spans="7:26" ht="12.75">
      <c r="G58" s="154">
        <f t="shared" si="19"/>
        <v>227</v>
      </c>
      <c r="H58" s="154">
        <f t="shared" si="20"/>
        <v>0.29829816600804526</v>
      </c>
      <c r="I58" s="154">
        <f t="shared" si="21"/>
        <v>4.591508190002053</v>
      </c>
      <c r="J58" s="154">
        <f t="shared" si="22"/>
        <v>3.6506471756028147</v>
      </c>
      <c r="K58" s="154">
        <f t="shared" si="23"/>
        <v>3.646548406164629</v>
      </c>
      <c r="L58" s="154">
        <f t="shared" si="24"/>
        <v>0.00045657096939147324</v>
      </c>
      <c r="M58" s="154">
        <f t="shared" si="25"/>
        <v>0.5213675213675214</v>
      </c>
      <c r="N58" s="154">
        <f t="shared" si="15"/>
        <v>2.461293010328995</v>
      </c>
      <c r="O58" s="154">
        <f t="shared" si="26"/>
        <v>0.07325223505585884</v>
      </c>
      <c r="P58" s="154">
        <f t="shared" si="27"/>
        <v>3.370966821508893</v>
      </c>
      <c r="Q58" s="154">
        <f t="shared" si="28"/>
        <v>1.762851923339332</v>
      </c>
      <c r="R58" s="154">
        <f t="shared" si="29"/>
        <v>0.06779950800763512</v>
      </c>
      <c r="S58" s="154">
        <f t="shared" si="30"/>
        <v>0.7603833865814694</v>
      </c>
      <c r="T58" s="154">
        <f t="shared" si="16"/>
        <v>2.3471157740977975</v>
      </c>
      <c r="U58" s="154">
        <f t="shared" si="31"/>
        <v>1.5632200268858498</v>
      </c>
      <c r="V58" s="154">
        <f t="shared" si="32"/>
        <v>4.43609603795875</v>
      </c>
      <c r="W58" s="154">
        <f t="shared" si="17"/>
        <v>2.3471157740977975</v>
      </c>
      <c r="X58" s="163">
        <f t="shared" si="33"/>
        <v>7.187572455367493</v>
      </c>
      <c r="Y58" s="165">
        <f t="shared" si="34"/>
        <v>-0.10163227451889636</v>
      </c>
      <c r="Z58" s="166">
        <f t="shared" si="35"/>
        <v>5.5332172157488495</v>
      </c>
    </row>
    <row r="59" spans="7:26" ht="12.75">
      <c r="G59" s="153">
        <f t="shared" si="19"/>
        <v>228</v>
      </c>
      <c r="H59" s="153">
        <f t="shared" si="20"/>
        <v>0.29568725369784093</v>
      </c>
      <c r="I59" s="153">
        <f t="shared" si="21"/>
        <v>4.573562978642396</v>
      </c>
      <c r="J59" s="153">
        <f t="shared" si="22"/>
        <v>3.6187118499077133</v>
      </c>
      <c r="K59" s="153">
        <f t="shared" si="23"/>
        <v>3.6146137035660293</v>
      </c>
      <c r="L59" s="153">
        <f t="shared" si="24"/>
        <v>0.00045657096939147324</v>
      </c>
      <c r="M59" s="153">
        <f t="shared" si="25"/>
        <v>0.5213675213675214</v>
      </c>
      <c r="N59" s="153">
        <f t="shared" si="15"/>
        <v>2.4556183040267294</v>
      </c>
      <c r="O59" s="153">
        <f t="shared" si="26"/>
        <v>0.07325223505585884</v>
      </c>
      <c r="P59" s="153">
        <f t="shared" si="27"/>
        <v>3.31277204474152</v>
      </c>
      <c r="Q59" s="153">
        <f t="shared" si="28"/>
        <v>1.7469355859419469</v>
      </c>
      <c r="R59" s="153">
        <f t="shared" si="29"/>
        <v>0.06779950800763512</v>
      </c>
      <c r="S59" s="153">
        <f t="shared" si="30"/>
        <v>0.7603833865814694</v>
      </c>
      <c r="T59" s="153">
        <f t="shared" si="16"/>
        <v>2.342772450054341</v>
      </c>
      <c r="U59" s="153">
        <f t="shared" si="31"/>
        <v>1.5585567811538945</v>
      </c>
      <c r="V59" s="153">
        <f t="shared" si="32"/>
        <v>4.43609603795875</v>
      </c>
      <c r="W59" s="153">
        <f t="shared" si="17"/>
        <v>2.342772450054341</v>
      </c>
      <c r="X59" s="163">
        <f t="shared" si="33"/>
        <v>7.156048014773776</v>
      </c>
      <c r="Y59" s="163">
        <f t="shared" si="34"/>
        <v>-0.1011865189289012</v>
      </c>
      <c r="Z59" s="164">
        <f t="shared" si="35"/>
        <v>5.530319164993038</v>
      </c>
    </row>
    <row r="60" spans="7:26" ht="12.75">
      <c r="G60" s="154">
        <f t="shared" si="19"/>
        <v>229</v>
      </c>
      <c r="H60" s="154">
        <f t="shared" si="20"/>
        <v>0.29311047074290275</v>
      </c>
      <c r="I60" s="154">
        <f t="shared" si="21"/>
        <v>4.555774494019503</v>
      </c>
      <c r="J60" s="154">
        <f t="shared" si="22"/>
        <v>3.587193976791134</v>
      </c>
      <c r="K60" s="154">
        <f t="shared" si="23"/>
        <v>3.5830964454009497</v>
      </c>
      <c r="L60" s="154">
        <f t="shared" si="24"/>
        <v>0.00045657096939147324</v>
      </c>
      <c r="M60" s="154">
        <f t="shared" si="25"/>
        <v>0.5213675213675214</v>
      </c>
      <c r="N60" s="154">
        <f t="shared" si="15"/>
        <v>2.4499849335944064</v>
      </c>
      <c r="O60" s="154">
        <f t="shared" si="26"/>
        <v>0.07325223505585884</v>
      </c>
      <c r="P60" s="154">
        <f t="shared" si="27"/>
        <v>3.255834747605127</v>
      </c>
      <c r="Q60" s="154">
        <f t="shared" si="28"/>
        <v>1.7312273039171788</v>
      </c>
      <c r="R60" s="154">
        <f t="shared" si="29"/>
        <v>0.06779950800763512</v>
      </c>
      <c r="S60" s="154">
        <f t="shared" si="30"/>
        <v>0.7603833865814694</v>
      </c>
      <c r="T60" s="154">
        <f t="shared" si="16"/>
        <v>2.3384617379331107</v>
      </c>
      <c r="U60" s="154">
        <f t="shared" si="31"/>
        <v>1.5539342624588992</v>
      </c>
      <c r="V60" s="154">
        <f t="shared" si="32"/>
        <v>4.43609603795875</v>
      </c>
      <c r="W60" s="154">
        <f t="shared" si="17"/>
        <v>2.3384617379331107</v>
      </c>
      <c r="X60" s="163">
        <f t="shared" si="33"/>
        <v>7.124798896805332</v>
      </c>
      <c r="Y60" s="165">
        <f t="shared" si="34"/>
        <v>-0.1007446564008274</v>
      </c>
      <c r="Z60" s="166">
        <f t="shared" si="35"/>
        <v>5.52744822732007</v>
      </c>
    </row>
    <row r="61" spans="7:26" ht="12.75">
      <c r="G61" s="153">
        <f t="shared" si="19"/>
        <v>230</v>
      </c>
      <c r="H61" s="153">
        <f t="shared" si="20"/>
        <v>0.2905672248814473</v>
      </c>
      <c r="I61" s="153">
        <f t="shared" si="21"/>
        <v>4.538140691871593</v>
      </c>
      <c r="J61" s="153">
        <f t="shared" si="22"/>
        <v>3.5560863120140116</v>
      </c>
      <c r="K61" s="153">
        <f t="shared" si="23"/>
        <v>3.5519893875716715</v>
      </c>
      <c r="L61" s="153">
        <f t="shared" si="24"/>
        <v>0.00045657096939147324</v>
      </c>
      <c r="M61" s="153">
        <f t="shared" si="25"/>
        <v>0.5213675213675214</v>
      </c>
      <c r="N61" s="153">
        <f t="shared" si="15"/>
        <v>2.4443924194197337</v>
      </c>
      <c r="O61" s="153">
        <f t="shared" si="26"/>
        <v>0.07325223505585884</v>
      </c>
      <c r="P61" s="153">
        <f t="shared" si="27"/>
        <v>3.2001224028212567</v>
      </c>
      <c r="Q61" s="153">
        <f t="shared" si="28"/>
        <v>1.7157234667882095</v>
      </c>
      <c r="R61" s="153">
        <f t="shared" si="29"/>
        <v>0.06779950800763512</v>
      </c>
      <c r="S61" s="153">
        <f t="shared" si="30"/>
        <v>0.7603833865814694</v>
      </c>
      <c r="T61" s="153">
        <f t="shared" si="16"/>
        <v>2.3341832583873856</v>
      </c>
      <c r="U61" s="153">
        <f t="shared" si="31"/>
        <v>1.5493519395786433</v>
      </c>
      <c r="V61" s="153">
        <f t="shared" si="32"/>
        <v>4.43609603795875</v>
      </c>
      <c r="W61" s="153">
        <f t="shared" si="17"/>
        <v>2.3341832583873856</v>
      </c>
      <c r="X61" s="163">
        <f t="shared" si="33"/>
        <v>7.093821510297483</v>
      </c>
      <c r="Y61" s="163">
        <f t="shared" si="34"/>
        <v>-0.1003066361556064</v>
      </c>
      <c r="Z61" s="164">
        <f t="shared" si="35"/>
        <v>5.524604114778324</v>
      </c>
    </row>
    <row r="62" spans="7:26" ht="12.75">
      <c r="G62" s="154">
        <f t="shared" si="19"/>
        <v>231</v>
      </c>
      <c r="H62" s="154">
        <f t="shared" si="20"/>
        <v>0.28805693664340176</v>
      </c>
      <c r="I62" s="154">
        <f t="shared" si="21"/>
        <v>4.520659563335352</v>
      </c>
      <c r="J62" s="154">
        <f t="shared" si="22"/>
        <v>3.5253817677988546</v>
      </c>
      <c r="K62" s="154">
        <f t="shared" si="23"/>
        <v>3.5212854424389923</v>
      </c>
      <c r="L62" s="154">
        <f t="shared" si="24"/>
        <v>0.00045657096939147324</v>
      </c>
      <c r="M62" s="154">
        <f t="shared" si="25"/>
        <v>0.5213675213675214</v>
      </c>
      <c r="N62" s="154">
        <f t="shared" si="15"/>
        <v>2.438840289508872</v>
      </c>
      <c r="O62" s="154">
        <f t="shared" si="26"/>
        <v>0.07325223505585884</v>
      </c>
      <c r="P62" s="154">
        <f t="shared" si="27"/>
        <v>3.1456034613059556</v>
      </c>
      <c r="Q62" s="154">
        <f t="shared" si="28"/>
        <v>1.7004205420575451</v>
      </c>
      <c r="R62" s="154">
        <f t="shared" si="29"/>
        <v>0.06779950800763512</v>
      </c>
      <c r="S62" s="154">
        <f t="shared" si="30"/>
        <v>0.7603833865814694</v>
      </c>
      <c r="T62" s="154">
        <f t="shared" si="16"/>
        <v>2.329936638100627</v>
      </c>
      <c r="U62" s="154">
        <f t="shared" si="31"/>
        <v>1.5448092904895583</v>
      </c>
      <c r="V62" s="154">
        <f t="shared" si="32"/>
        <v>4.43609603795875</v>
      </c>
      <c r="W62" s="154">
        <f t="shared" si="17"/>
        <v>2.329936638100627</v>
      </c>
      <c r="X62" s="163">
        <f t="shared" si="33"/>
        <v>7.063112326270221</v>
      </c>
      <c r="Y62" s="165">
        <f t="shared" si="34"/>
        <v>-0.09987240829346092</v>
      </c>
      <c r="Z62" s="166">
        <f t="shared" si="35"/>
        <v>5.521786543648111</v>
      </c>
    </row>
    <row r="63" spans="7:26" ht="12.75">
      <c r="G63" s="153">
        <f t="shared" si="19"/>
        <v>232</v>
      </c>
      <c r="H63" s="153">
        <f t="shared" si="20"/>
        <v>0.28557903902029885</v>
      </c>
      <c r="I63" s="153">
        <f t="shared" si="21"/>
        <v>4.503329134183045</v>
      </c>
      <c r="J63" s="153">
        <f t="shared" si="22"/>
        <v>3.4950734087920687</v>
      </c>
      <c r="K63" s="153">
        <f t="shared" si="23"/>
        <v>3.490977674784636</v>
      </c>
      <c r="L63" s="153">
        <f t="shared" si="24"/>
        <v>0.00045657096939147324</v>
      </c>
      <c r="M63" s="153">
        <f t="shared" si="25"/>
        <v>0.5213675213675214</v>
      </c>
      <c r="N63" s="153">
        <f t="shared" si="15"/>
        <v>2.4333280793330756</v>
      </c>
      <c r="O63" s="153">
        <f t="shared" si="26"/>
        <v>0.07325223505585884</v>
      </c>
      <c r="P63" s="153">
        <f t="shared" si="27"/>
        <v>3.092247318680296</v>
      </c>
      <c r="Q63" s="153">
        <f t="shared" si="28"/>
        <v>1.685315073194671</v>
      </c>
      <c r="R63" s="153">
        <f t="shared" si="29"/>
        <v>0.06779950800763512</v>
      </c>
      <c r="S63" s="153">
        <f t="shared" si="30"/>
        <v>0.7603833865814694</v>
      </c>
      <c r="T63" s="153">
        <f t="shared" si="16"/>
        <v>2.3257215096650423</v>
      </c>
      <c r="U63" s="153">
        <f t="shared" si="31"/>
        <v>1.5403058021684826</v>
      </c>
      <c r="V63" s="153">
        <f t="shared" si="32"/>
        <v>4.43609603795875</v>
      </c>
      <c r="W63" s="153">
        <f t="shared" si="17"/>
        <v>2.3257215096650423</v>
      </c>
      <c r="X63" s="163">
        <f t="shared" si="33"/>
        <v>7.032667876588022</v>
      </c>
      <c r="Y63" s="163">
        <f t="shared" si="34"/>
        <v>-0.09944192377495463</v>
      </c>
      <c r="Z63" s="164">
        <f t="shared" si="35"/>
        <v>5.518995234361414</v>
      </c>
    </row>
    <row r="64" spans="7:26" ht="12.75">
      <c r="G64" s="154">
        <f>G63+1</f>
        <v>233</v>
      </c>
      <c r="H64" s="154">
        <f t="shared" si="20"/>
        <v>0.2831329771450674</v>
      </c>
      <c r="I64" s="154">
        <f t="shared" si="21"/>
        <v>4.486147464079254</v>
      </c>
      <c r="J64" s="154">
        <f t="shared" si="22"/>
        <v>3.4651544481473224</v>
      </c>
      <c r="K64" s="154">
        <f t="shared" si="23"/>
        <v>3.4610592978946917</v>
      </c>
      <c r="L64" s="154">
        <f t="shared" si="24"/>
        <v>0.00045657096939147324</v>
      </c>
      <c r="M64" s="154">
        <f t="shared" si="25"/>
        <v>0.5213675213675214</v>
      </c>
      <c r="N64" s="154">
        <f t="shared" si="15"/>
        <v>2.4278553316790714</v>
      </c>
      <c r="O64" s="154">
        <f t="shared" si="26"/>
        <v>0.07325223505585884</v>
      </c>
      <c r="P64" s="154">
        <f t="shared" si="27"/>
        <v>3.040024283065547</v>
      </c>
      <c r="Q64" s="154">
        <f t="shared" si="28"/>
        <v>1.6704036776840279</v>
      </c>
      <c r="R64" s="154">
        <f t="shared" si="29"/>
        <v>0.06779950800763512</v>
      </c>
      <c r="S64" s="154">
        <f t="shared" si="30"/>
        <v>0.7603833865814694</v>
      </c>
      <c r="T64" s="154">
        <f t="shared" si="16"/>
        <v>2.3215375114631005</v>
      </c>
      <c r="U64" s="154">
        <f t="shared" si="31"/>
        <v>1.535840970399519</v>
      </c>
      <c r="V64" s="154">
        <f t="shared" si="32"/>
        <v>4.43609603795875</v>
      </c>
      <c r="W64" s="154">
        <f t="shared" si="17"/>
        <v>2.3215375114631005</v>
      </c>
      <c r="X64" s="163">
        <f t="shared" si="33"/>
        <v>7.002484752654167</v>
      </c>
      <c r="Y64" s="165">
        <f t="shared" si="34"/>
        <v>-0.09901513440252992</v>
      </c>
      <c r="Z64" s="166">
        <f t="shared" si="35"/>
        <v>5.516229911423511</v>
      </c>
    </row>
    <row r="65" spans="7:26" ht="12.75">
      <c r="G65" s="153">
        <f t="shared" si="19"/>
        <v>234</v>
      </c>
      <c r="H65" s="153">
        <f t="shared" si="20"/>
        <v>0.2807182079813822</v>
      </c>
      <c r="I65" s="153">
        <f t="shared" si="21"/>
        <v>4.469112645856693</v>
      </c>
      <c r="J65" s="153">
        <f t="shared" si="22"/>
        <v>3.4356182437258345</v>
      </c>
      <c r="K65" s="153">
        <f t="shared" si="23"/>
        <v>3.4315236697599714</v>
      </c>
      <c r="L65" s="153">
        <f t="shared" si="24"/>
        <v>0.00045657096939147324</v>
      </c>
      <c r="M65" s="153">
        <f t="shared" si="25"/>
        <v>0.5213675213675214</v>
      </c>
      <c r="N65" s="153">
        <f t="shared" si="15"/>
        <v>2.4224215965030598</v>
      </c>
      <c r="O65" s="153">
        <f t="shared" si="26"/>
        <v>0.07325223505585884</v>
      </c>
      <c r="P65" s="153">
        <f t="shared" si="27"/>
        <v>2.988905544108491</v>
      </c>
      <c r="Q65" s="153">
        <f t="shared" si="28"/>
        <v>1.6556830451312599</v>
      </c>
      <c r="R65" s="153">
        <f t="shared" si="29"/>
        <v>0.06779950800763512</v>
      </c>
      <c r="S65" s="153">
        <f t="shared" si="30"/>
        <v>0.7603833865814694</v>
      </c>
      <c r="T65" s="153">
        <f t="shared" si="16"/>
        <v>2.3173842875519237</v>
      </c>
      <c r="U65" s="153">
        <f t="shared" si="31"/>
        <v>1.5314142995858457</v>
      </c>
      <c r="V65" s="153">
        <f t="shared" si="32"/>
        <v>4.43609603795875</v>
      </c>
      <c r="W65" s="153">
        <f t="shared" si="17"/>
        <v>2.3173842875519237</v>
      </c>
      <c r="X65" s="163">
        <f t="shared" si="33"/>
        <v>6.972559604138551</v>
      </c>
      <c r="Y65" s="163">
        <f t="shared" si="34"/>
        <v>-0.0985919928025191</v>
      </c>
      <c r="Z65" s="164">
        <f t="shared" si="35"/>
        <v>5.51349030333639</v>
      </c>
    </row>
    <row r="66" spans="7:26" ht="12.75">
      <c r="G66" s="154">
        <f t="shared" si="19"/>
        <v>235</v>
      </c>
      <c r="H66" s="154">
        <f t="shared" si="20"/>
        <v>0.2783342000222465</v>
      </c>
      <c r="I66" s="154">
        <f t="shared" si="21"/>
        <v>4.452222804810495</v>
      </c>
      <c r="J66" s="154">
        <f t="shared" si="22"/>
        <v>3.406458294409592</v>
      </c>
      <c r="K66" s="154">
        <f t="shared" si="23"/>
        <v>3.402364289389308</v>
      </c>
      <c r="L66" s="154">
        <f t="shared" si="24"/>
        <v>0.00045657096939147324</v>
      </c>
      <c r="M66" s="154">
        <f t="shared" si="25"/>
        <v>0.5213675213675214</v>
      </c>
      <c r="N66" s="154">
        <f t="shared" si="15"/>
        <v>2.4170264307882428</v>
      </c>
      <c r="O66" s="154">
        <f t="shared" si="26"/>
        <v>0.07325223505585884</v>
      </c>
      <c r="P66" s="154">
        <f t="shared" si="27"/>
        <v>2.938863143184845</v>
      </c>
      <c r="Q66" s="154">
        <f t="shared" si="28"/>
        <v>1.6411499354257535</v>
      </c>
      <c r="R66" s="154">
        <f t="shared" si="29"/>
        <v>0.06779950800763512</v>
      </c>
      <c r="S66" s="154">
        <f t="shared" si="30"/>
        <v>0.7603833865814694</v>
      </c>
      <c r="T66" s="154">
        <f t="shared" si="16"/>
        <v>2.313261487550465</v>
      </c>
      <c r="U66" s="154">
        <f t="shared" si="31"/>
        <v>1.5270253025663314</v>
      </c>
      <c r="V66" s="154">
        <f t="shared" si="32"/>
        <v>4.43609603795875</v>
      </c>
      <c r="W66" s="154">
        <f t="shared" si="17"/>
        <v>2.313261487550465</v>
      </c>
      <c r="X66" s="163">
        <f t="shared" si="33"/>
        <v>6.942889137737962</v>
      </c>
      <c r="Y66" s="165">
        <f t="shared" si="34"/>
        <v>-0.09817245240761478</v>
      </c>
      <c r="Z66" s="166">
        <f t="shared" si="35"/>
        <v>5.510776142523928</v>
      </c>
    </row>
    <row r="67" spans="7:26" ht="12.75">
      <c r="G67" s="153">
        <f t="shared" si="19"/>
        <v>236</v>
      </c>
      <c r="H67" s="153">
        <f t="shared" si="20"/>
        <v>0.27598043299749647</v>
      </c>
      <c r="I67" s="153">
        <f t="shared" si="21"/>
        <v>4.435476098010451</v>
      </c>
      <c r="J67" s="153">
        <f t="shared" si="22"/>
        <v>3.377668236523695</v>
      </c>
      <c r="K67" s="153">
        <f t="shared" si="23"/>
        <v>3.373574793231966</v>
      </c>
      <c r="L67" s="153">
        <f t="shared" si="24"/>
        <v>0.00045657096939147324</v>
      </c>
      <c r="M67" s="153">
        <f t="shared" si="25"/>
        <v>0.5213675213675214</v>
      </c>
      <c r="N67" s="153">
        <f t="shared" si="15"/>
        <v>2.4116693984057704</v>
      </c>
      <c r="O67" s="153">
        <f t="shared" si="26"/>
        <v>0.07325223505585884</v>
      </c>
      <c r="P67" s="153">
        <f t="shared" si="27"/>
        <v>2.88986994473124</v>
      </c>
      <c r="Q67" s="153">
        <f t="shared" si="28"/>
        <v>1.6268011769575574</v>
      </c>
      <c r="R67" s="153">
        <f t="shared" si="29"/>
        <v>0.06779950800763512</v>
      </c>
      <c r="S67" s="153">
        <f t="shared" si="30"/>
        <v>0.7603833865814694</v>
      </c>
      <c r="T67" s="153">
        <f t="shared" si="16"/>
        <v>2.3091687665294027</v>
      </c>
      <c r="U67" s="153">
        <f t="shared" si="31"/>
        <v>1.5226735004368133</v>
      </c>
      <c r="V67" s="153">
        <f t="shared" si="32"/>
        <v>4.43609603795875</v>
      </c>
      <c r="W67" s="153">
        <f t="shared" si="17"/>
        <v>2.3091687665294027</v>
      </c>
      <c r="X67" s="163">
        <f t="shared" si="33"/>
        <v>6.913470115967886</v>
      </c>
      <c r="Y67" s="163">
        <f t="shared" si="34"/>
        <v>-0.0977564674397859</v>
      </c>
      <c r="Z67" s="164">
        <f t="shared" si="35"/>
        <v>5.5080871652587655</v>
      </c>
    </row>
    <row r="68" spans="7:26" ht="12.75">
      <c r="G68" s="154">
        <f t="shared" si="19"/>
        <v>237</v>
      </c>
      <c r="H68" s="154">
        <f t="shared" si="20"/>
        <v>0.2736563975899262</v>
      </c>
      <c r="I68" s="154">
        <f t="shared" si="21"/>
        <v>4.41887071363066</v>
      </c>
      <c r="J68" s="154">
        <f t="shared" si="22"/>
        <v>3.3492418403641495</v>
      </c>
      <c r="K68" s="154">
        <f t="shared" si="23"/>
        <v>3.3451489517054975</v>
      </c>
      <c r="L68" s="154">
        <f t="shared" si="24"/>
        <v>0.00045657096939147324</v>
      </c>
      <c r="M68" s="154">
        <f t="shared" si="25"/>
        <v>0.5213675213675214</v>
      </c>
      <c r="N68" s="154">
        <f t="shared" si="15"/>
        <v>2.4063500699790183</v>
      </c>
      <c r="O68" s="154">
        <f t="shared" si="26"/>
        <v>0.07325223505585884</v>
      </c>
      <c r="P68" s="154">
        <f t="shared" si="27"/>
        <v>2.841899608658444</v>
      </c>
      <c r="Q68" s="154">
        <f t="shared" si="28"/>
        <v>1.6126336648868576</v>
      </c>
      <c r="R68" s="154">
        <f t="shared" si="29"/>
        <v>0.06779950800763512</v>
      </c>
      <c r="S68" s="154">
        <f t="shared" si="30"/>
        <v>0.7603833865814694</v>
      </c>
      <c r="T68" s="154">
        <f t="shared" si="16"/>
        <v>2.3051057849036636</v>
      </c>
      <c r="U68" s="154">
        <f t="shared" si="31"/>
        <v>1.5183584223758984</v>
      </c>
      <c r="V68" s="154">
        <f t="shared" si="32"/>
        <v>4.43609603795875</v>
      </c>
      <c r="W68" s="154">
        <f t="shared" si="17"/>
        <v>2.3051057849036636</v>
      </c>
      <c r="X68" s="163">
        <f t="shared" si="33"/>
        <v>6.884299355984899</v>
      </c>
      <c r="Y68" s="165">
        <f t="shared" si="34"/>
        <v>-0.09734399289362647</v>
      </c>
      <c r="Z68" s="166">
        <f t="shared" si="35"/>
        <v>5.505423111590877</v>
      </c>
    </row>
    <row r="69" spans="7:26" ht="12.75">
      <c r="G69" s="153">
        <f t="shared" si="19"/>
        <v>238</v>
      </c>
      <c r="H69" s="153">
        <f t="shared" si="20"/>
        <v>0.2713615951597445</v>
      </c>
      <c r="I69" s="153">
        <f t="shared" si="21"/>
        <v>4.402404870296077</v>
      </c>
      <c r="J69" s="153">
        <f t="shared" si="22"/>
        <v>3.321173006827558</v>
      </c>
      <c r="K69" s="153">
        <f t="shared" si="23"/>
        <v>3.3170806658255083</v>
      </c>
      <c r="L69" s="153">
        <f t="shared" si="24"/>
        <v>0.00045657096939147324</v>
      </c>
      <c r="M69" s="153">
        <f t="shared" si="25"/>
        <v>0.5213675213675214</v>
      </c>
      <c r="N69" s="153">
        <f t="shared" si="15"/>
        <v>2.401068022751097</v>
      </c>
      <c r="O69" s="153">
        <f t="shared" si="26"/>
        <v>0.07325223505585884</v>
      </c>
      <c r="P69" s="153">
        <f t="shared" si="27"/>
        <v>2.7949265638006953</v>
      </c>
      <c r="Q69" s="153">
        <f t="shared" si="28"/>
        <v>1.5986443594642432</v>
      </c>
      <c r="R69" s="153">
        <f t="shared" si="29"/>
        <v>0.06779950800763512</v>
      </c>
      <c r="S69" s="153">
        <f t="shared" si="30"/>
        <v>0.7603833865814694</v>
      </c>
      <c r="T69" s="153">
        <f t="shared" si="16"/>
        <v>2.3010722083275157</v>
      </c>
      <c r="U69" s="153">
        <f t="shared" si="31"/>
        <v>1.5140796054751593</v>
      </c>
      <c r="V69" s="153">
        <f t="shared" si="32"/>
        <v>4.43609603795875</v>
      </c>
      <c r="W69" s="153">
        <f t="shared" si="17"/>
        <v>2.3010722083275157</v>
      </c>
      <c r="X69" s="163">
        <f t="shared" si="33"/>
        <v>6.855373728438744</v>
      </c>
      <c r="Y69" s="163">
        <f t="shared" si="34"/>
        <v>-0.09693498452012385</v>
      </c>
      <c r="Z69" s="164">
        <f t="shared" si="35"/>
        <v>5.502783725277719</v>
      </c>
    </row>
    <row r="70" spans="7:26" ht="12.75">
      <c r="G70" s="154">
        <f t="shared" si="19"/>
        <v>239</v>
      </c>
      <c r="H70" s="154">
        <f t="shared" si="20"/>
        <v>0.2690955374770848</v>
      </c>
      <c r="I70" s="154">
        <f t="shared" si="21"/>
        <v>4.386076816445466</v>
      </c>
      <c r="J70" s="154">
        <f t="shared" si="22"/>
        <v>3.2934557641393263</v>
      </c>
      <c r="K70" s="154">
        <f t="shared" si="23"/>
        <v>3.2893639639339205</v>
      </c>
      <c r="L70" s="154">
        <f t="shared" si="24"/>
        <v>0.00045657096939147324</v>
      </c>
      <c r="M70" s="154">
        <f t="shared" si="25"/>
        <v>0.5213675213675214</v>
      </c>
      <c r="N70" s="154">
        <f t="shared" si="15"/>
        <v>2.395822840455505</v>
      </c>
      <c r="O70" s="154">
        <f t="shared" si="26"/>
        <v>0.07325223505585884</v>
      </c>
      <c r="P70" s="154">
        <f t="shared" si="27"/>
        <v>2.7489259823580854</v>
      </c>
      <c r="Q70" s="154">
        <f t="shared" si="28"/>
        <v>1.5848302844000652</v>
      </c>
      <c r="R70" s="154">
        <f t="shared" si="29"/>
        <v>0.06779950800763512</v>
      </c>
      <c r="S70" s="154">
        <f t="shared" si="30"/>
        <v>0.7603833865814694</v>
      </c>
      <c r="T70" s="154">
        <f t="shared" si="16"/>
        <v>2.297067707592144</v>
      </c>
      <c r="U70" s="154">
        <f t="shared" si="31"/>
        <v>1.5098365945735897</v>
      </c>
      <c r="V70" s="154">
        <f t="shared" si="32"/>
        <v>4.43609603795875</v>
      </c>
      <c r="W70" s="154">
        <f t="shared" si="17"/>
        <v>2.297067707592144</v>
      </c>
      <c r="X70" s="163">
        <f t="shared" si="33"/>
        <v>6.8266901563532265</v>
      </c>
      <c r="Y70" s="165">
        <f t="shared" si="34"/>
        <v>-0.09652939881083462</v>
      </c>
      <c r="Z70" s="166">
        <f t="shared" si="35"/>
        <v>5.5001687537159745</v>
      </c>
    </row>
    <row r="71" spans="2:26" ht="12.75">
      <c r="B71" s="156"/>
      <c r="G71" s="153">
        <f t="shared" si="19"/>
        <v>240</v>
      </c>
      <c r="H71" s="153">
        <f aca="true" t="shared" si="36" ref="H71:H102">(Iout*(Vout_nom^2)*2.5*Rsense*K_1)/(eff*(G71^2)*K_FQ)*us</f>
        <v>0.2668577464623015</v>
      </c>
      <c r="I71" s="153">
        <f aca="true" t="shared" si="37" ref="I71:I102">(1*10^-9*(5*10^8*SQRT(fsw*kHz)+(1.09655978*10^10)*SQRT(ftyp)*SQRT(H71)))/SQRT(fsw*kHz)</f>
        <v>4.369884829710276</v>
      </c>
      <c r="J71" s="153">
        <f aca="true" t="shared" si="38" ref="J71:J102">(b_1^3/(27*a_1^3))-(d_1^3/27)+SQRT((ftyp)^2*H71^2/(4*a_1^2*c_1^2*(fsw*kHz)^2))+(b_1^3*(ftyp)*H71/(27*a_1^4*c_1*(fsw*kHz))-(d_1^3*(ftyp)*H71/(27*a_1*c_1*(fsw*kHz)))+(b_1*d_1^2*(ftyp)*H71/(9*a_1^2*c_1*(fsw*kHz)))-(b_1^2*d_1*(ftyp)*H71/(9*a_1^3*c_1*(fsw*kHz))))</f>
        <v>3.2660842646771004</v>
      </c>
      <c r="K71" s="153">
        <f aca="true" t="shared" si="39" ref="K71:K102">(b_1*d_1^2/(9*a_1))-(b_1^2*d_1/(9*a_1^2))+(ftyp*H71/(2*a_1*c_1*fsw*kHz))</f>
        <v>3.2619929985224725</v>
      </c>
      <c r="L71" s="153">
        <f aca="true" t="shared" si="40" ref="L71:L102">(d_1^2/9)+(b_1^2/(9*a_1^2))-(2*b_1*d_1/(9*a_1))</f>
        <v>0.00045657096939147324</v>
      </c>
      <c r="M71" s="153">
        <f aca="true" t="shared" si="41" ref="M71:M102">((b_1*c_1*fsw*kHz)+(2*a_1*c_1*d_1*fsw*kHz))/(3*a_1*c_1*fsw*kHz)</f>
        <v>0.5213675213675214</v>
      </c>
      <c r="N71" s="153">
        <f t="shared" si="15"/>
        <v>2.39061411318984</v>
      </c>
      <c r="O71" s="153">
        <f aca="true" t="shared" si="42" ref="O71:O102">(b_2^3/(27*a_2^3))-(d_2^3/27)</f>
        <v>0.07325223505585884</v>
      </c>
      <c r="P71" s="153">
        <f aca="true" t="shared" si="43" ref="P71:P102">(ftyp^2*H71^2/(4*a_2^2*c_2^2*(fsw*kHz)^2))+(b_2^3*ftyp*H71/(27*a_2^4*c_2*(fsw*kHz)))-(d_2^3*ftyp*H71/(27*a_2*c_2*(fsw*kHz)))+(b_2*d_2^2*ftyp*H71/(9*a_2^2*c_2*(fsw*kHz)))-(b_2^2*d_2*ftyp*H71/(9*a_2^3*c_2*(fsw*kHz)))</f>
        <v>2.703873755290904</v>
      </c>
      <c r="Q71" s="153">
        <f aca="true" t="shared" si="44" ref="Q71:Q102">(b_2*d_2^2/(9*a_2))-(b_2^2*d_2/(9*a_2^2))+(ftyp*H71/(2*a_2*c_2*(fsw*kHz)))</f>
        <v>1.5711885252812603</v>
      </c>
      <c r="R71" s="153">
        <f aca="true" t="shared" si="45" ref="R71:R102">(d_2^2/9)+(b_2^2/(9*a_2^2))-(2*b_2*d_2/(9*a_2))</f>
        <v>0.06779950800763512</v>
      </c>
      <c r="S71" s="153">
        <f aca="true" t="shared" si="46" ref="S71:S102">(b_2*c_2*(fsw*kHz)+2*a_2*c_2*d_2*(fsw*kHz))/(3*a_2*c_2*(fsw*kHz))</f>
        <v>0.7603833865814694</v>
      </c>
      <c r="T71" s="153">
        <f t="shared" si="16"/>
        <v>2.293091958525651</v>
      </c>
      <c r="U71" s="153">
        <f aca="true" t="shared" si="47" ref="U71:U102">c_3+(SQRT(ftyp)*SQRT(H71)/(SQRT(a_3)*SQRT(b_3)*SQRT(fsw*kHz)))</f>
        <v>1.5056289420962</v>
      </c>
      <c r="V71" s="153">
        <f aca="true" t="shared" si="48" ref="V71:V102">(a_4*(fsw*kHz)*b_4/ftyp)</f>
        <v>4.43609603795875</v>
      </c>
      <c r="W71" s="153">
        <f t="shared" si="17"/>
        <v>2.293091958525651</v>
      </c>
      <c r="X71" s="163">
        <f aca="true" t="shared" si="49" ref="X71:X102">Pin_max/G71</f>
        <v>6.798245614035087</v>
      </c>
      <c r="Y71" s="163">
        <f aca="true" t="shared" si="50" ref="Y71:Y102">-X71*Rsense*1.414</f>
        <v>-0.09612719298245614</v>
      </c>
      <c r="Z71" s="164">
        <f aca="true" t="shared" si="51" ref="Z71:Z102">MIN(6,MAX(0.5,Beta*G*($Y71-Voff_trim)/(MAX(0,MIN(4.5,W71)-Alpha1_A)+MAX(0,MIN(4.5,W71)-Alpha1_B)-Alpha1_C)+Alpha2))</f>
        <v>5.4975779478748406</v>
      </c>
    </row>
    <row r="72" spans="7:26" ht="12.75">
      <c r="G72" s="154">
        <f t="shared" si="19"/>
        <v>241</v>
      </c>
      <c r="H72" s="154">
        <f t="shared" si="36"/>
        <v>0.26464775393379186</v>
      </c>
      <c r="I72" s="154">
        <f t="shared" si="37"/>
        <v>4.35382721630899</v>
      </c>
      <c r="J72" s="154">
        <f t="shared" si="38"/>
        <v>3.239052781886255</v>
      </c>
      <c r="K72" s="154">
        <f t="shared" si="39"/>
        <v>3.234962043148272</v>
      </c>
      <c r="L72" s="154">
        <f t="shared" si="40"/>
        <v>0.00045657096939147324</v>
      </c>
      <c r="M72" s="154">
        <f t="shared" si="41"/>
        <v>0.5213675213675214</v>
      </c>
      <c r="N72" s="154">
        <f aca="true" t="shared" si="52" ref="N72:N135">(J72+K72)^(1/3)+(L72/(J72^(1/3)))+M72</f>
        <v>2.385441437292478</v>
      </c>
      <c r="O72" s="154">
        <f t="shared" si="42"/>
        <v>0.07325223505585884</v>
      </c>
      <c r="P72" s="154">
        <f t="shared" si="43"/>
        <v>2.659746468626657</v>
      </c>
      <c r="Q72" s="154">
        <f t="shared" si="44"/>
        <v>1.557716228034055</v>
      </c>
      <c r="R72" s="154">
        <f t="shared" si="45"/>
        <v>0.06779950800763512</v>
      </c>
      <c r="S72" s="154">
        <f t="shared" si="46"/>
        <v>0.7603833865814694</v>
      </c>
      <c r="T72" s="154">
        <f aca="true" t="shared" si="53" ref="T72:T135">((O72+SQRT(P72)+Q72)^(1/3))+(R72/((O72+SQRT(P72)+Q72)^(1/3)))+S72</f>
        <v>2.289144641895406</v>
      </c>
      <c r="U72" s="154">
        <f t="shared" si="47"/>
        <v>1.5014562078966305</v>
      </c>
      <c r="V72" s="154">
        <f t="shared" si="48"/>
        <v>4.43609603795875</v>
      </c>
      <c r="W72" s="154">
        <f aca="true" t="shared" si="54" ref="W72:W135">IF(I72&gt;=0.5,IF(I72&lt;1,I72,IF(N72&gt;=1,IF(N72&lt;2,N72,IF(T72&gt;=2,IF(T72&lt;4.5,T72,IF(U72&gt;=4.5,IF(U72&lt;4.6,U72,V72))))))))</f>
        <v>2.289144641895406</v>
      </c>
      <c r="X72" s="163">
        <f t="shared" si="49"/>
        <v>6.770037126010045</v>
      </c>
      <c r="Y72" s="165">
        <f t="shared" si="50"/>
        <v>-0.09572832496178203</v>
      </c>
      <c r="Z72" s="166">
        <f t="shared" si="51"/>
        <v>5.49501106223079</v>
      </c>
    </row>
    <row r="73" spans="7:26" ht="12.75">
      <c r="G73" s="153">
        <f aca="true" t="shared" si="55" ref="G73:G80">G72+1</f>
        <v>242</v>
      </c>
      <c r="H73" s="153">
        <f t="shared" si="36"/>
        <v>0.2624651013630996</v>
      </c>
      <c r="I73" s="153">
        <f t="shared" si="37"/>
        <v>4.337902310456473</v>
      </c>
      <c r="J73" s="153">
        <f t="shared" si="38"/>
        <v>3.2123557072844453</v>
      </c>
      <c r="K73" s="153">
        <f t="shared" si="39"/>
        <v>3.208265489438403</v>
      </c>
      <c r="L73" s="153">
        <f t="shared" si="40"/>
        <v>0.00045657096939147324</v>
      </c>
      <c r="M73" s="153">
        <f t="shared" si="41"/>
        <v>0.5213675213675214</v>
      </c>
      <c r="N73" s="153">
        <f t="shared" si="52"/>
        <v>2.3803044152221453</v>
      </c>
      <c r="O73" s="153">
        <f t="shared" si="42"/>
        <v>0.07325223505585884</v>
      </c>
      <c r="P73" s="153">
        <f t="shared" si="43"/>
        <v>2.61652138064236</v>
      </c>
      <c r="Q73" s="153">
        <f t="shared" si="44"/>
        <v>1.5444105974310534</v>
      </c>
      <c r="R73" s="153">
        <f t="shared" si="45"/>
        <v>0.06779950800763512</v>
      </c>
      <c r="S73" s="153">
        <f t="shared" si="46"/>
        <v>0.7603833865814694</v>
      </c>
      <c r="T73" s="153">
        <f t="shared" si="53"/>
        <v>2.285225443312692</v>
      </c>
      <c r="U73" s="153">
        <f t="shared" si="47"/>
        <v>1.4973179591036692</v>
      </c>
      <c r="V73" s="153">
        <f t="shared" si="48"/>
        <v>4.43609603795875</v>
      </c>
      <c r="W73" s="153">
        <f t="shared" si="54"/>
        <v>2.285225443312692</v>
      </c>
      <c r="X73" s="163">
        <f t="shared" si="49"/>
        <v>6.742061765985211</v>
      </c>
      <c r="Y73" s="163">
        <f t="shared" si="50"/>
        <v>-0.09533275337103088</v>
      </c>
      <c r="Z73" s="164">
        <f t="shared" si="51"/>
        <v>5.492467854703798</v>
      </c>
    </row>
    <row r="74" spans="7:26" ht="12.75">
      <c r="G74" s="154">
        <f t="shared" si="55"/>
        <v>243</v>
      </c>
      <c r="H74" s="154">
        <f t="shared" si="36"/>
        <v>0.2603093396370567</v>
      </c>
      <c r="I74" s="154">
        <f t="shared" si="37"/>
        <v>4.322108473787927</v>
      </c>
      <c r="J74" s="154">
        <f t="shared" si="38"/>
        <v>3.185987547552253</v>
      </c>
      <c r="K74" s="154">
        <f t="shared" si="39"/>
        <v>3.1818978441806287</v>
      </c>
      <c r="L74" s="154">
        <f t="shared" si="40"/>
        <v>0.00045657096939147324</v>
      </c>
      <c r="M74" s="154">
        <f t="shared" si="41"/>
        <v>0.5213675213675214</v>
      </c>
      <c r="N74" s="154">
        <f t="shared" si="52"/>
        <v>2.3752026554402987</v>
      </c>
      <c r="O74" s="154">
        <f t="shared" si="42"/>
        <v>0.07325223505585884</v>
      </c>
      <c r="P74" s="154">
        <f t="shared" si="43"/>
        <v>2.5741763998862637</v>
      </c>
      <c r="Q74" s="154">
        <f t="shared" si="44"/>
        <v>1.531268895641236</v>
      </c>
      <c r="R74" s="154">
        <f t="shared" si="45"/>
        <v>0.06779950800763512</v>
      </c>
      <c r="S74" s="154">
        <f t="shared" si="46"/>
        <v>0.7603833865814694</v>
      </c>
      <c r="T74" s="154">
        <f t="shared" si="53"/>
        <v>2.281334053139568</v>
      </c>
      <c r="U74" s="154">
        <f t="shared" si="47"/>
        <v>1.4932137699715553</v>
      </c>
      <c r="V74" s="154">
        <f t="shared" si="48"/>
        <v>4.43609603795875</v>
      </c>
      <c r="W74" s="154">
        <f t="shared" si="54"/>
        <v>2.281334053139568</v>
      </c>
      <c r="X74" s="163">
        <f t="shared" si="49"/>
        <v>6.7143166558371234</v>
      </c>
      <c r="Y74" s="165">
        <f t="shared" si="50"/>
        <v>-0.09494043751353694</v>
      </c>
      <c r="Z74" s="166">
        <f t="shared" si="51"/>
        <v>5.489948086594973</v>
      </c>
    </row>
    <row r="75" spans="7:26" ht="12.75">
      <c r="G75" s="153">
        <f t="shared" si="55"/>
        <v>244</v>
      </c>
      <c r="H75" s="153">
        <f t="shared" si="36"/>
        <v>0.25818002882673613</v>
      </c>
      <c r="I75" s="153">
        <f t="shared" si="37"/>
        <v>4.306444094796993</v>
      </c>
      <c r="J75" s="153">
        <f t="shared" si="38"/>
        <v>3.159942921707134</v>
      </c>
      <c r="K75" s="153">
        <f t="shared" si="39"/>
        <v>3.155853726497392</v>
      </c>
      <c r="L75" s="153">
        <f t="shared" si="40"/>
        <v>0.00045657096939147324</v>
      </c>
      <c r="M75" s="153">
        <f t="shared" si="41"/>
        <v>0.5213675213675214</v>
      </c>
      <c r="N75" s="153">
        <f t="shared" si="52"/>
        <v>2.3701357722962424</v>
      </c>
      <c r="O75" s="153">
        <f t="shared" si="42"/>
        <v>0.07325223505585884</v>
      </c>
      <c r="P75" s="153">
        <f t="shared" si="43"/>
        <v>2.532690064004864</v>
      </c>
      <c r="Q75" s="153">
        <f t="shared" si="44"/>
        <v>1.5182884408214758</v>
      </c>
      <c r="R75" s="153">
        <f t="shared" si="45"/>
        <v>0.06779950800763512</v>
      </c>
      <c r="S75" s="153">
        <f t="shared" si="46"/>
        <v>0.7603833865814694</v>
      </c>
      <c r="T75" s="153">
        <f t="shared" si="53"/>
        <v>2.2774701663979053</v>
      </c>
      <c r="U75" s="153">
        <f t="shared" si="47"/>
        <v>1.4891432217339666</v>
      </c>
      <c r="V75" s="153">
        <f t="shared" si="48"/>
        <v>4.43609603795875</v>
      </c>
      <c r="W75" s="153">
        <f t="shared" si="54"/>
        <v>2.2774701663979053</v>
      </c>
      <c r="X75" s="163">
        <f t="shared" si="49"/>
        <v>6.686798964624677</v>
      </c>
      <c r="Y75" s="163">
        <f t="shared" si="50"/>
        <v>-0.09455133735979292</v>
      </c>
      <c r="Z75" s="164">
        <f t="shared" si="51"/>
        <v>5.487451522525576</v>
      </c>
    </row>
    <row r="76" spans="7:26" ht="12.75">
      <c r="G76" s="154">
        <f t="shared" si="55"/>
        <v>245</v>
      </c>
      <c r="H76" s="154">
        <f t="shared" si="36"/>
        <v>0.25607673796299146</v>
      </c>
      <c r="I76" s="154">
        <f t="shared" si="37"/>
        <v>4.2909075882876175</v>
      </c>
      <c r="J76" s="154">
        <f t="shared" si="38"/>
        <v>3.1342165583579336</v>
      </c>
      <c r="K76" s="154">
        <f t="shared" si="39"/>
        <v>3.1301278651003916</v>
      </c>
      <c r="L76" s="154">
        <f t="shared" si="40"/>
        <v>0.00045657096939147324</v>
      </c>
      <c r="M76" s="154">
        <f t="shared" si="41"/>
        <v>0.5213675213675214</v>
      </c>
      <c r="N76" s="154">
        <f t="shared" si="52"/>
        <v>2.3651033859148978</v>
      </c>
      <c r="O76" s="154">
        <f t="shared" si="42"/>
        <v>0.07325223505585884</v>
      </c>
      <c r="P76" s="154">
        <f t="shared" si="43"/>
        <v>2.492041519342525</v>
      </c>
      <c r="Q76" s="154">
        <f t="shared" si="44"/>
        <v>1.5054666057482105</v>
      </c>
      <c r="R76" s="154">
        <f t="shared" si="45"/>
        <v>0.06779950800763512</v>
      </c>
      <c r="S76" s="154">
        <f t="shared" si="46"/>
        <v>0.7603833865814694</v>
      </c>
      <c r="T76" s="154">
        <f t="shared" si="53"/>
        <v>2.273633482680523</v>
      </c>
      <c r="U76" s="154">
        <f t="shared" si="47"/>
        <v>1.4851059024615831</v>
      </c>
      <c r="V76" s="154">
        <f t="shared" si="48"/>
        <v>4.43609603795875</v>
      </c>
      <c r="W76" s="154">
        <f t="shared" si="54"/>
        <v>2.273633482680523</v>
      </c>
      <c r="X76" s="163">
        <f t="shared" si="49"/>
        <v>6.659505907626208</v>
      </c>
      <c r="Y76" s="165">
        <f t="shared" si="50"/>
        <v>-0.09416541353383458</v>
      </c>
      <c r="Z76" s="166">
        <f t="shared" si="51"/>
        <v>5.484977930377389</v>
      </c>
    </row>
    <row r="77" spans="7:26" ht="12.75">
      <c r="G77" s="153">
        <f t="shared" si="55"/>
        <v>246</v>
      </c>
      <c r="H77" s="153">
        <f t="shared" si="36"/>
        <v>0.25399904481837143</v>
      </c>
      <c r="I77" s="153">
        <f t="shared" si="37"/>
        <v>4.275497394839293</v>
      </c>
      <c r="J77" s="153">
        <f t="shared" si="38"/>
        <v>3.108803293037381</v>
      </c>
      <c r="K77" s="153">
        <f t="shared" si="39"/>
        <v>3.10471509562312</v>
      </c>
      <c r="L77" s="153">
        <f t="shared" si="40"/>
        <v>0.00045657096939147324</v>
      </c>
      <c r="M77" s="153">
        <f t="shared" si="41"/>
        <v>0.5213675213675214</v>
      </c>
      <c r="N77" s="153">
        <f t="shared" si="52"/>
        <v>2.3601051220871665</v>
      </c>
      <c r="O77" s="153">
        <f t="shared" si="42"/>
        <v>0.07325223505585884</v>
      </c>
      <c r="P77" s="153">
        <f t="shared" si="43"/>
        <v>2.4522105012825284</v>
      </c>
      <c r="Q77" s="153">
        <f t="shared" si="44"/>
        <v>1.492800816487973</v>
      </c>
      <c r="R77" s="153">
        <f t="shared" si="45"/>
        <v>0.06779950800763512</v>
      </c>
      <c r="S77" s="153">
        <f t="shared" si="46"/>
        <v>0.7603833865814694</v>
      </c>
      <c r="T77" s="153">
        <f t="shared" si="53"/>
        <v>2.269823706064377</v>
      </c>
      <c r="U77" s="153">
        <f t="shared" si="47"/>
        <v>1.4811014069231216</v>
      </c>
      <c r="V77" s="153">
        <f t="shared" si="48"/>
        <v>4.43609603795875</v>
      </c>
      <c r="W77" s="153">
        <f t="shared" si="54"/>
        <v>2.269823706064377</v>
      </c>
      <c r="X77" s="163">
        <f t="shared" si="49"/>
        <v>6.632434745400086</v>
      </c>
      <c r="Y77" s="163">
        <f t="shared" si="50"/>
        <v>-0.0937826272999572</v>
      </c>
      <c r="Z77" s="164">
        <f t="shared" si="51"/>
        <v>5.482527081234368</v>
      </c>
    </row>
    <row r="78" spans="7:26" ht="12.75">
      <c r="G78" s="154">
        <f t="shared" si="55"/>
        <v>247</v>
      </c>
      <c r="H78" s="154">
        <f t="shared" si="36"/>
        <v>0.25194653569520176</v>
      </c>
      <c r="I78" s="154">
        <f t="shared" si="37"/>
        <v>4.2602119802852885</v>
      </c>
      <c r="J78" s="154">
        <f t="shared" si="38"/>
        <v>3.083698065610015</v>
      </c>
      <c r="K78" s="154">
        <f t="shared" si="39"/>
        <v>3.079610358028847</v>
      </c>
      <c r="L78" s="154">
        <f t="shared" si="40"/>
        <v>0.00045657096939147324</v>
      </c>
      <c r="M78" s="154">
        <f t="shared" si="41"/>
        <v>0.5213675213675214</v>
      </c>
      <c r="N78" s="154">
        <f t="shared" si="52"/>
        <v>2.355140612162807</v>
      </c>
      <c r="O78" s="154">
        <f t="shared" si="42"/>
        <v>0.07325223505585884</v>
      </c>
      <c r="P78" s="154">
        <f t="shared" si="43"/>
        <v>2.413177315299708</v>
      </c>
      <c r="Q78" s="154">
        <f t="shared" si="44"/>
        <v>1.4802885511055237</v>
      </c>
      <c r="R78" s="154">
        <f t="shared" si="45"/>
        <v>0.06779950800763512</v>
      </c>
      <c r="S78" s="154">
        <f t="shared" si="46"/>
        <v>0.7603833865814694</v>
      </c>
      <c r="T78" s="154">
        <f t="shared" si="53"/>
        <v>2.26604054502574</v>
      </c>
      <c r="U78" s="154">
        <f t="shared" si="47"/>
        <v>1.4771293364497486</v>
      </c>
      <c r="V78" s="154">
        <f t="shared" si="48"/>
        <v>4.43609603795875</v>
      </c>
      <c r="W78" s="154">
        <f t="shared" si="54"/>
        <v>2.26604054502574</v>
      </c>
      <c r="X78" s="163">
        <f t="shared" si="49"/>
        <v>6.605582782868101</v>
      </c>
      <c r="Y78" s="165">
        <f t="shared" si="50"/>
        <v>-0.09340294054975494</v>
      </c>
      <c r="Z78" s="166">
        <f t="shared" si="51"/>
        <v>5.48009874932559</v>
      </c>
    </row>
    <row r="79" spans="7:26" ht="12.75">
      <c r="G79" s="153">
        <f t="shared" si="55"/>
        <v>248</v>
      </c>
      <c r="H79" s="153">
        <f t="shared" si="36"/>
        <v>0.2499188052196372</v>
      </c>
      <c r="I79" s="153">
        <f t="shared" si="37"/>
        <v>4.245049835203494</v>
      </c>
      <c r="J79" s="153">
        <f t="shared" si="38"/>
        <v>3.058895917753134</v>
      </c>
      <c r="K79" s="153">
        <f t="shared" si="39"/>
        <v>3.054808694091614</v>
      </c>
      <c r="L79" s="153">
        <f t="shared" si="40"/>
        <v>0.00045657096939147324</v>
      </c>
      <c r="M79" s="153">
        <f t="shared" si="41"/>
        <v>0.5213675213675214</v>
      </c>
      <c r="N79" s="153">
        <f t="shared" si="52"/>
        <v>2.350209492945764</v>
      </c>
      <c r="O79" s="153">
        <f t="shared" si="42"/>
        <v>0.07325223505585884</v>
      </c>
      <c r="P79" s="153">
        <f t="shared" si="43"/>
        <v>2.37492281869617</v>
      </c>
      <c r="Q79" s="153">
        <f t="shared" si="44"/>
        <v>1.4679273384083724</v>
      </c>
      <c r="R79" s="153">
        <f t="shared" si="45"/>
        <v>0.06779950800763512</v>
      </c>
      <c r="S79" s="153">
        <f t="shared" si="46"/>
        <v>0.7603833865814694</v>
      </c>
      <c r="T79" s="153">
        <f t="shared" si="53"/>
        <v>2.262283712357324</v>
      </c>
      <c r="U79" s="153">
        <f t="shared" si="47"/>
        <v>1.473189298802774</v>
      </c>
      <c r="V79" s="153">
        <f t="shared" si="48"/>
        <v>4.43609603795875</v>
      </c>
      <c r="W79" s="153">
        <f t="shared" si="54"/>
        <v>2.262283712357324</v>
      </c>
      <c r="X79" s="163">
        <f t="shared" si="49"/>
        <v>6.578947368421052</v>
      </c>
      <c r="Y79" s="163">
        <f t="shared" si="50"/>
        <v>-0.09302631578947368</v>
      </c>
      <c r="Z79" s="164">
        <f t="shared" si="51"/>
        <v>5.477692711969434</v>
      </c>
    </row>
    <row r="80" spans="7:26" ht="12.75">
      <c r="G80" s="154">
        <f t="shared" si="55"/>
        <v>249</v>
      </c>
      <c r="H80" s="154">
        <f t="shared" si="36"/>
        <v>0.2479154561414907</v>
      </c>
      <c r="I80" s="154">
        <f t="shared" si="37"/>
        <v>4.230009474419544</v>
      </c>
      <c r="J80" s="154">
        <f t="shared" si="38"/>
        <v>3.0343919905084142</v>
      </c>
      <c r="K80" s="154">
        <f t="shared" si="39"/>
        <v>3.0303052449478995</v>
      </c>
      <c r="L80" s="154">
        <f t="shared" si="40"/>
        <v>0.00045657096939147324</v>
      </c>
      <c r="M80" s="154">
        <f t="shared" si="41"/>
        <v>0.5213675213675214</v>
      </c>
      <c r="N80" s="154">
        <f t="shared" si="52"/>
        <v>2.345311406591875</v>
      </c>
      <c r="O80" s="154">
        <f t="shared" si="42"/>
        <v>0.07325223505585884</v>
      </c>
      <c r="P80" s="154">
        <f t="shared" si="43"/>
        <v>2.337428402992842</v>
      </c>
      <c r="Q80" s="154">
        <f t="shared" si="44"/>
        <v>1.4557147567265212</v>
      </c>
      <c r="R80" s="154">
        <f t="shared" si="45"/>
        <v>0.06779950800763512</v>
      </c>
      <c r="S80" s="154">
        <f t="shared" si="46"/>
        <v>0.7603833865814694</v>
      </c>
      <c r="T80" s="154">
        <f t="shared" si="53"/>
        <v>2.2585529250872884</v>
      </c>
      <c r="U80" s="154">
        <f t="shared" si="47"/>
        <v>1.4692809080445297</v>
      </c>
      <c r="V80" s="154">
        <f t="shared" si="48"/>
        <v>4.43609603795875</v>
      </c>
      <c r="W80" s="154">
        <f t="shared" si="54"/>
        <v>2.2585529250872884</v>
      </c>
      <c r="X80" s="163">
        <f t="shared" si="49"/>
        <v>6.552525893045868</v>
      </c>
      <c r="Y80" s="165">
        <f t="shared" si="50"/>
        <v>-0.09265271612766855</v>
      </c>
      <c r="Z80" s="166">
        <f t="shared" si="51"/>
        <v>5.475308749518959</v>
      </c>
    </row>
    <row r="81" spans="7:26" ht="12.75">
      <c r="G81" s="153">
        <f>G80+1</f>
        <v>250</v>
      </c>
      <c r="H81" s="153">
        <f t="shared" si="36"/>
        <v>0.245936099139657</v>
      </c>
      <c r="I81" s="153">
        <f t="shared" si="37"/>
        <v>4.215089436521866</v>
      </c>
      <c r="J81" s="153">
        <f t="shared" si="38"/>
        <v>3.010181521901948</v>
      </c>
      <c r="K81" s="153">
        <f t="shared" si="39"/>
        <v>3.0060952487167087</v>
      </c>
      <c r="L81" s="153">
        <f t="shared" si="40"/>
        <v>0.00045657096939147324</v>
      </c>
      <c r="M81" s="153">
        <f t="shared" si="41"/>
        <v>0.5213675213675214</v>
      </c>
      <c r="N81" s="153">
        <f t="shared" si="52"/>
        <v>2.340446000508903</v>
      </c>
      <c r="O81" s="153">
        <f t="shared" si="42"/>
        <v>0.07325223505585884</v>
      </c>
      <c r="P81" s="153">
        <f t="shared" si="43"/>
        <v>2.3006759769507745</v>
      </c>
      <c r="Q81" s="153">
        <f t="shared" si="44"/>
        <v>1.443648432726311</v>
      </c>
      <c r="R81" s="153">
        <f t="shared" si="45"/>
        <v>0.06779950800763512</v>
      </c>
      <c r="S81" s="153">
        <f t="shared" si="46"/>
        <v>0.7603833865814694</v>
      </c>
      <c r="T81" s="153">
        <f t="shared" si="53"/>
        <v>2.254847904400086</v>
      </c>
      <c r="U81" s="153">
        <f t="shared" si="47"/>
        <v>1.4654037844123518</v>
      </c>
      <c r="V81" s="153">
        <f t="shared" si="48"/>
        <v>4.43609603795875</v>
      </c>
      <c r="W81" s="153">
        <f t="shared" si="54"/>
        <v>2.254847904400086</v>
      </c>
      <c r="X81" s="163">
        <f t="shared" si="49"/>
        <v>6.526315789473684</v>
      </c>
      <c r="Y81" s="163">
        <f t="shared" si="50"/>
        <v>-0.09228210526315789</v>
      </c>
      <c r="Z81" s="164">
        <f t="shared" si="51"/>
        <v>5.472946645308495</v>
      </c>
    </row>
    <row r="82" spans="7:26" ht="12.75">
      <c r="G82" s="154">
        <f aca="true" t="shared" si="56" ref="G82:G99">G81+1</f>
        <v>251</v>
      </c>
      <c r="H82" s="154">
        <f t="shared" si="36"/>
        <v>0.24398035263295126</v>
      </c>
      <c r="I82" s="154">
        <f t="shared" si="37"/>
        <v>4.2002882833883115</v>
      </c>
      <c r="J82" s="154">
        <f t="shared" si="38"/>
        <v>2.9862598446305206</v>
      </c>
      <c r="K82" s="154">
        <f t="shared" si="39"/>
        <v>2.9821740381858923</v>
      </c>
      <c r="L82" s="154">
        <f t="shared" si="40"/>
        <v>0.00045657096939147324</v>
      </c>
      <c r="M82" s="154">
        <f t="shared" si="41"/>
        <v>0.5213675213675214</v>
      </c>
      <c r="N82" s="154">
        <f t="shared" si="52"/>
        <v>2.3356129272588277</v>
      </c>
      <c r="O82" s="154">
        <f t="shared" si="42"/>
        <v>0.07325223505585884</v>
      </c>
      <c r="P82" s="154">
        <f t="shared" si="43"/>
        <v>2.2646479501972845</v>
      </c>
      <c r="Q82" s="154">
        <f t="shared" si="44"/>
        <v>1.4317260402572778</v>
      </c>
      <c r="R82" s="154">
        <f t="shared" si="45"/>
        <v>0.06779950800763512</v>
      </c>
      <c r="S82" s="154">
        <f t="shared" si="46"/>
        <v>0.7603833865814694</v>
      </c>
      <c r="T82" s="154">
        <f t="shared" si="53"/>
        <v>2.2511683755591</v>
      </c>
      <c r="U82" s="154">
        <f t="shared" si="47"/>
        <v>1.4615575541955694</v>
      </c>
      <c r="V82" s="154">
        <f t="shared" si="48"/>
        <v>4.43609603795875</v>
      </c>
      <c r="W82" s="154">
        <f t="shared" si="54"/>
        <v>2.2511683755591</v>
      </c>
      <c r="X82" s="163">
        <f t="shared" si="49"/>
        <v>6.500314531348291</v>
      </c>
      <c r="Y82" s="165">
        <f t="shared" si="50"/>
        <v>-0.09191444747326484</v>
      </c>
      <c r="Z82" s="166">
        <f t="shared" si="51"/>
        <v>5.470606185601334</v>
      </c>
    </row>
    <row r="83" spans="2:26" ht="12.75">
      <c r="B83" s="156"/>
      <c r="G83" s="153">
        <f t="shared" si="56"/>
        <v>252</v>
      </c>
      <c r="H83" s="153">
        <f t="shared" si="36"/>
        <v>0.24204784259619178</v>
      </c>
      <c r="I83" s="153">
        <f t="shared" si="37"/>
        <v>4.185604599724073</v>
      </c>
      <c r="J83" s="153">
        <f t="shared" si="38"/>
        <v>2.962622383812031</v>
      </c>
      <c r="K83" s="153">
        <f t="shared" si="39"/>
        <v>2.958537038562609</v>
      </c>
      <c r="L83" s="153">
        <f t="shared" si="40"/>
        <v>0.00045657096939147324</v>
      </c>
      <c r="M83" s="153">
        <f t="shared" si="41"/>
        <v>0.5213675213675214</v>
      </c>
      <c r="N83" s="153">
        <f t="shared" si="52"/>
        <v>2.3308118444623287</v>
      </c>
      <c r="O83" s="153">
        <f t="shared" si="42"/>
        <v>0.07325223505585884</v>
      </c>
      <c r="P83" s="153">
        <f t="shared" si="43"/>
        <v>2.229327217433067</v>
      </c>
      <c r="Q83" s="153">
        <f t="shared" si="44"/>
        <v>1.4199452992309771</v>
      </c>
      <c r="R83" s="153">
        <f t="shared" si="45"/>
        <v>0.06779950800763512</v>
      </c>
      <c r="S83" s="153">
        <f t="shared" si="46"/>
        <v>0.7603833865814694</v>
      </c>
      <c r="T83" s="153">
        <f t="shared" si="53"/>
        <v>2.2475140678310184</v>
      </c>
      <c r="U83" s="153">
        <f t="shared" si="47"/>
        <v>1.4577418496154282</v>
      </c>
      <c r="V83" s="153">
        <f t="shared" si="48"/>
        <v>4.43609603795875</v>
      </c>
      <c r="W83" s="153">
        <f t="shared" si="54"/>
        <v>2.2475140678310184</v>
      </c>
      <c r="X83" s="163">
        <f t="shared" si="49"/>
        <v>6.474519632414369</v>
      </c>
      <c r="Y83" s="163">
        <f t="shared" si="50"/>
        <v>-0.09154970760233917</v>
      </c>
      <c r="Z83" s="164">
        <f t="shared" si="51"/>
        <v>5.468287159538578</v>
      </c>
    </row>
    <row r="84" spans="7:26" ht="12.75">
      <c r="G84" s="154">
        <f t="shared" si="56"/>
        <v>253</v>
      </c>
      <c r="H84" s="154">
        <f t="shared" si="36"/>
        <v>0.24013820238136144</v>
      </c>
      <c r="I84" s="154">
        <f t="shared" si="37"/>
        <v>4.171036992610539</v>
      </c>
      <c r="J84" s="154">
        <f t="shared" si="38"/>
        <v>2.9392646547980315</v>
      </c>
      <c r="K84" s="154">
        <f t="shared" si="39"/>
        <v>2.935179765285912</v>
      </c>
      <c r="L84" s="154">
        <f t="shared" si="40"/>
        <v>0.00045657096939147324</v>
      </c>
      <c r="M84" s="154">
        <f t="shared" si="41"/>
        <v>0.5213675213675214</v>
      </c>
      <c r="N84" s="154">
        <f t="shared" si="52"/>
        <v>2.3260424147054195</v>
      </c>
      <c r="O84" s="154">
        <f t="shared" si="42"/>
        <v>0.07325223505585884</v>
      </c>
      <c r="P84" s="154">
        <f t="shared" si="43"/>
        <v>2.19469714319748</v>
      </c>
      <c r="Q84" s="154">
        <f t="shared" si="44"/>
        <v>1.4083039745307704</v>
      </c>
      <c r="R84" s="154">
        <f t="shared" si="45"/>
        <v>0.06779950800763512</v>
      </c>
      <c r="S84" s="154">
        <f t="shared" si="46"/>
        <v>0.7603833865814694</v>
      </c>
      <c r="T84" s="154">
        <f t="shared" si="53"/>
        <v>2.2438847144119074</v>
      </c>
      <c r="U84" s="154">
        <f t="shared" si="47"/>
        <v>1.4539563087078573</v>
      </c>
      <c r="V84" s="154">
        <f t="shared" si="48"/>
        <v>4.43609603795875</v>
      </c>
      <c r="W84" s="154">
        <f t="shared" si="54"/>
        <v>2.2438847144119074</v>
      </c>
      <c r="X84" s="163">
        <f t="shared" si="49"/>
        <v>6.448928645724984</v>
      </c>
      <c r="Y84" s="165">
        <f t="shared" si="50"/>
        <v>-0.09118785105055127</v>
      </c>
      <c r="Z84" s="166">
        <f t="shared" si="51"/>
        <v>5.46598935908907</v>
      </c>
    </row>
    <row r="85" spans="7:26" ht="12.75">
      <c r="G85" s="153">
        <f t="shared" si="56"/>
        <v>254</v>
      </c>
      <c r="H85" s="153">
        <f t="shared" si="36"/>
        <v>0.23825107254368783</v>
      </c>
      <c r="I85" s="153">
        <f t="shared" si="37"/>
        <v>4.156584091064828</v>
      </c>
      <c r="J85" s="153">
        <f t="shared" si="38"/>
        <v>2.9161822610464254</v>
      </c>
      <c r="K85" s="153">
        <f t="shared" si="39"/>
        <v>2.912097821899489</v>
      </c>
      <c r="L85" s="153">
        <f t="shared" si="40"/>
        <v>0.00045657096939147324</v>
      </c>
      <c r="M85" s="153">
        <f t="shared" si="41"/>
        <v>0.5213675213675214</v>
      </c>
      <c r="N85" s="153">
        <f t="shared" si="52"/>
        <v>2.321304305448156</v>
      </c>
      <c r="O85" s="153">
        <f t="shared" si="42"/>
        <v>0.07325223505585884</v>
      </c>
      <c r="P85" s="153">
        <f t="shared" si="43"/>
        <v>2.160741547170147</v>
      </c>
      <c r="Q85" s="153">
        <f t="shared" si="44"/>
        <v>1.3967998749515946</v>
      </c>
      <c r="R85" s="153">
        <f t="shared" si="45"/>
        <v>0.06779950800763512</v>
      </c>
      <c r="S85" s="153">
        <f t="shared" si="46"/>
        <v>0.7603833865814694</v>
      </c>
      <c r="T85" s="153">
        <f t="shared" si="53"/>
        <v>2.2402800523549353</v>
      </c>
      <c r="U85" s="153">
        <f t="shared" si="47"/>
        <v>1.4502005752090077</v>
      </c>
      <c r="V85" s="153">
        <f t="shared" si="48"/>
        <v>4.43609603795875</v>
      </c>
      <c r="W85" s="153">
        <f t="shared" si="54"/>
        <v>2.2402800523549353</v>
      </c>
      <c r="X85" s="163">
        <f t="shared" si="49"/>
        <v>6.423539162867799</v>
      </c>
      <c r="Y85" s="163">
        <f t="shared" si="50"/>
        <v>-0.09082884376295067</v>
      </c>
      <c r="Z85" s="164">
        <f t="shared" si="51"/>
        <v>5.463712579000366</v>
      </c>
    </row>
    <row r="86" spans="7:26" ht="12.75">
      <c r="G86" s="154">
        <f t="shared" si="56"/>
        <v>255</v>
      </c>
      <c r="H86" s="154">
        <f t="shared" si="36"/>
        <v>0.23638610067248847</v>
      </c>
      <c r="I86" s="154">
        <f t="shared" si="37"/>
        <v>4.142244545609671</v>
      </c>
      <c r="J86" s="154">
        <f t="shared" si="38"/>
        <v>2.8933708920524617</v>
      </c>
      <c r="K86" s="154">
        <f t="shared" si="39"/>
        <v>2.8892868979826893</v>
      </c>
      <c r="L86" s="154">
        <f t="shared" si="40"/>
        <v>0.00045657096939147324</v>
      </c>
      <c r="M86" s="154">
        <f t="shared" si="41"/>
        <v>0.5213675213675214</v>
      </c>
      <c r="N86" s="154">
        <f t="shared" si="52"/>
        <v>2.3165971889353822</v>
      </c>
      <c r="O86" s="154">
        <f t="shared" si="42"/>
        <v>0.07325223505585884</v>
      </c>
      <c r="P86" s="154">
        <f t="shared" si="43"/>
        <v>2.1274446899879855</v>
      </c>
      <c r="Q86" s="154">
        <f t="shared" si="44"/>
        <v>1.3854308521687806</v>
      </c>
      <c r="R86" s="154">
        <f t="shared" si="45"/>
        <v>0.06779950800763512</v>
      </c>
      <c r="S86" s="154">
        <f t="shared" si="46"/>
        <v>0.7603833865814694</v>
      </c>
      <c r="T86" s="154">
        <f t="shared" si="53"/>
        <v>2.236699822499701</v>
      </c>
      <c r="U86" s="154">
        <f t="shared" si="47"/>
        <v>1.446474298443482</v>
      </c>
      <c r="V86" s="154">
        <f t="shared" si="48"/>
        <v>4.43609603795875</v>
      </c>
      <c r="W86" s="154">
        <f t="shared" si="54"/>
        <v>2.236699822499701</v>
      </c>
      <c r="X86" s="163">
        <f t="shared" si="49"/>
        <v>6.398348813209494</v>
      </c>
      <c r="Y86" s="165">
        <f t="shared" si="50"/>
        <v>-0.09047265221878224</v>
      </c>
      <c r="Z86" s="166">
        <f t="shared" si="51"/>
        <v>5.46145661675078</v>
      </c>
    </row>
    <row r="87" spans="7:26" ht="12.75">
      <c r="G87" s="153">
        <f t="shared" si="56"/>
        <v>256</v>
      </c>
      <c r="H87" s="153">
        <f t="shared" si="36"/>
        <v>0.2345429412266321</v>
      </c>
      <c r="I87" s="153">
        <f t="shared" si="37"/>
        <v>4.128017027853383</v>
      </c>
      <c r="J87" s="153">
        <f t="shared" si="38"/>
        <v>2.8708263213361747</v>
      </c>
      <c r="K87" s="153">
        <f t="shared" si="39"/>
        <v>2.866742767138012</v>
      </c>
      <c r="L87" s="153">
        <f t="shared" si="40"/>
        <v>0.00045657096939147324</v>
      </c>
      <c r="M87" s="153">
        <f t="shared" si="41"/>
        <v>0.5213675213675214</v>
      </c>
      <c r="N87" s="153">
        <f t="shared" si="52"/>
        <v>2.311920742109449</v>
      </c>
      <c r="O87" s="153">
        <f t="shared" si="42"/>
        <v>0.07325223505585884</v>
      </c>
      <c r="P87" s="153">
        <f t="shared" si="43"/>
        <v>2.094791259557665</v>
      </c>
      <c r="Q87" s="153">
        <f t="shared" si="44"/>
        <v>1.374194799735012</v>
      </c>
      <c r="R87" s="153">
        <f t="shared" si="45"/>
        <v>0.06779950800763512</v>
      </c>
      <c r="S87" s="153">
        <f t="shared" si="46"/>
        <v>0.7603833865814694</v>
      </c>
      <c r="T87" s="153">
        <f t="shared" si="53"/>
        <v>2.2331437694031333</v>
      </c>
      <c r="U87" s="153">
        <f t="shared" si="47"/>
        <v>1.442777133215187</v>
      </c>
      <c r="V87" s="153">
        <f t="shared" si="48"/>
        <v>4.43609603795875</v>
      </c>
      <c r="W87" s="153">
        <f t="shared" si="54"/>
        <v>2.2331437694031333</v>
      </c>
      <c r="X87" s="163">
        <f t="shared" si="49"/>
        <v>6.373355263157895</v>
      </c>
      <c r="Y87" s="163">
        <f t="shared" si="50"/>
        <v>-0.09011924342105264</v>
      </c>
      <c r="Z87" s="164">
        <f t="shared" si="51"/>
        <v>5.459221272502401</v>
      </c>
    </row>
    <row r="88" spans="7:26" ht="12.75">
      <c r="G88" s="154">
        <f t="shared" si="56"/>
        <v>257</v>
      </c>
      <c r="H88" s="154">
        <f t="shared" si="36"/>
        <v>0.23272125537447297</v>
      </c>
      <c r="I88" s="154">
        <f t="shared" si="37"/>
        <v>4.1139002300796355</v>
      </c>
      <c r="J88" s="154">
        <f t="shared" si="38"/>
        <v>2.848544404484548</v>
      </c>
      <c r="K88" s="154">
        <f t="shared" si="39"/>
        <v>2.844461285033304</v>
      </c>
      <c r="L88" s="154">
        <f t="shared" si="40"/>
        <v>0.00045657096939147324</v>
      </c>
      <c r="M88" s="154">
        <f t="shared" si="41"/>
        <v>0.5213675213675214</v>
      </c>
      <c r="N88" s="154">
        <f t="shared" si="52"/>
        <v>2.3072746465248604</v>
      </c>
      <c r="O88" s="154">
        <f t="shared" si="42"/>
        <v>0.07325223505585884</v>
      </c>
      <c r="P88" s="154">
        <f t="shared" si="43"/>
        <v>2.062766357844306</v>
      </c>
      <c r="Q88" s="154">
        <f t="shared" si="44"/>
        <v>1.3630896521045504</v>
      </c>
      <c r="R88" s="154">
        <f t="shared" si="45"/>
        <v>0.06779950800763512</v>
      </c>
      <c r="S88" s="154">
        <f t="shared" si="46"/>
        <v>0.7603833865814694</v>
      </c>
      <c r="T88" s="154">
        <f t="shared" si="53"/>
        <v>2.22961164127191</v>
      </c>
      <c r="U88" s="154">
        <f t="shared" si="47"/>
        <v>1.4391087397007314</v>
      </c>
      <c r="V88" s="154">
        <f t="shared" si="48"/>
        <v>4.43609603795875</v>
      </c>
      <c r="W88" s="154">
        <f t="shared" si="54"/>
        <v>2.22961164127191</v>
      </c>
      <c r="X88" s="163">
        <f t="shared" si="49"/>
        <v>6.348556215441327</v>
      </c>
      <c r="Y88" s="165">
        <f t="shared" si="50"/>
        <v>-0.08976858488634036</v>
      </c>
      <c r="Z88" s="166">
        <f t="shared" si="51"/>
        <v>5.457006349055132</v>
      </c>
    </row>
    <row r="89" spans="7:26" ht="12.75">
      <c r="G89" s="153">
        <f t="shared" si="56"/>
        <v>258</v>
      </c>
      <c r="H89" s="153">
        <f t="shared" si="36"/>
        <v>0.23092071083811916</v>
      </c>
      <c r="I89" s="153">
        <f t="shared" si="37"/>
        <v>4.099892864846768</v>
      </c>
      <c r="J89" s="153">
        <f t="shared" si="38"/>
        <v>2.8265210772466856</v>
      </c>
      <c r="K89" s="153">
        <f t="shared" si="39"/>
        <v>2.8224383874969665</v>
      </c>
      <c r="L89" s="153">
        <f t="shared" si="40"/>
        <v>0.00045657096939147324</v>
      </c>
      <c r="M89" s="153">
        <f t="shared" si="41"/>
        <v>0.5213675213675214</v>
      </c>
      <c r="N89" s="153">
        <f t="shared" si="52"/>
        <v>2.3026585882647947</v>
      </c>
      <c r="O89" s="153">
        <f t="shared" si="42"/>
        <v>0.07325223505585884</v>
      </c>
      <c r="P89" s="153">
        <f t="shared" si="43"/>
        <v>2.0313554881181086</v>
      </c>
      <c r="Q89" s="153">
        <f t="shared" si="44"/>
        <v>1.3521133836838835</v>
      </c>
      <c r="R89" s="153">
        <f t="shared" si="45"/>
        <v>0.06779950800763512</v>
      </c>
      <c r="S89" s="153">
        <f t="shared" si="46"/>
        <v>0.7603833865814694</v>
      </c>
      <c r="T89" s="153">
        <f t="shared" si="53"/>
        <v>2.226103189896367</v>
      </c>
      <c r="U89" s="153">
        <f t="shared" si="47"/>
        <v>1.4354687833453021</v>
      </c>
      <c r="V89" s="153">
        <f t="shared" si="48"/>
        <v>4.43609603795875</v>
      </c>
      <c r="W89" s="153">
        <f t="shared" si="54"/>
        <v>2.226103189896367</v>
      </c>
      <c r="X89" s="163">
        <f t="shared" si="49"/>
        <v>6.323949408404733</v>
      </c>
      <c r="Y89" s="163">
        <f t="shared" si="50"/>
        <v>-0.08942064463484292</v>
      </c>
      <c r="Z89" s="164">
        <f t="shared" si="51"/>
        <v>5.45481165180167</v>
      </c>
    </row>
    <row r="90" spans="7:26" ht="12.75">
      <c r="G90" s="154">
        <f t="shared" si="56"/>
        <v>259</v>
      </c>
      <c r="H90" s="154">
        <f t="shared" si="36"/>
        <v>0.22914098174190253</v>
      </c>
      <c r="I90" s="154">
        <f t="shared" si="37"/>
        <v>4.085993664596395</v>
      </c>
      <c r="J90" s="154">
        <f t="shared" si="38"/>
        <v>2.8047523536803705</v>
      </c>
      <c r="K90" s="154">
        <f t="shared" si="39"/>
        <v>2.800670088664553</v>
      </c>
      <c r="L90" s="154">
        <f t="shared" si="40"/>
        <v>0.00045657096939147324</v>
      </c>
      <c r="M90" s="154">
        <f t="shared" si="41"/>
        <v>0.5213675213675214</v>
      </c>
      <c r="N90" s="154">
        <f t="shared" si="52"/>
        <v>2.2980722578594546</v>
      </c>
      <c r="O90" s="154">
        <f t="shared" si="42"/>
        <v>0.07325223505585884</v>
      </c>
      <c r="P90" s="154">
        <f t="shared" si="43"/>
        <v>2.0005445426413266</v>
      </c>
      <c r="Q90" s="154">
        <f t="shared" si="44"/>
        <v>1.3412640079079843</v>
      </c>
      <c r="R90" s="154">
        <f t="shared" si="45"/>
        <v>0.06779950800763512</v>
      </c>
      <c r="S90" s="154">
        <f t="shared" si="46"/>
        <v>0.7603833865814694</v>
      </c>
      <c r="T90" s="154">
        <f t="shared" si="53"/>
        <v>2.222618170585852</v>
      </c>
      <c r="U90" s="154">
        <f t="shared" si="47"/>
        <v>1.4318569347609573</v>
      </c>
      <c r="V90" s="154">
        <f t="shared" si="48"/>
        <v>4.43609603795875</v>
      </c>
      <c r="W90" s="154">
        <f t="shared" si="54"/>
        <v>2.222618170585852</v>
      </c>
      <c r="X90" s="163">
        <f t="shared" si="49"/>
        <v>6.2995326153220885</v>
      </c>
      <c r="Y90" s="165">
        <f t="shared" si="50"/>
        <v>-0.08907539118065433</v>
      </c>
      <c r="Z90" s="166">
        <f t="shared" si="51"/>
        <v>5.452636988683417</v>
      </c>
    </row>
    <row r="91" spans="7:26" ht="12.75">
      <c r="G91" s="153">
        <f t="shared" si="56"/>
        <v>260</v>
      </c>
      <c r="H91" s="153">
        <f t="shared" si="36"/>
        <v>0.22738174846491957</v>
      </c>
      <c r="I91" s="153">
        <f t="shared" si="37"/>
        <v>4.072201381271024</v>
      </c>
      <c r="J91" s="153">
        <f t="shared" si="38"/>
        <v>2.783234324348426</v>
      </c>
      <c r="K91" s="153">
        <f t="shared" si="39"/>
        <v>2.779152479175165</v>
      </c>
      <c r="L91" s="153">
        <f t="shared" si="40"/>
        <v>0.00045657096939147324</v>
      </c>
      <c r="M91" s="153">
        <f t="shared" si="41"/>
        <v>0.5213675213675214</v>
      </c>
      <c r="N91" s="153">
        <f t="shared" si="52"/>
        <v>2.293515350206196</v>
      </c>
      <c r="O91" s="153">
        <f t="shared" si="42"/>
        <v>0.07325223505585884</v>
      </c>
      <c r="P91" s="153">
        <f t="shared" si="43"/>
        <v>1.9703197907787453</v>
      </c>
      <c r="Q91" s="153">
        <f t="shared" si="44"/>
        <v>1.3305395763413885</v>
      </c>
      <c r="R91" s="153">
        <f t="shared" si="45"/>
        <v>0.06779950800763512</v>
      </c>
      <c r="S91" s="153">
        <f t="shared" si="46"/>
        <v>0.7603833865814694</v>
      </c>
      <c r="T91" s="153">
        <f t="shared" si="53"/>
        <v>2.219156342105492</v>
      </c>
      <c r="U91" s="153">
        <f t="shared" si="47"/>
        <v>1.428272869627261</v>
      </c>
      <c r="V91" s="153">
        <f t="shared" si="48"/>
        <v>4.43609603795875</v>
      </c>
      <c r="W91" s="153">
        <f t="shared" si="54"/>
        <v>2.219156342105492</v>
      </c>
      <c r="X91" s="163">
        <f t="shared" si="49"/>
        <v>6.275303643724697</v>
      </c>
      <c r="Y91" s="163">
        <f t="shared" si="50"/>
        <v>-0.08873279352226722</v>
      </c>
      <c r="Z91" s="164">
        <f t="shared" si="51"/>
        <v>5.450482170147328</v>
      </c>
    </row>
    <row r="92" spans="7:26" ht="12.75">
      <c r="G92" s="154">
        <f t="shared" si="56"/>
        <v>261</v>
      </c>
      <c r="H92" s="154">
        <f t="shared" si="36"/>
        <v>0.22564269749752003</v>
      </c>
      <c r="I92" s="154">
        <f t="shared" si="37"/>
        <v>4.058514785940483</v>
      </c>
      <c r="J92" s="154">
        <f t="shared" si="38"/>
        <v>2.7619631545633565</v>
      </c>
      <c r="K92" s="154">
        <f t="shared" si="39"/>
        <v>2.757881724416126</v>
      </c>
      <c r="L92" s="154">
        <f t="shared" si="40"/>
        <v>0.00045657096939147324</v>
      </c>
      <c r="M92" s="154">
        <f t="shared" si="41"/>
        <v>0.5213675213675214</v>
      </c>
      <c r="N92" s="154">
        <f t="shared" si="52"/>
        <v>2.2889875644913933</v>
      </c>
      <c r="O92" s="154">
        <f t="shared" si="42"/>
        <v>0.07325223505585884</v>
      </c>
      <c r="P92" s="154">
        <f t="shared" si="43"/>
        <v>1.940667867515557</v>
      </c>
      <c r="Q92" s="154">
        <f t="shared" si="44"/>
        <v>1.319938177803337</v>
      </c>
      <c r="R92" s="154">
        <f t="shared" si="45"/>
        <v>0.06779950800763512</v>
      </c>
      <c r="S92" s="154">
        <f t="shared" si="46"/>
        <v>0.7603833865814694</v>
      </c>
      <c r="T92" s="154">
        <f t="shared" si="53"/>
        <v>2.2157174666143287</v>
      </c>
      <c r="U92" s="154">
        <f t="shared" si="47"/>
        <v>1.4247162685942065</v>
      </c>
      <c r="V92" s="154">
        <f t="shared" si="48"/>
        <v>4.43609603795875</v>
      </c>
      <c r="W92" s="154">
        <f t="shared" si="54"/>
        <v>2.2157174666143287</v>
      </c>
      <c r="X92" s="163">
        <f t="shared" si="49"/>
        <v>6.2512603347449085</v>
      </c>
      <c r="Y92" s="165">
        <f t="shared" si="50"/>
        <v>-0.088392821133293</v>
      </c>
      <c r="Z92" s="166">
        <f t="shared" si="51"/>
        <v>5.448347009103631</v>
      </c>
    </row>
    <row r="93" spans="7:26" ht="12.75">
      <c r="G93" s="153">
        <f t="shared" si="56"/>
        <v>262</v>
      </c>
      <c r="H93" s="153">
        <f t="shared" si="36"/>
        <v>0.22392352130162232</v>
      </c>
      <c r="I93" s="153">
        <f t="shared" si="37"/>
        <v>4.0449326684368945</v>
      </c>
      <c r="J93" s="153">
        <f t="shared" si="38"/>
        <v>2.7409350826787966</v>
      </c>
      <c r="K93" s="153">
        <f t="shared" si="39"/>
        <v>2.7368540628144657</v>
      </c>
      <c r="L93" s="153">
        <f t="shared" si="40"/>
        <v>0.00045657096939147324</v>
      </c>
      <c r="M93" s="153">
        <f t="shared" si="41"/>
        <v>0.5213675213675214</v>
      </c>
      <c r="N93" s="153">
        <f t="shared" si="52"/>
        <v>2.2844886041139985</v>
      </c>
      <c r="O93" s="153">
        <f t="shared" si="42"/>
        <v>0.07325223505585884</v>
      </c>
      <c r="P93" s="153">
        <f t="shared" si="43"/>
        <v>1.911575762367164</v>
      </c>
      <c r="Q93" s="153">
        <f t="shared" si="44"/>
        <v>1.3094579375162474</v>
      </c>
      <c r="R93" s="153">
        <f t="shared" si="45"/>
        <v>0.06779950800763512</v>
      </c>
      <c r="S93" s="153">
        <f t="shared" si="46"/>
        <v>0.7603833865814694</v>
      </c>
      <c r="T93" s="153">
        <f t="shared" si="53"/>
        <v>2.212301309604802</v>
      </c>
      <c r="U93" s="153">
        <f t="shared" si="47"/>
        <v>1.4211868171873585</v>
      </c>
      <c r="V93" s="153">
        <f t="shared" si="48"/>
        <v>4.43609603795875</v>
      </c>
      <c r="W93" s="153">
        <f t="shared" si="54"/>
        <v>2.212301309604802</v>
      </c>
      <c r="X93" s="163">
        <f t="shared" si="49"/>
        <v>6.227400562474889</v>
      </c>
      <c r="Y93" s="163">
        <f t="shared" si="50"/>
        <v>-0.08805544395339493</v>
      </c>
      <c r="Z93" s="164">
        <f t="shared" si="51"/>
        <v>5.44623132088443</v>
      </c>
    </row>
    <row r="94" spans="7:26" ht="12.75">
      <c r="G94" s="154">
        <f t="shared" si="56"/>
        <v>263</v>
      </c>
      <c r="H94" s="154">
        <f t="shared" si="36"/>
        <v>0.2222239181747396</v>
      </c>
      <c r="I94" s="154">
        <f t="shared" si="37"/>
        <v>4.031453836997971</v>
      </c>
      <c r="J94" s="154">
        <f t="shared" si="38"/>
        <v>2.720146418426352</v>
      </c>
      <c r="K94" s="154">
        <f t="shared" si="39"/>
        <v>2.71606580417379</v>
      </c>
      <c r="L94" s="154">
        <f t="shared" si="40"/>
        <v>0.00045657096939147324</v>
      </c>
      <c r="M94" s="154">
        <f t="shared" si="41"/>
        <v>0.5213675213675214</v>
      </c>
      <c r="N94" s="154">
        <f t="shared" si="52"/>
        <v>2.280018176610741</v>
      </c>
      <c r="O94" s="154">
        <f t="shared" si="42"/>
        <v>0.07325223505585884</v>
      </c>
      <c r="P94" s="154">
        <f t="shared" si="43"/>
        <v>1.8830308086661047</v>
      </c>
      <c r="Q94" s="154">
        <f t="shared" si="44"/>
        <v>1.2990970162768054</v>
      </c>
      <c r="R94" s="154">
        <f t="shared" si="45"/>
        <v>0.06779950800763512</v>
      </c>
      <c r="S94" s="154">
        <f t="shared" si="46"/>
        <v>0.7603833865814694</v>
      </c>
      <c r="T94" s="154">
        <f t="shared" si="53"/>
        <v>2.2089076398435297</v>
      </c>
      <c r="U94" s="154">
        <f t="shared" si="47"/>
        <v>1.417684205715163</v>
      </c>
      <c r="V94" s="154">
        <f t="shared" si="48"/>
        <v>4.43609603795875</v>
      </c>
      <c r="W94" s="154">
        <f t="shared" si="54"/>
        <v>2.2089076398435297</v>
      </c>
      <c r="X94" s="163">
        <f t="shared" si="49"/>
        <v>6.203722233340004</v>
      </c>
      <c r="Y94" s="165">
        <f t="shared" si="50"/>
        <v>-0.08772063237942765</v>
      </c>
      <c r="Z94" s="166">
        <f t="shared" si="51"/>
        <v>5.444134923203151</v>
      </c>
    </row>
    <row r="95" spans="7:26" ht="12.75">
      <c r="G95" s="153">
        <f t="shared" si="56"/>
        <v>264</v>
      </c>
      <c r="H95" s="153">
        <f t="shared" si="36"/>
        <v>0.22054359211760452</v>
      </c>
      <c r="I95" s="153">
        <f t="shared" si="37"/>
        <v>4.018077117918433</v>
      </c>
      <c r="J95" s="153">
        <f t="shared" si="38"/>
        <v>2.6995935412964513</v>
      </c>
      <c r="K95" s="153">
        <f t="shared" si="39"/>
        <v>2.6955133280551693</v>
      </c>
      <c r="L95" s="153">
        <f t="shared" si="40"/>
        <v>0.00045657096939147324</v>
      </c>
      <c r="M95" s="153">
        <f t="shared" si="41"/>
        <v>0.5213675213675214</v>
      </c>
      <c r="N95" s="153">
        <f t="shared" si="52"/>
        <v>2.2755759935829403</v>
      </c>
      <c r="O95" s="153">
        <f t="shared" si="42"/>
        <v>0.07325223505585884</v>
      </c>
      <c r="P95" s="153">
        <f t="shared" si="43"/>
        <v>1.8550206732119023</v>
      </c>
      <c r="Q95" s="153">
        <f t="shared" si="44"/>
        <v>1.2888536096489942</v>
      </c>
      <c r="R95" s="153">
        <f t="shared" si="45"/>
        <v>0.06779950800763512</v>
      </c>
      <c r="S95" s="153">
        <f t="shared" si="46"/>
        <v>0.7603833865814694</v>
      </c>
      <c r="T95" s="153">
        <f t="shared" si="53"/>
        <v>2.205536229313366</v>
      </c>
      <c r="U95" s="153">
        <f t="shared" si="47"/>
        <v>1.4142081291783635</v>
      </c>
      <c r="V95" s="153">
        <f t="shared" si="48"/>
        <v>4.43609603795875</v>
      </c>
      <c r="W95" s="153">
        <f t="shared" si="54"/>
        <v>2.205536229313366</v>
      </c>
      <c r="X95" s="163">
        <f t="shared" si="49"/>
        <v>6.180223285486443</v>
      </c>
      <c r="Y95" s="163">
        <f t="shared" si="50"/>
        <v>-0.0873883572567783</v>
      </c>
      <c r="Z95" s="164">
        <f t="shared" si="51"/>
        <v>5.442057636114818</v>
      </c>
    </row>
    <row r="96" spans="7:26" ht="12.75">
      <c r="G96" s="154">
        <f t="shared" si="56"/>
        <v>265</v>
      </c>
      <c r="H96" s="154">
        <f t="shared" si="36"/>
        <v>0.21888225270528391</v>
      </c>
      <c r="I96" s="154">
        <f t="shared" si="37"/>
        <v>4.004801355209307</v>
      </c>
      <c r="J96" s="154">
        <f t="shared" si="38"/>
        <v>2.6792728989618895</v>
      </c>
      <c r="K96" s="154">
        <f t="shared" si="39"/>
        <v>2.6751930822007077</v>
      </c>
      <c r="L96" s="154">
        <f t="shared" si="40"/>
        <v>0.00045657096939147324</v>
      </c>
      <c r="M96" s="154">
        <f t="shared" si="41"/>
        <v>0.5213675213675214</v>
      </c>
      <c r="N96" s="154">
        <f t="shared" si="52"/>
        <v>2.2711617706248846</v>
      </c>
      <c r="O96" s="154">
        <f t="shared" si="42"/>
        <v>0.07325223505585884</v>
      </c>
      <c r="P96" s="154">
        <f t="shared" si="43"/>
        <v>1.8275333462702315</v>
      </c>
      <c r="Q96" s="154">
        <f t="shared" si="44"/>
        <v>1.2787259471784</v>
      </c>
      <c r="R96" s="154">
        <f t="shared" si="45"/>
        <v>0.06779950800763512</v>
      </c>
      <c r="S96" s="154">
        <f t="shared" si="46"/>
        <v>0.7603833865814694</v>
      </c>
      <c r="T96" s="154">
        <f t="shared" si="53"/>
        <v>2.202186853156697</v>
      </c>
      <c r="U96" s="154">
        <f t="shared" si="47"/>
        <v>1.410758287181464</v>
      </c>
      <c r="V96" s="154">
        <f t="shared" si="48"/>
        <v>4.43609603795875</v>
      </c>
      <c r="W96" s="154">
        <f t="shared" si="54"/>
        <v>2.202186853156697</v>
      </c>
      <c r="X96" s="163">
        <f t="shared" si="49"/>
        <v>6.156901688182721</v>
      </c>
      <c r="Y96" s="165">
        <f t="shared" si="50"/>
        <v>-0.08705858987090367</v>
      </c>
      <c r="Z96" s="166">
        <f t="shared" si="51"/>
        <v>5.439999281977138</v>
      </c>
    </row>
    <row r="97" spans="7:26" ht="12.75">
      <c r="G97" s="153">
        <f t="shared" si="56"/>
        <v>266</v>
      </c>
      <c r="H97" s="153">
        <f t="shared" si="36"/>
        <v>0.21723961496167907</v>
      </c>
      <c r="I97" s="153">
        <f t="shared" si="37"/>
        <v>3.9916254102649114</v>
      </c>
      <c r="J97" s="153">
        <f t="shared" si="38"/>
        <v>2.659181005742779</v>
      </c>
      <c r="K97" s="153">
        <f t="shared" si="39"/>
        <v>2.6551015809985277</v>
      </c>
      <c r="L97" s="153">
        <f t="shared" si="40"/>
        <v>0.00045657096939147324</v>
      </c>
      <c r="M97" s="153">
        <f t="shared" si="41"/>
        <v>0.5213675213675214</v>
      </c>
      <c r="N97" s="153">
        <f t="shared" si="52"/>
        <v>2.2667752272537323</v>
      </c>
      <c r="O97" s="153">
        <f t="shared" si="42"/>
        <v>0.07325223505585884</v>
      </c>
      <c r="P97" s="153">
        <f t="shared" si="43"/>
        <v>1.8005571319083427</v>
      </c>
      <c r="Q97" s="153">
        <f t="shared" si="44"/>
        <v>1.2687122916271538</v>
      </c>
      <c r="R97" s="153">
        <f t="shared" si="45"/>
        <v>0.06779950800763512</v>
      </c>
      <c r="S97" s="153">
        <f t="shared" si="46"/>
        <v>0.7603833865814694</v>
      </c>
      <c r="T97" s="153">
        <f t="shared" si="53"/>
        <v>2.198859289619947</v>
      </c>
      <c r="U97" s="153">
        <f t="shared" si="47"/>
        <v>1.4073343838461954</v>
      </c>
      <c r="V97" s="153">
        <f t="shared" si="48"/>
        <v>4.43609603795875</v>
      </c>
      <c r="W97" s="153">
        <f t="shared" si="54"/>
        <v>2.198859289619947</v>
      </c>
      <c r="X97" s="163">
        <f t="shared" si="49"/>
        <v>6.1337554412346655</v>
      </c>
      <c r="Y97" s="163">
        <f t="shared" si="50"/>
        <v>-0.08673130193905818</v>
      </c>
      <c r="Z97" s="164">
        <f t="shared" si="51"/>
        <v>5.437959685412376</v>
      </c>
    </row>
    <row r="98" spans="7:26" ht="12.75">
      <c r="G98" s="154">
        <f t="shared" si="56"/>
        <v>267</v>
      </c>
      <c r="H98" s="154">
        <f t="shared" si="36"/>
        <v>0.21561539923730957</v>
      </c>
      <c r="I98" s="154">
        <f t="shared" si="37"/>
        <v>3.978548161537327</v>
      </c>
      <c r="J98" s="154">
        <f t="shared" si="38"/>
        <v>2.639314441111665</v>
      </c>
      <c r="K98" s="154">
        <f t="shared" si="39"/>
        <v>2.635235403987914</v>
      </c>
      <c r="L98" s="154">
        <f t="shared" si="40"/>
        <v>0.00045657096939147324</v>
      </c>
      <c r="M98" s="154">
        <f t="shared" si="41"/>
        <v>0.5213675213675214</v>
      </c>
      <c r="N98" s="154">
        <f t="shared" si="52"/>
        <v>2.262416086840905</v>
      </c>
      <c r="O98" s="154">
        <f t="shared" si="42"/>
        <v>0.07325223505585884</v>
      </c>
      <c r="P98" s="154">
        <f t="shared" si="43"/>
        <v>1.7740806386542225</v>
      </c>
      <c r="Q98" s="154">
        <f t="shared" si="44"/>
        <v>1.2588109382288926</v>
      </c>
      <c r="R98" s="154">
        <f t="shared" si="45"/>
        <v>0.06779950800763512</v>
      </c>
      <c r="S98" s="154">
        <f t="shared" si="46"/>
        <v>0.7603833865814694</v>
      </c>
      <c r="T98" s="154">
        <f t="shared" si="53"/>
        <v>2.195553319999262</v>
      </c>
      <c r="U98" s="154">
        <f t="shared" si="47"/>
        <v>1.403936127726921</v>
      </c>
      <c r="V98" s="154">
        <f t="shared" si="48"/>
        <v>4.43609603795875</v>
      </c>
      <c r="W98" s="154">
        <f t="shared" si="54"/>
        <v>2.195553319999262</v>
      </c>
      <c r="X98" s="163">
        <f t="shared" si="49"/>
        <v>6.1107825744135615</v>
      </c>
      <c r="Y98" s="165">
        <f t="shared" si="50"/>
        <v>-0.08640646560220776</v>
      </c>
      <c r="Z98" s="166">
        <f t="shared" si="51"/>
        <v>5.435938673269997</v>
      </c>
    </row>
    <row r="99" spans="7:26" ht="12.75">
      <c r="G99" s="153">
        <f t="shared" si="56"/>
        <v>268</v>
      </c>
      <c r="H99" s="153">
        <f t="shared" si="36"/>
        <v>0.21400933109028406</v>
      </c>
      <c r="I99" s="153">
        <f t="shared" si="37"/>
        <v>3.9655685042181577</v>
      </c>
      <c r="J99" s="153">
        <f t="shared" si="38"/>
        <v>2.6196698482376233</v>
      </c>
      <c r="K99" s="153">
        <f t="shared" si="39"/>
        <v>2.6155911944034367</v>
      </c>
      <c r="L99" s="153">
        <f t="shared" si="40"/>
        <v>0.00045657096939147324</v>
      </c>
      <c r="M99" s="153">
        <f t="shared" si="41"/>
        <v>0.5213675213675214</v>
      </c>
      <c r="N99" s="153">
        <f t="shared" si="52"/>
        <v>2.2580840765449315</v>
      </c>
      <c r="O99" s="153">
        <f t="shared" si="42"/>
        <v>0.07325223505585884</v>
      </c>
      <c r="P99" s="153">
        <f t="shared" si="43"/>
        <v>1.7480927704674996</v>
      </c>
      <c r="Q99" s="153">
        <f t="shared" si="44"/>
        <v>1.2490202139631468</v>
      </c>
      <c r="R99" s="153">
        <f t="shared" si="45"/>
        <v>0.06779950800763512</v>
      </c>
      <c r="S99" s="153">
        <f t="shared" si="46"/>
        <v>0.7603833865814694</v>
      </c>
      <c r="T99" s="153">
        <f t="shared" si="53"/>
        <v>2.1922687285873454</v>
      </c>
      <c r="U99" s="153">
        <f t="shared" si="47"/>
        <v>1.40056323172794</v>
      </c>
      <c r="V99" s="153">
        <f t="shared" si="48"/>
        <v>4.43609603795875</v>
      </c>
      <c r="W99" s="153">
        <f t="shared" si="54"/>
        <v>2.1922687285873454</v>
      </c>
      <c r="X99" s="163">
        <f t="shared" si="49"/>
        <v>6.087981146897094</v>
      </c>
      <c r="Y99" s="163">
        <f t="shared" si="50"/>
        <v>-0.0860840534171249</v>
      </c>
      <c r="Z99" s="164">
        <f t="shared" si="51"/>
        <v>5.4339360745900676</v>
      </c>
    </row>
    <row r="100" spans="7:26" ht="12.75">
      <c r="G100" s="154">
        <f>G99+1</f>
        <v>269</v>
      </c>
      <c r="H100" s="154">
        <f t="shared" si="36"/>
        <v>0.212421141170362</v>
      </c>
      <c r="I100" s="154">
        <f t="shared" si="37"/>
        <v>3.952685349927384</v>
      </c>
      <c r="J100" s="154">
        <f t="shared" si="38"/>
        <v>2.600243932568162</v>
      </c>
      <c r="K100" s="154">
        <f t="shared" si="39"/>
        <v>2.5961656577568855</v>
      </c>
      <c r="L100" s="154">
        <f t="shared" si="40"/>
        <v>0.00045657096939147324</v>
      </c>
      <c r="M100" s="154">
        <f t="shared" si="41"/>
        <v>0.5213675213675214</v>
      </c>
      <c r="N100" s="154">
        <f t="shared" si="52"/>
        <v>2.2537789272457056</v>
      </c>
      <c r="O100" s="154">
        <f t="shared" si="42"/>
        <v>0.07325223505585884</v>
      </c>
      <c r="P100" s="154">
        <f t="shared" si="43"/>
        <v>1.7225827180105608</v>
      </c>
      <c r="Q100" s="154">
        <f t="shared" si="44"/>
        <v>1.2393384768485718</v>
      </c>
      <c r="R100" s="154">
        <f t="shared" si="45"/>
        <v>0.06779950800763512</v>
      </c>
      <c r="S100" s="154">
        <f t="shared" si="46"/>
        <v>0.7603833865814694</v>
      </c>
      <c r="T100" s="154">
        <f t="shared" si="53"/>
        <v>2.189005302621411</v>
      </c>
      <c r="U100" s="154">
        <f t="shared" si="47"/>
        <v>1.3972154130226317</v>
      </c>
      <c r="V100" s="154">
        <f t="shared" si="48"/>
        <v>4.43609603795875</v>
      </c>
      <c r="W100" s="154">
        <f t="shared" si="54"/>
        <v>2.189005302621411</v>
      </c>
      <c r="X100" s="163">
        <f t="shared" si="49"/>
        <v>6.0653492467227546</v>
      </c>
      <c r="Y100" s="165">
        <f t="shared" si="50"/>
        <v>-0.08576403834865974</v>
      </c>
      <c r="Z100" s="166">
        <f t="shared" si="51"/>
        <v>5.431951720567384</v>
      </c>
    </row>
    <row r="101" spans="7:26" ht="12.75">
      <c r="G101" s="153">
        <f aca="true" t="shared" si="57" ref="G101:G113">G100+1</f>
        <v>270</v>
      </c>
      <c r="H101" s="153">
        <f t="shared" si="36"/>
        <v>0.21085056510601594</v>
      </c>
      <c r="I101" s="153">
        <f t="shared" si="37"/>
        <v>3.939897626409134</v>
      </c>
      <c r="J101" s="153">
        <f t="shared" si="38"/>
        <v>2.581033460447826</v>
      </c>
      <c r="K101" s="153">
        <f t="shared" si="39"/>
        <v>2.5769555604558976</v>
      </c>
      <c r="L101" s="153">
        <f t="shared" si="40"/>
        <v>0.00045657096939147324</v>
      </c>
      <c r="M101" s="153">
        <f t="shared" si="41"/>
        <v>0.5213675213675214</v>
      </c>
      <c r="N101" s="153">
        <f t="shared" si="52"/>
        <v>2.2495003734801293</v>
      </c>
      <c r="O101" s="153">
        <f t="shared" si="42"/>
        <v>0.07325223505585884</v>
      </c>
      <c r="P101" s="153">
        <f t="shared" si="43"/>
        <v>1.6975399502088284</v>
      </c>
      <c r="Q101" s="153">
        <f t="shared" si="44"/>
        <v>1.2297641152544692</v>
      </c>
      <c r="R101" s="153">
        <f t="shared" si="45"/>
        <v>0.06779950800763512</v>
      </c>
      <c r="S101" s="153">
        <f t="shared" si="46"/>
        <v>0.7603833865814694</v>
      </c>
      <c r="T101" s="153">
        <f t="shared" si="53"/>
        <v>2.1857628322322324</v>
      </c>
      <c r="U101" s="153">
        <f t="shared" si="47"/>
        <v>1.3938923929743998</v>
      </c>
      <c r="V101" s="153">
        <f t="shared" si="48"/>
        <v>4.43609603795875</v>
      </c>
      <c r="W101" s="153">
        <f t="shared" si="54"/>
        <v>2.1857628322322324</v>
      </c>
      <c r="X101" s="163">
        <f t="shared" si="49"/>
        <v>6.042884990253412</v>
      </c>
      <c r="Y101" s="163">
        <f t="shared" si="50"/>
        <v>-0.08544639376218324</v>
      </c>
      <c r="Z101" s="164">
        <f t="shared" si="51"/>
        <v>5.429985444516322</v>
      </c>
    </row>
    <row r="102" spans="7:26" ht="12.75">
      <c r="G102" s="154">
        <f t="shared" si="57"/>
        <v>271</v>
      </c>
      <c r="H102" s="154">
        <f t="shared" si="36"/>
        <v>0.20929734339440587</v>
      </c>
      <c r="I102" s="154">
        <f t="shared" si="37"/>
        <v>3.9272042772341926</v>
      </c>
      <c r="J102" s="154">
        <f t="shared" si="38"/>
        <v>2.5620352577724215</v>
      </c>
      <c r="K102" s="154">
        <f t="shared" si="39"/>
        <v>2.55795772845821</v>
      </c>
      <c r="L102" s="154">
        <f t="shared" si="40"/>
        <v>0.00045657096939147324</v>
      </c>
      <c r="M102" s="154">
        <f t="shared" si="41"/>
        <v>0.5213675213675214</v>
      </c>
      <c r="N102" s="154">
        <f t="shared" si="52"/>
        <v>2.245248153379096</v>
      </c>
      <c r="O102" s="154">
        <f t="shared" si="42"/>
        <v>0.07325223505585884</v>
      </c>
      <c r="P102" s="154">
        <f t="shared" si="43"/>
        <v>1.672954206089606</v>
      </c>
      <c r="Q102" s="154">
        <f t="shared" si="44"/>
        <v>1.2202955472300625</v>
      </c>
      <c r="R102" s="154">
        <f t="shared" si="45"/>
        <v>0.06779950800763512</v>
      </c>
      <c r="S102" s="154">
        <f t="shared" si="46"/>
        <v>0.7603833865814694</v>
      </c>
      <c r="T102" s="154">
        <f t="shared" si="53"/>
        <v>2.1825411103942587</v>
      </c>
      <c r="U102" s="154">
        <f t="shared" si="47"/>
        <v>1.390593897059365</v>
      </c>
      <c r="V102" s="154">
        <f t="shared" si="48"/>
        <v>4.43609603795875</v>
      </c>
      <c r="W102" s="154">
        <f t="shared" si="54"/>
        <v>2.1825411103942587</v>
      </c>
      <c r="X102" s="163">
        <f t="shared" si="49"/>
        <v>6.02058652165469</v>
      </c>
      <c r="Y102" s="165">
        <f t="shared" si="50"/>
        <v>-0.08513109341619732</v>
      </c>
      <c r="Z102" s="166">
        <f t="shared" si="51"/>
        <v>5.428037081836376</v>
      </c>
    </row>
    <row r="103" spans="7:26" ht="12.75">
      <c r="G103" s="153">
        <f t="shared" si="57"/>
        <v>272</v>
      </c>
      <c r="H103" s="153">
        <f aca="true" t="shared" si="58" ref="H103:H134">(Iout*(Vout_nom^2)*2.5*Rsense*K_1)/(eff*(G103^2)*K_FQ)*us</f>
        <v>0.20776122129417932</v>
      </c>
      <c r="I103" s="153">
        <f aca="true" t="shared" si="59" ref="I103:I134">(1*10^-9*(5*10^8*SQRT(fsw*kHz)+(1.09655978*10^10)*SQRT(ftyp)*SQRT(H103)))/SQRT(fsw*kHz)</f>
        <v>3.9146042615090666</v>
      </c>
      <c r="J103" s="153">
        <f aca="true" t="shared" si="60" ref="J103:J134">(b_1^3/(27*a_1^3))-(d_1^3/27)+SQRT((ftyp)^2*H103^2/(4*a_1^2*c_1^2*(fsw*kHz)^2))+(b_1^3*(ftyp)*H103/(27*a_1^4*c_1*(fsw*kHz))-(d_1^3*(ftyp)*H103/(27*a_1*c_1*(fsw*kHz)))+(b_1*d_1^2*(ftyp)*H103/(9*a_1^2*c_1*(fsw*kHz)))-(b_1^2*d_1*(ftyp)*H103/(9*a_1^3*c_1*(fsw*kHz))))</f>
        <v>2.5432462086778016</v>
      </c>
      <c r="K103" s="153">
        <f aca="true" t="shared" si="61" ref="K103:K134">(b_1*d_1^2/(9*a_1))-(b_1^2*d_1/(9*a_1^2))+(ftyp*H103/(2*a_1*c_1*fsw*kHz))</f>
        <v>2.5391690459604694</v>
      </c>
      <c r="L103" s="153">
        <f aca="true" t="shared" si="62" ref="L103:L134">(d_1^2/9)+(b_1^2/(9*a_1^2))-(2*b_1*d_1/(9*a_1))</f>
        <v>0.00045657096939147324</v>
      </c>
      <c r="M103" s="153">
        <f aca="true" t="shared" si="63" ref="M103:M134">((b_1*c_1*fsw*kHz)+(2*a_1*c_1*d_1*fsw*kHz))/(3*a_1*c_1*fsw*kHz)</f>
        <v>0.5213675213675214</v>
      </c>
      <c r="N103" s="153">
        <f t="shared" si="52"/>
        <v>2.241022008605794</v>
      </c>
      <c r="O103" s="153">
        <f aca="true" t="shared" si="64" ref="O103:O134">(b_2^3/(27*a_2^3))-(d_2^3/27)</f>
        <v>0.07325223505585884</v>
      </c>
      <c r="P103" s="153">
        <f aca="true" t="shared" si="65" ref="P103:P134">(ftyp^2*H103^2/(4*a_2^2*c_2^2*(fsw*kHz)^2))+(b_2^3*ftyp*H103/(27*a_2^4*c_2*(fsw*kHz)))-(d_2^3*ftyp*H103/(27*a_2*c_2*(fsw*kHz)))+(b_2*d_2^2*ftyp*H103/(9*a_2^2*c_2*(fsw*kHz)))-(b_2^2*d_2*ftyp*H103/(9*a_2^3*c_2*(fsw*kHz)))</f>
        <v>1.6488154868892888</v>
      </c>
      <c r="Q103" s="153">
        <f aca="true" t="shared" si="66" ref="Q103:Q134">(b_2*d_2^2/(9*a_2))-(b_2^2*d_2/(9*a_2^2))+(ftyp*H103/(2*a_2*c_2*(fsw*kHz)))</f>
        <v>1.2109312198509967</v>
      </c>
      <c r="R103" s="153">
        <f aca="true" t="shared" si="67" ref="R103:R134">(d_2^2/9)+(b_2^2/(9*a_2^2))-(2*b_2*d_2/(9*a_2))</f>
        <v>0.06779950800763512</v>
      </c>
      <c r="S103" s="153">
        <f aca="true" t="shared" si="68" ref="S103:S134">(b_2*c_2*(fsw*kHz)+2*a_2*c_2*d_2*(fsw*kHz))/(3*a_2*c_2*(fsw*kHz))</f>
        <v>0.7603833865814694</v>
      </c>
      <c r="T103" s="153">
        <f t="shared" si="53"/>
        <v>2.1793399328767684</v>
      </c>
      <c r="U103" s="153">
        <f aca="true" t="shared" si="69" ref="U103:U134">c_3+(SQRT(ftyp)*SQRT(H103)/(SQRT(a_3)*SQRT(b_3)*SQRT(fsw*kHz)))</f>
        <v>1.3873196547907645</v>
      </c>
      <c r="V103" s="153">
        <f aca="true" t="shared" si="70" ref="V103:V134">(a_4*(fsw*kHz)*b_4/ftyp)</f>
        <v>4.43609603795875</v>
      </c>
      <c r="W103" s="153">
        <f t="shared" si="54"/>
        <v>2.1793399328767684</v>
      </c>
      <c r="X103" s="163">
        <f aca="true" t="shared" si="71" ref="X103:X134">Pin_max/G103</f>
        <v>5.9984520123839005</v>
      </c>
      <c r="Y103" s="163">
        <f aca="true" t="shared" si="72" ref="Y103:Y134">-X103*Rsense*1.414</f>
        <v>-0.08481811145510836</v>
      </c>
      <c r="Z103" s="164">
        <f aca="true" t="shared" si="73" ref="Z103:Z134">MIN(6,MAX(0.5,Beta*G*($Y103-Voff_trim)/(MAX(0,MIN(4.5,W103)-Alpha1_A)+MAX(0,MIN(4.5,W103)-Alpha1_B)-Alpha1_C)+Alpha2))</f>
        <v>5.426106469978403</v>
      </c>
    </row>
    <row r="104" spans="7:26" ht="12.75">
      <c r="G104" s="154">
        <f t="shared" si="57"/>
        <v>273</v>
      </c>
      <c r="H104" s="154">
        <f t="shared" si="58"/>
        <v>0.20624194872101548</v>
      </c>
      <c r="I104" s="154">
        <f t="shared" si="59"/>
        <v>3.9020965535914516</v>
      </c>
      <c r="J104" s="154">
        <f t="shared" si="60"/>
        <v>2.5246632542622143</v>
      </c>
      <c r="K104" s="154">
        <f t="shared" si="61"/>
        <v>2.5205864541206076</v>
      </c>
      <c r="L104" s="154">
        <f t="shared" si="62"/>
        <v>0.00045657096939147324</v>
      </c>
      <c r="M104" s="154">
        <f t="shared" si="63"/>
        <v>0.5213675213675214</v>
      </c>
      <c r="N104" s="154">
        <f t="shared" si="52"/>
        <v>2.236821684295284</v>
      </c>
      <c r="O104" s="154">
        <f t="shared" si="64"/>
        <v>0.07325223505585884</v>
      </c>
      <c r="P104" s="154">
        <f t="shared" si="65"/>
        <v>1.6251140484191844</v>
      </c>
      <c r="Q104" s="154">
        <f t="shared" si="66"/>
        <v>1.2016696085825673</v>
      </c>
      <c r="R104" s="154">
        <f t="shared" si="67"/>
        <v>0.06779950800763512</v>
      </c>
      <c r="S104" s="154">
        <f t="shared" si="68"/>
        <v>0.7603833865814694</v>
      </c>
      <c r="T104" s="154">
        <f t="shared" si="53"/>
        <v>2.176159098196039</v>
      </c>
      <c r="U104" s="154">
        <f t="shared" si="69"/>
        <v>1.3840693996450106</v>
      </c>
      <c r="V104" s="154">
        <f t="shared" si="70"/>
        <v>4.43609603795875</v>
      </c>
      <c r="W104" s="154">
        <f t="shared" si="54"/>
        <v>2.176159098196039</v>
      </c>
      <c r="X104" s="163">
        <f t="shared" si="71"/>
        <v>5.976479660690187</v>
      </c>
      <c r="Y104" s="165">
        <f t="shared" si="72"/>
        <v>-0.08450742240215924</v>
      </c>
      <c r="Z104" s="166">
        <f t="shared" si="73"/>
        <v>5.424193448411519</v>
      </c>
    </row>
    <row r="105" spans="7:26" ht="12.75">
      <c r="G105" s="153">
        <f t="shared" si="57"/>
        <v>274</v>
      </c>
      <c r="H105" s="153">
        <f t="shared" si="58"/>
        <v>0.20473928014583306</v>
      </c>
      <c r="I105" s="153">
        <f t="shared" si="59"/>
        <v>3.8896801428119208</v>
      </c>
      <c r="J105" s="153">
        <f t="shared" si="60"/>
        <v>2.506283391341238</v>
      </c>
      <c r="K105" s="153">
        <f t="shared" si="61"/>
        <v>2.502206949812798</v>
      </c>
      <c r="L105" s="153">
        <f t="shared" si="62"/>
        <v>0.00045657096939147324</v>
      </c>
      <c r="M105" s="153">
        <f t="shared" si="63"/>
        <v>0.5213675213675214</v>
      </c>
      <c r="N105" s="153">
        <f t="shared" si="52"/>
        <v>2.232646928995336</v>
      </c>
      <c r="O105" s="153">
        <f t="shared" si="64"/>
        <v>0.07325223505585884</v>
      </c>
      <c r="P105" s="153">
        <f t="shared" si="65"/>
        <v>1.6018403936805592</v>
      </c>
      <c r="Q105" s="153">
        <f t="shared" si="66"/>
        <v>1.1925092166591862</v>
      </c>
      <c r="R105" s="153">
        <f t="shared" si="67"/>
        <v>0.06779950800763512</v>
      </c>
      <c r="S105" s="153">
        <f t="shared" si="68"/>
        <v>0.7603833865814694</v>
      </c>
      <c r="T105" s="153">
        <f t="shared" si="53"/>
        <v>2.17299840756851</v>
      </c>
      <c r="U105" s="153">
        <f t="shared" si="69"/>
        <v>1.380842868989372</v>
      </c>
      <c r="V105" s="153">
        <f t="shared" si="70"/>
        <v>4.43609603795875</v>
      </c>
      <c r="W105" s="153">
        <f t="shared" si="54"/>
        <v>2.17299840756851</v>
      </c>
      <c r="X105" s="163">
        <f t="shared" si="71"/>
        <v>5.954667691125624</v>
      </c>
      <c r="Y105" s="163">
        <f t="shared" si="72"/>
        <v>-0.08419900115251633</v>
      </c>
      <c r="Z105" s="164">
        <f t="shared" si="73"/>
        <v>5.422297858590636</v>
      </c>
    </row>
    <row r="106" spans="7:26" ht="12.75">
      <c r="G106" s="154">
        <f t="shared" si="57"/>
        <v>275</v>
      </c>
      <c r="H106" s="154">
        <f t="shared" si="58"/>
        <v>0.2032529744955843</v>
      </c>
      <c r="I106" s="154">
        <f t="shared" si="59"/>
        <v>3.8773540332016956</v>
      </c>
      <c r="J106" s="154">
        <f t="shared" si="60"/>
        <v>2.488103671234342</v>
      </c>
      <c r="K106" s="154">
        <f t="shared" si="61"/>
        <v>2.4840275844140423</v>
      </c>
      <c r="L106" s="154">
        <f t="shared" si="62"/>
        <v>0.00045657096939147324</v>
      </c>
      <c r="M106" s="154">
        <f t="shared" si="63"/>
        <v>0.5213675213675214</v>
      </c>
      <c r="N106" s="154">
        <f t="shared" si="52"/>
        <v>2.228497494608478</v>
      </c>
      <c r="O106" s="154">
        <f t="shared" si="64"/>
        <v>0.07325223505585884</v>
      </c>
      <c r="P106" s="154">
        <f t="shared" si="65"/>
        <v>1.5789852657198953</v>
      </c>
      <c r="Q106" s="154">
        <f t="shared" si="66"/>
        <v>1.1834485744796146</v>
      </c>
      <c r="R106" s="154">
        <f t="shared" si="67"/>
        <v>0.06779950800763512</v>
      </c>
      <c r="S106" s="154">
        <f t="shared" si="68"/>
        <v>0.7603833865814694</v>
      </c>
      <c r="T106" s="154">
        <f t="shared" si="53"/>
        <v>2.1698576648649044</v>
      </c>
      <c r="U106" s="154">
        <f t="shared" si="69"/>
        <v>1.377639804011229</v>
      </c>
      <c r="V106" s="154">
        <f t="shared" si="70"/>
        <v>4.43609603795875</v>
      </c>
      <c r="W106" s="154">
        <f t="shared" si="54"/>
        <v>2.1698576648649044</v>
      </c>
      <c r="X106" s="163">
        <f t="shared" si="71"/>
        <v>5.9330143540669855</v>
      </c>
      <c r="Y106" s="165">
        <f t="shared" si="72"/>
        <v>-0.08389282296650717</v>
      </c>
      <c r="Z106" s="166">
        <f t="shared" si="73"/>
        <v>5.420419543924667</v>
      </c>
    </row>
    <row r="107" spans="7:26" ht="12.75">
      <c r="G107" s="153">
        <f t="shared" si="57"/>
        <v>276</v>
      </c>
      <c r="H107" s="153">
        <f t="shared" si="58"/>
        <v>0.20178279505656066</v>
      </c>
      <c r="I107" s="153">
        <f t="shared" si="59"/>
        <v>3.865117243226327</v>
      </c>
      <c r="J107" s="153">
        <f t="shared" si="60"/>
        <v>2.470121198582173</v>
      </c>
      <c r="K107" s="153">
        <f t="shared" si="61"/>
        <v>2.466045462621479</v>
      </c>
      <c r="L107" s="153">
        <f t="shared" si="62"/>
        <v>0.00045657096939147324</v>
      </c>
      <c r="M107" s="153">
        <f t="shared" si="63"/>
        <v>0.5213675213675214</v>
      </c>
      <c r="N107" s="153">
        <f t="shared" si="52"/>
        <v>2.2243731363352386</v>
      </c>
      <c r="O107" s="153">
        <f t="shared" si="64"/>
        <v>0.07325223505585884</v>
      </c>
      <c r="P107" s="153">
        <f t="shared" si="65"/>
        <v>1.556539640715711</v>
      </c>
      <c r="Q107" s="153">
        <f t="shared" si="66"/>
        <v>1.1744862390175066</v>
      </c>
      <c r="R107" s="153">
        <f t="shared" si="67"/>
        <v>0.06779950800763512</v>
      </c>
      <c r="S107" s="153">
        <f t="shared" si="68"/>
        <v>0.7603833865814694</v>
      </c>
      <c r="T107" s="153">
        <f t="shared" si="53"/>
        <v>2.166736676565302</v>
      </c>
      <c r="U107" s="153">
        <f t="shared" si="69"/>
        <v>1.3744599496488692</v>
      </c>
      <c r="V107" s="153">
        <f t="shared" si="70"/>
        <v>4.43609603795875</v>
      </c>
      <c r="W107" s="153">
        <f t="shared" si="54"/>
        <v>2.166736676565302</v>
      </c>
      <c r="X107" s="163">
        <f t="shared" si="71"/>
        <v>5.911517925247902</v>
      </c>
      <c r="Y107" s="163">
        <f t="shared" si="72"/>
        <v>-0.08358886346300533</v>
      </c>
      <c r="Z107" s="164">
        <f t="shared" si="73"/>
        <v>5.418558349745325</v>
      </c>
    </row>
    <row r="108" spans="7:26" ht="12.75">
      <c r="G108" s="154">
        <f t="shared" si="57"/>
        <v>277</v>
      </c>
      <c r="H108" s="154">
        <f t="shared" si="58"/>
        <v>0.2003285093801374</v>
      </c>
      <c r="I108" s="154">
        <f t="shared" si="59"/>
        <v>3.8529688055251494</v>
      </c>
      <c r="J108" s="154">
        <f t="shared" si="60"/>
        <v>2.452333130193671</v>
      </c>
      <c r="K108" s="154">
        <f t="shared" si="61"/>
        <v>2.448257741299522</v>
      </c>
      <c r="L108" s="154">
        <f t="shared" si="62"/>
        <v>0.00045657096939147324</v>
      </c>
      <c r="M108" s="154">
        <f t="shared" si="63"/>
        <v>0.5213675213675214</v>
      </c>
      <c r="N108" s="154">
        <f t="shared" si="52"/>
        <v>2.220273612618552</v>
      </c>
      <c r="O108" s="154">
        <f t="shared" si="64"/>
        <v>0.07325223505585884</v>
      </c>
      <c r="P108" s="154">
        <f t="shared" si="65"/>
        <v>1.5344947212886282</v>
      </c>
      <c r="Q108" s="154">
        <f t="shared" si="66"/>
        <v>1.1656207932468188</v>
      </c>
      <c r="R108" s="154">
        <f t="shared" si="67"/>
        <v>0.06779950800763512</v>
      </c>
      <c r="S108" s="154">
        <f t="shared" si="68"/>
        <v>0.7603833865814694</v>
      </c>
      <c r="T108" s="154">
        <f t="shared" si="53"/>
        <v>2.163635251715128</v>
      </c>
      <c r="U108" s="154">
        <f t="shared" si="69"/>
        <v>1.371303054523783</v>
      </c>
      <c r="V108" s="154">
        <f t="shared" si="70"/>
        <v>4.43609603795875</v>
      </c>
      <c r="W108" s="154">
        <f t="shared" si="54"/>
        <v>2.163635251715128</v>
      </c>
      <c r="X108" s="163">
        <f t="shared" si="71"/>
        <v>5.890176705301159</v>
      </c>
      <c r="Y108" s="165">
        <f t="shared" si="72"/>
        <v>-0.08328709861295838</v>
      </c>
      <c r="Z108" s="166">
        <f t="shared" si="73"/>
        <v>5.4167141232765355</v>
      </c>
    </row>
    <row r="109" spans="7:26" ht="12.75">
      <c r="G109" s="153">
        <f t="shared" si="57"/>
        <v>278</v>
      </c>
      <c r="H109" s="153">
        <f t="shared" si="58"/>
        <v>0.19888988919088768</v>
      </c>
      <c r="I109" s="153">
        <f t="shared" si="59"/>
        <v>3.8409077666563536</v>
      </c>
      <c r="J109" s="153">
        <f t="shared" si="60"/>
        <v>2.434736673922168</v>
      </c>
      <c r="K109" s="153">
        <f t="shared" si="61"/>
        <v>2.430661628355983</v>
      </c>
      <c r="L109" s="153">
        <f t="shared" si="62"/>
        <v>0.00045657096939147324</v>
      </c>
      <c r="M109" s="153">
        <f t="shared" si="63"/>
        <v>0.5213675213675214</v>
      </c>
      <c r="N109" s="153">
        <f t="shared" si="52"/>
        <v>2.2161986850892963</v>
      </c>
      <c r="O109" s="153">
        <f t="shared" si="64"/>
        <v>0.07325223505585884</v>
      </c>
      <c r="P109" s="153">
        <f t="shared" si="65"/>
        <v>1.5128419300267153</v>
      </c>
      <c r="Q109" s="153">
        <f t="shared" si="66"/>
        <v>1.1568508455816682</v>
      </c>
      <c r="R109" s="153">
        <f t="shared" si="67"/>
        <v>0.06779950800763512</v>
      </c>
      <c r="S109" s="153">
        <f t="shared" si="68"/>
        <v>0.7603833865814694</v>
      </c>
      <c r="T109" s="153">
        <f t="shared" si="53"/>
        <v>2.160553201882035</v>
      </c>
      <c r="U109" s="153">
        <f t="shared" si="69"/>
        <v>1.3681688708744169</v>
      </c>
      <c r="V109" s="153">
        <f t="shared" si="70"/>
        <v>4.43609603795875</v>
      </c>
      <c r="W109" s="153">
        <f t="shared" si="54"/>
        <v>2.160553201882035</v>
      </c>
      <c r="X109" s="163">
        <f t="shared" si="71"/>
        <v>5.868989019310867</v>
      </c>
      <c r="Y109" s="163">
        <f t="shared" si="72"/>
        <v>-0.08298750473305565</v>
      </c>
      <c r="Z109" s="164">
        <f t="shared" si="73"/>
        <v>5.41488671360447</v>
      </c>
    </row>
    <row r="110" spans="7:26" ht="12.75">
      <c r="G110" s="154">
        <f t="shared" si="57"/>
        <v>279</v>
      </c>
      <c r="H110" s="154">
        <f t="shared" si="58"/>
        <v>0.19746671029699728</v>
      </c>
      <c r="I110" s="154">
        <f t="shared" si="59"/>
        <v>3.82893318684755</v>
      </c>
      <c r="J110" s="154">
        <f t="shared" si="60"/>
        <v>2.4173290875696307</v>
      </c>
      <c r="K110" s="154">
        <f t="shared" si="61"/>
        <v>2.4132543816463308</v>
      </c>
      <c r="L110" s="154">
        <f t="shared" si="62"/>
        <v>0.00045657096939147324</v>
      </c>
      <c r="M110" s="154">
        <f t="shared" si="63"/>
        <v>0.5213675213675214</v>
      </c>
      <c r="N110" s="154">
        <f t="shared" si="52"/>
        <v>2.212148118512939</v>
      </c>
      <c r="O110" s="154">
        <f t="shared" si="64"/>
        <v>0.07325223505585884</v>
      </c>
      <c r="P110" s="154">
        <f t="shared" si="65"/>
        <v>1.4915729032184217</v>
      </c>
      <c r="Q110" s="154">
        <f t="shared" si="66"/>
        <v>1.148175029330212</v>
      </c>
      <c r="R110" s="154">
        <f t="shared" si="67"/>
        <v>0.06779950800763512</v>
      </c>
      <c r="S110" s="154">
        <f t="shared" si="68"/>
        <v>0.7603833865814694</v>
      </c>
      <c r="T110" s="154">
        <f t="shared" si="53"/>
        <v>2.1574903411136725</v>
      </c>
      <c r="U110" s="154">
        <f t="shared" si="69"/>
        <v>1.3650571544913546</v>
      </c>
      <c r="V110" s="154">
        <f t="shared" si="70"/>
        <v>4.43609603795875</v>
      </c>
      <c r="W110" s="154">
        <f t="shared" si="54"/>
        <v>2.1574903411136725</v>
      </c>
      <c r="X110" s="163">
        <f t="shared" si="71"/>
        <v>5.847953216374269</v>
      </c>
      <c r="Y110" s="165">
        <f t="shared" si="72"/>
        <v>-0.08269005847953216</v>
      </c>
      <c r="Z110" s="166">
        <f t="shared" si="73"/>
        <v>5.41307597164811</v>
      </c>
    </row>
    <row r="111" spans="7:26" ht="12.75">
      <c r="G111" s="153">
        <f t="shared" si="57"/>
        <v>280</v>
      </c>
      <c r="H111" s="153">
        <f t="shared" si="58"/>
        <v>0.19605875250291535</v>
      </c>
      <c r="I111" s="153">
        <f t="shared" si="59"/>
        <v>3.8170441397516655</v>
      </c>
      <c r="J111" s="153">
        <f t="shared" si="60"/>
        <v>2.400107677818246</v>
      </c>
      <c r="K111" s="153">
        <f t="shared" si="61"/>
        <v>2.3960333079053022</v>
      </c>
      <c r="L111" s="153">
        <f t="shared" si="62"/>
        <v>0.00045657096939147324</v>
      </c>
      <c r="M111" s="153">
        <f t="shared" si="63"/>
        <v>0.5213675213675214</v>
      </c>
      <c r="N111" s="153">
        <f t="shared" si="52"/>
        <v>2.2081216807372606</v>
      </c>
      <c r="O111" s="153">
        <f t="shared" si="64"/>
        <v>0.07325223505585884</v>
      </c>
      <c r="P111" s="153">
        <f t="shared" si="65"/>
        <v>1.4706794847857378</v>
      </c>
      <c r="Q111" s="153">
        <f t="shared" si="66"/>
        <v>1.1395920021621595</v>
      </c>
      <c r="R111" s="153">
        <f t="shared" si="67"/>
        <v>0.06779950800763512</v>
      </c>
      <c r="S111" s="153">
        <f t="shared" si="68"/>
        <v>0.7603833865814694</v>
      </c>
      <c r="T111" s="153">
        <f t="shared" si="53"/>
        <v>2.1544464858963046</v>
      </c>
      <c r="U111" s="153">
        <f t="shared" si="69"/>
        <v>1.3619676646538854</v>
      </c>
      <c r="V111" s="153">
        <f t="shared" si="70"/>
        <v>4.43609603795875</v>
      </c>
      <c r="W111" s="153">
        <f t="shared" si="54"/>
        <v>2.1544464858963046</v>
      </c>
      <c r="X111" s="163">
        <f t="shared" si="71"/>
        <v>5.827067669172933</v>
      </c>
      <c r="Y111" s="163">
        <f t="shared" si="72"/>
        <v>-0.08239473684210527</v>
      </c>
      <c r="Z111" s="164">
        <f t="shared" si="73"/>
        <v>5.411281750130411</v>
      </c>
    </row>
    <row r="112" spans="7:26" ht="12.75">
      <c r="G112" s="154">
        <f t="shared" si="57"/>
        <v>281</v>
      </c>
      <c r="H112" s="154">
        <f t="shared" si="58"/>
        <v>0.1946657995241773</v>
      </c>
      <c r="I112" s="154">
        <f t="shared" si="59"/>
        <v>3.8052397122080652</v>
      </c>
      <c r="J112" s="154">
        <f t="shared" si="60"/>
        <v>2.383069799188581</v>
      </c>
      <c r="K112" s="154">
        <f t="shared" si="61"/>
        <v>2.3789957617050805</v>
      </c>
      <c r="L112" s="154">
        <f t="shared" si="62"/>
        <v>0.00045657096939147324</v>
      </c>
      <c r="M112" s="154">
        <f t="shared" si="63"/>
        <v>0.5213675213675214</v>
      </c>
      <c r="N112" s="154">
        <f t="shared" si="52"/>
        <v>2.2041191426411357</v>
      </c>
      <c r="O112" s="154">
        <f t="shared" si="64"/>
        <v>0.07325223505585884</v>
      </c>
      <c r="P112" s="154">
        <f t="shared" si="65"/>
        <v>1.4501537204105028</v>
      </c>
      <c r="Q112" s="154">
        <f t="shared" si="66"/>
        <v>1.131100445589525</v>
      </c>
      <c r="R112" s="154">
        <f t="shared" si="67"/>
        <v>0.06779950800763512</v>
      </c>
      <c r="S112" s="154">
        <f t="shared" si="68"/>
        <v>0.7603833865814694</v>
      </c>
      <c r="T112" s="154">
        <f t="shared" si="53"/>
        <v>2.151421455114261</v>
      </c>
      <c r="U112" s="154">
        <f t="shared" si="69"/>
        <v>1.3589001640679286</v>
      </c>
      <c r="V112" s="154">
        <f t="shared" si="70"/>
        <v>4.43609603795875</v>
      </c>
      <c r="W112" s="154">
        <f t="shared" si="54"/>
        <v>2.151421455114261</v>
      </c>
      <c r="X112" s="163">
        <f t="shared" si="71"/>
        <v>5.8063307735531</v>
      </c>
      <c r="Y112" s="165">
        <f t="shared" si="72"/>
        <v>-0.08210151713804083</v>
      </c>
      <c r="Z112" s="166">
        <f t="shared" si="73"/>
        <v>5.409503903550028</v>
      </c>
    </row>
    <row r="113" spans="7:26" ht="12.75">
      <c r="G113" s="153">
        <f t="shared" si="57"/>
        <v>282</v>
      </c>
      <c r="H113" s="153">
        <f t="shared" si="58"/>
        <v>0.19328763890433784</v>
      </c>
      <c r="I113" s="153">
        <f t="shared" si="59"/>
        <v>3.7935190040087456</v>
      </c>
      <c r="J113" s="153">
        <f t="shared" si="60"/>
        <v>2.366212853023548</v>
      </c>
      <c r="K113" s="153">
        <f t="shared" si="61"/>
        <v>2.3621391444392823</v>
      </c>
      <c r="L113" s="153">
        <f t="shared" si="62"/>
        <v>0.00045657096939147324</v>
      </c>
      <c r="M113" s="153">
        <f t="shared" si="63"/>
        <v>0.5213675213675214</v>
      </c>
      <c r="N113" s="153">
        <f t="shared" si="52"/>
        <v>2.200140278084345</v>
      </c>
      <c r="O113" s="153">
        <f t="shared" si="64"/>
        <v>0.07325223505585884</v>
      </c>
      <c r="P113" s="153">
        <f t="shared" si="65"/>
        <v>1.4299878518470392</v>
      </c>
      <c r="Q113" s="153">
        <f t="shared" si="66"/>
        <v>1.1226990644602455</v>
      </c>
      <c r="R113" s="153">
        <f t="shared" si="67"/>
        <v>0.06779950800763512</v>
      </c>
      <c r="S113" s="153">
        <f t="shared" si="68"/>
        <v>0.7603833865814694</v>
      </c>
      <c r="T113" s="153">
        <f t="shared" si="53"/>
        <v>2.1484150700102105</v>
      </c>
      <c r="U113" s="153">
        <f t="shared" si="69"/>
        <v>1.3558544188052761</v>
      </c>
      <c r="V113" s="153">
        <f t="shared" si="70"/>
        <v>4.43609603795875</v>
      </c>
      <c r="W113" s="153">
        <f t="shared" si="54"/>
        <v>2.1484150700102105</v>
      </c>
      <c r="X113" s="163">
        <f t="shared" si="71"/>
        <v>5.785740948114968</v>
      </c>
      <c r="Y113" s="163">
        <f t="shared" si="72"/>
        <v>-0.08181037700634565</v>
      </c>
      <c r="Z113" s="164">
        <f t="shared" si="73"/>
        <v>5.407742288153557</v>
      </c>
    </row>
    <row r="114" spans="7:26" ht="12.75">
      <c r="G114" s="154">
        <f>G113+1</f>
        <v>283</v>
      </c>
      <c r="H114" s="154">
        <f t="shared" si="58"/>
        <v>0.19192406193395553</v>
      </c>
      <c r="I114" s="154">
        <f t="shared" si="59"/>
        <v>3.7818811276694926</v>
      </c>
      <c r="J114" s="154">
        <f t="shared" si="60"/>
        <v>2.34953428649747</v>
      </c>
      <c r="K114" s="154">
        <f t="shared" si="61"/>
        <v>2.345460903332038</v>
      </c>
      <c r="L114" s="154">
        <f t="shared" si="62"/>
        <v>0.00045657096939147324</v>
      </c>
      <c r="M114" s="154">
        <f t="shared" si="63"/>
        <v>0.5213675213675214</v>
      </c>
      <c r="N114" s="154">
        <f t="shared" si="52"/>
        <v>2.196184863858388</v>
      </c>
      <c r="O114" s="154">
        <f t="shared" si="64"/>
        <v>0.07325223505585884</v>
      </c>
      <c r="P114" s="154">
        <f t="shared" si="65"/>
        <v>1.4101743114145788</v>
      </c>
      <c r="Q114" s="154">
        <f t="shared" si="66"/>
        <v>1.1143865864643026</v>
      </c>
      <c r="R114" s="154">
        <f t="shared" si="67"/>
        <v>0.06779950800763512</v>
      </c>
      <c r="S114" s="154">
        <f t="shared" si="68"/>
        <v>0.7603833865814694</v>
      </c>
      <c r="T114" s="154">
        <f t="shared" si="53"/>
        <v>2.145427154146226</v>
      </c>
      <c r="U114" s="154">
        <f t="shared" si="69"/>
        <v>1.3528301982441269</v>
      </c>
      <c r="V114" s="154">
        <f t="shared" si="70"/>
        <v>4.43609603795875</v>
      </c>
      <c r="W114" s="154">
        <f t="shared" si="54"/>
        <v>2.145427154146226</v>
      </c>
      <c r="X114" s="163">
        <f t="shared" si="71"/>
        <v>5.765296633810675</v>
      </c>
      <c r="Y114" s="165">
        <f t="shared" si="72"/>
        <v>-0.08152129440208294</v>
      </c>
      <c r="Z114" s="166">
        <f t="shared" si="73"/>
        <v>5.405996761908314</v>
      </c>
    </row>
    <row r="115" spans="7:26" ht="12.75">
      <c r="G115" s="153">
        <f aca="true" t="shared" si="74" ref="G115:G120">G114+1</f>
        <v>284</v>
      </c>
      <c r="H115" s="153">
        <f t="shared" si="58"/>
        <v>0.19057486357157016</v>
      </c>
      <c r="I115" s="153">
        <f t="shared" si="59"/>
        <v>3.770325208205867</v>
      </c>
      <c r="J115" s="153">
        <f t="shared" si="60"/>
        <v>2.333031591649514</v>
      </c>
      <c r="K115" s="153">
        <f t="shared" si="61"/>
        <v>2.328958530471448</v>
      </c>
      <c r="L115" s="153">
        <f t="shared" si="62"/>
        <v>0.00045657096939147324</v>
      </c>
      <c r="M115" s="153">
        <f t="shared" si="63"/>
        <v>0.5213675213675214</v>
      </c>
      <c r="N115" s="153">
        <f t="shared" si="52"/>
        <v>2.192252679638282</v>
      </c>
      <c r="O115" s="153">
        <f t="shared" si="64"/>
        <v>0.07325223505585884</v>
      </c>
      <c r="P115" s="153">
        <f t="shared" si="65"/>
        <v>1.3907057166631764</v>
      </c>
      <c r="Q115" s="153">
        <f t="shared" si="66"/>
        <v>1.1061617616519959</v>
      </c>
      <c r="R115" s="153">
        <f t="shared" si="67"/>
        <v>0.06779950800763512</v>
      </c>
      <c r="S115" s="153">
        <f t="shared" si="68"/>
        <v>0.7603833865814694</v>
      </c>
      <c r="T115" s="153">
        <f t="shared" si="53"/>
        <v>2.142457533365628</v>
      </c>
      <c r="U115" s="153">
        <f t="shared" si="69"/>
        <v>1.349827275010873</v>
      </c>
      <c r="V115" s="153">
        <f t="shared" si="70"/>
        <v>4.43609603795875</v>
      </c>
      <c r="W115" s="153">
        <f t="shared" si="54"/>
        <v>2.142457533365628</v>
      </c>
      <c r="X115" s="163">
        <f t="shared" si="71"/>
        <v>5.744996293550778</v>
      </c>
      <c r="Y115" s="163">
        <f t="shared" si="72"/>
        <v>-0.081234247590808</v>
      </c>
      <c r="Z115" s="164">
        <f t="shared" si="73"/>
        <v>5.404267184475647</v>
      </c>
    </row>
    <row r="116" spans="7:26" ht="12.75">
      <c r="G116" s="154">
        <f t="shared" si="74"/>
        <v>285</v>
      </c>
      <c r="H116" s="154">
        <f t="shared" si="58"/>
        <v>0.1892398423666182</v>
      </c>
      <c r="I116" s="154">
        <f t="shared" si="59"/>
        <v>3.7588503829139173</v>
      </c>
      <c r="J116" s="154">
        <f t="shared" si="60"/>
        <v>2.316702304440833</v>
      </c>
      <c r="K116" s="154">
        <f t="shared" si="61"/>
        <v>2.3126295618667427</v>
      </c>
      <c r="L116" s="154">
        <f t="shared" si="62"/>
        <v>0.00045657096939147324</v>
      </c>
      <c r="M116" s="154">
        <f t="shared" si="63"/>
        <v>0.5213675213675214</v>
      </c>
      <c r="N116" s="154">
        <f t="shared" si="52"/>
        <v>2.188343507935319</v>
      </c>
      <c r="O116" s="154">
        <f t="shared" si="64"/>
        <v>0.07325223505585884</v>
      </c>
      <c r="P116" s="154">
        <f t="shared" si="65"/>
        <v>1.3715748652070723</v>
      </c>
      <c r="Q116" s="154">
        <f t="shared" si="66"/>
        <v>1.0980233619640276</v>
      </c>
      <c r="R116" s="154">
        <f t="shared" si="67"/>
        <v>0.06779950800763512</v>
      </c>
      <c r="S116" s="154">
        <f t="shared" si="68"/>
        <v>0.7603833865814694</v>
      </c>
      <c r="T116" s="154">
        <f t="shared" si="53"/>
        <v>2.1395060357555873</v>
      </c>
      <c r="U116" s="154">
        <f t="shared" si="69"/>
        <v>1.3468454249231154</v>
      </c>
      <c r="V116" s="154">
        <f t="shared" si="70"/>
        <v>4.43609603795875</v>
      </c>
      <c r="W116" s="154">
        <f t="shared" si="54"/>
        <v>2.1395060357555873</v>
      </c>
      <c r="X116" s="163">
        <f t="shared" si="71"/>
        <v>5.724838411819021</v>
      </c>
      <c r="Y116" s="165">
        <f t="shared" si="72"/>
        <v>-0.08094921514312095</v>
      </c>
      <c r="Z116" s="166">
        <f t="shared" si="73"/>
        <v>5.402553417184729</v>
      </c>
    </row>
    <row r="117" spans="7:26" ht="12.75">
      <c r="G117" s="153">
        <f t="shared" si="74"/>
        <v>286</v>
      </c>
      <c r="H117" s="153">
        <f t="shared" si="58"/>
        <v>0.1879188003842311</v>
      </c>
      <c r="I117" s="153">
        <f t="shared" si="59"/>
        <v>3.7474558011554766</v>
      </c>
      <c r="J117" s="153">
        <f t="shared" si="60"/>
        <v>2.3005440038347382</v>
      </c>
      <c r="K117" s="153">
        <f t="shared" si="61"/>
        <v>2.2964715765284693</v>
      </c>
      <c r="L117" s="153">
        <f t="shared" si="62"/>
        <v>0.00045657096939147324</v>
      </c>
      <c r="M117" s="153">
        <f t="shared" si="63"/>
        <v>0.5213675213675214</v>
      </c>
      <c r="N117" s="153">
        <f t="shared" si="52"/>
        <v>2.184457134050758</v>
      </c>
      <c r="O117" s="153">
        <f t="shared" si="64"/>
        <v>0.07325223505585884</v>
      </c>
      <c r="P117" s="153">
        <f t="shared" si="65"/>
        <v>1.352774729719664</v>
      </c>
      <c r="Q117" s="153">
        <f t="shared" si="66"/>
        <v>1.0899701807730673</v>
      </c>
      <c r="R117" s="153">
        <f t="shared" si="67"/>
        <v>0.06779950800763512</v>
      </c>
      <c r="S117" s="153">
        <f t="shared" si="68"/>
        <v>0.7603833865814694</v>
      </c>
      <c r="T117" s="153">
        <f t="shared" si="53"/>
        <v>2.1365724916104707</v>
      </c>
      <c r="U117" s="153">
        <f t="shared" si="69"/>
        <v>1.3438844269338739</v>
      </c>
      <c r="V117" s="153">
        <f t="shared" si="70"/>
        <v>4.43609603795875</v>
      </c>
      <c r="W117" s="153">
        <f t="shared" si="54"/>
        <v>2.1365724916104707</v>
      </c>
      <c r="X117" s="163">
        <f t="shared" si="71"/>
        <v>5.704821494295178</v>
      </c>
      <c r="Y117" s="163">
        <f t="shared" si="72"/>
        <v>-0.08066617592933381</v>
      </c>
      <c r="Z117" s="164">
        <f t="shared" si="73"/>
        <v>5.400855323006864</v>
      </c>
    </row>
    <row r="118" spans="7:26" ht="12.75">
      <c r="G118" s="154">
        <f t="shared" si="74"/>
        <v>287</v>
      </c>
      <c r="H118" s="154">
        <f t="shared" si="58"/>
        <v>0.1866115431318647</v>
      </c>
      <c r="I118" s="154">
        <f t="shared" si="59"/>
        <v>3.736140624147967</v>
      </c>
      <c r="J118" s="154">
        <f t="shared" si="60"/>
        <v>2.2845543108992685</v>
      </c>
      <c r="K118" s="154">
        <f t="shared" si="61"/>
        <v>2.2804821955710843</v>
      </c>
      <c r="L118" s="154">
        <f t="shared" si="62"/>
        <v>0.00045657096939147324</v>
      </c>
      <c r="M118" s="154">
        <f t="shared" si="63"/>
        <v>0.5213675213675214</v>
      </c>
      <c r="N118" s="154">
        <f t="shared" si="52"/>
        <v>2.1805933460304354</v>
      </c>
      <c r="O118" s="154">
        <f t="shared" si="64"/>
        <v>0.07325223505585884</v>
      </c>
      <c r="P118" s="154">
        <f t="shared" si="65"/>
        <v>1.334298453084504</v>
      </c>
      <c r="Q118" s="154">
        <f t="shared" si="66"/>
        <v>1.082001032436479</v>
      </c>
      <c r="R118" s="154">
        <f t="shared" si="67"/>
        <v>0.06779950800763512</v>
      </c>
      <c r="S118" s="154">
        <f t="shared" si="68"/>
        <v>0.7603833865814694</v>
      </c>
      <c r="T118" s="154">
        <f t="shared" si="53"/>
        <v>2.1336567333959104</v>
      </c>
      <c r="U118" s="154">
        <f t="shared" si="69"/>
        <v>1.3409440630769613</v>
      </c>
      <c r="V118" s="154">
        <f t="shared" si="70"/>
        <v>4.43609603795875</v>
      </c>
      <c r="W118" s="154">
        <f t="shared" si="54"/>
        <v>2.1336567333959104</v>
      </c>
      <c r="X118" s="163">
        <f t="shared" si="71"/>
        <v>5.684944067485787</v>
      </c>
      <c r="Y118" s="165">
        <f t="shared" si="72"/>
        <v>-0.08038510911424902</v>
      </c>
      <c r="Z118" s="166">
        <f t="shared" si="73"/>
        <v>5.399172766530266</v>
      </c>
    </row>
    <row r="119" spans="7:26" ht="12.75">
      <c r="G119" s="153">
        <f t="shared" si="74"/>
        <v>288</v>
      </c>
      <c r="H119" s="153">
        <f t="shared" si="58"/>
        <v>0.18531787948770934</v>
      </c>
      <c r="I119" s="153">
        <f t="shared" si="59"/>
        <v>3.7249040247585636</v>
      </c>
      <c r="J119" s="153">
        <f t="shared" si="60"/>
        <v>2.26873088793154</v>
      </c>
      <c r="K119" s="153">
        <f t="shared" si="61"/>
        <v>2.264659081337313</v>
      </c>
      <c r="L119" s="153">
        <f t="shared" si="62"/>
        <v>0.00045657096939147324</v>
      </c>
      <c r="M119" s="153">
        <f t="shared" si="63"/>
        <v>0.5213675213675214</v>
      </c>
      <c r="N119" s="153">
        <f t="shared" si="52"/>
        <v>2.176751934620263</v>
      </c>
      <c r="O119" s="153">
        <f t="shared" si="64"/>
        <v>0.07325223505585884</v>
      </c>
      <c r="P119" s="153">
        <f t="shared" si="65"/>
        <v>1.3161393436969346</v>
      </c>
      <c r="Q119" s="153">
        <f t="shared" si="66"/>
        <v>1.0741147518599028</v>
      </c>
      <c r="R119" s="153">
        <f t="shared" si="67"/>
        <v>0.06779950800763512</v>
      </c>
      <c r="S119" s="153">
        <f t="shared" si="68"/>
        <v>0.7603833865814694</v>
      </c>
      <c r="T119" s="153">
        <f t="shared" si="53"/>
        <v>2.1307585957135795</v>
      </c>
      <c r="U119" s="153">
        <f t="shared" si="69"/>
        <v>1.3380241184134998</v>
      </c>
      <c r="V119" s="153">
        <f t="shared" si="70"/>
        <v>4.43609603795875</v>
      </c>
      <c r="W119" s="153">
        <f t="shared" si="54"/>
        <v>2.1307585957135795</v>
      </c>
      <c r="X119" s="163">
        <f t="shared" si="71"/>
        <v>5.665204678362573</v>
      </c>
      <c r="Y119" s="163">
        <f t="shared" si="72"/>
        <v>-0.08010599415204678</v>
      </c>
      <c r="Z119" s="164">
        <f t="shared" si="73"/>
        <v>5.397505613935322</v>
      </c>
    </row>
    <row r="120" spans="7:26" ht="12.75">
      <c r="G120" s="154">
        <f t="shared" si="74"/>
        <v>289</v>
      </c>
      <c r="H120" s="154">
        <f t="shared" si="58"/>
        <v>0.18403762163083015</v>
      </c>
      <c r="I120" s="154">
        <f t="shared" si="59"/>
        <v>3.7137451873026515</v>
      </c>
      <c r="J120" s="154">
        <f t="shared" si="60"/>
        <v>2.253071437603256</v>
      </c>
      <c r="K120" s="154">
        <f t="shared" si="61"/>
        <v>2.248999936543684</v>
      </c>
      <c r="L120" s="154">
        <f t="shared" si="62"/>
        <v>0.00045657096939147324</v>
      </c>
      <c r="M120" s="154">
        <f t="shared" si="63"/>
        <v>0.5213675213675214</v>
      </c>
      <c r="N120" s="154">
        <f t="shared" si="52"/>
        <v>2.1729326932226054</v>
      </c>
      <c r="O120" s="154">
        <f t="shared" si="64"/>
        <v>0.07325223505585884</v>
      </c>
      <c r="P120" s="154">
        <f t="shared" si="65"/>
        <v>1.2982908709111647</v>
      </c>
      <c r="Q120" s="154">
        <f t="shared" si="66"/>
        <v>1.0663101940713848</v>
      </c>
      <c r="R120" s="154">
        <f t="shared" si="67"/>
        <v>0.06779950800763512</v>
      </c>
      <c r="S120" s="154">
        <f t="shared" si="68"/>
        <v>0.7603833865814694</v>
      </c>
      <c r="T120" s="154">
        <f t="shared" si="53"/>
        <v>2.127877915266662</v>
      </c>
      <c r="U120" s="154">
        <f t="shared" si="69"/>
        <v>1.335124380979543</v>
      </c>
      <c r="V120" s="154">
        <f t="shared" si="70"/>
        <v>4.43609603795875</v>
      </c>
      <c r="W120" s="154">
        <f t="shared" si="54"/>
        <v>2.127877915266662</v>
      </c>
      <c r="X120" s="163">
        <f t="shared" si="71"/>
        <v>5.645601894008378</v>
      </c>
      <c r="Y120" s="165">
        <f t="shared" si="72"/>
        <v>-0.07982881078127846</v>
      </c>
      <c r="Z120" s="166">
        <f t="shared" si="73"/>
        <v>5.395853732970298</v>
      </c>
    </row>
    <row r="121" spans="7:26" ht="12.75">
      <c r="G121" s="153">
        <f>G120+1</f>
        <v>290</v>
      </c>
      <c r="H121" s="153">
        <f t="shared" si="58"/>
        <v>0.18277058497299126</v>
      </c>
      <c r="I121" s="153">
        <f t="shared" si="59"/>
        <v>3.702663307346436</v>
      </c>
      <c r="J121" s="153">
        <f t="shared" si="60"/>
        <v>2.23757370212682</v>
      </c>
      <c r="K121" s="153">
        <f t="shared" si="61"/>
        <v>2.2335025034466516</v>
      </c>
      <c r="L121" s="153">
        <f t="shared" si="62"/>
        <v>0.00045657096939147324</v>
      </c>
      <c r="M121" s="153">
        <f t="shared" si="63"/>
        <v>0.5213675213675214</v>
      </c>
      <c r="N121" s="153">
        <f t="shared" si="52"/>
        <v>2.1691354178535067</v>
      </c>
      <c r="O121" s="153">
        <f t="shared" si="64"/>
        <v>0.07325223505585884</v>
      </c>
      <c r="P121" s="153">
        <f t="shared" si="65"/>
        <v>1.2807466606278202</v>
      </c>
      <c r="Q121" s="153">
        <f t="shared" si="66"/>
        <v>1.0585862338057712</v>
      </c>
      <c r="R121" s="153">
        <f t="shared" si="67"/>
        <v>0.06779950800763512</v>
      </c>
      <c r="S121" s="153">
        <f t="shared" si="68"/>
        <v>0.7603833865814694</v>
      </c>
      <c r="T121" s="153">
        <f t="shared" si="53"/>
        <v>2.125014530825994</v>
      </c>
      <c r="U121" s="153">
        <f t="shared" si="69"/>
        <v>1.332244641734786</v>
      </c>
      <c r="V121" s="153">
        <f t="shared" si="70"/>
        <v>4.43609603795875</v>
      </c>
      <c r="W121" s="153">
        <f t="shared" si="54"/>
        <v>2.125014530825994</v>
      </c>
      <c r="X121" s="163">
        <f t="shared" si="71"/>
        <v>5.626134301270417</v>
      </c>
      <c r="Y121" s="163">
        <f t="shared" si="72"/>
        <v>-0.07955353901996369</v>
      </c>
      <c r="Z121" s="164">
        <f t="shared" si="73"/>
        <v>5.394216992927518</v>
      </c>
    </row>
    <row r="122" spans="7:26" ht="12.75">
      <c r="G122" s="154">
        <f aca="true" t="shared" si="75" ref="G122:G131">G121+1</f>
        <v>291</v>
      </c>
      <c r="H122" s="154">
        <f t="shared" si="58"/>
        <v>0.18151658809211707</v>
      </c>
      <c r="I122" s="154">
        <f t="shared" si="59"/>
        <v>3.69165759151363</v>
      </c>
      <c r="J122" s="154">
        <f t="shared" si="60"/>
        <v>2.222235462441464</v>
      </c>
      <c r="K122" s="154">
        <f t="shared" si="61"/>
        <v>2.2181645630287457</v>
      </c>
      <c r="L122" s="154">
        <f t="shared" si="62"/>
        <v>0.00045657096939147324</v>
      </c>
      <c r="M122" s="154">
        <f t="shared" si="63"/>
        <v>0.5213675213675214</v>
      </c>
      <c r="N122" s="154">
        <f t="shared" si="52"/>
        <v>2.1653599071007528</v>
      </c>
      <c r="O122" s="154">
        <f t="shared" si="64"/>
        <v>0.07325223505585884</v>
      </c>
      <c r="P122" s="154">
        <f t="shared" si="65"/>
        <v>1.2635004910171517</v>
      </c>
      <c r="Q122" s="154">
        <f t="shared" si="66"/>
        <v>1.0509417650990835</v>
      </c>
      <c r="R122" s="154">
        <f t="shared" si="67"/>
        <v>0.06779950800763512</v>
      </c>
      <c r="S122" s="154">
        <f t="shared" si="68"/>
        <v>0.7603833865814694</v>
      </c>
      <c r="T122" s="154">
        <f t="shared" si="53"/>
        <v>2.12216828319687</v>
      </c>
      <c r="U122" s="154">
        <f t="shared" si="69"/>
        <v>1.3293846945123295</v>
      </c>
      <c r="V122" s="154">
        <f t="shared" si="70"/>
        <v>4.43609603795875</v>
      </c>
      <c r="W122" s="154">
        <f t="shared" si="54"/>
        <v>2.12216828319687</v>
      </c>
      <c r="X122" s="163">
        <f t="shared" si="71"/>
        <v>5.606800506420691</v>
      </c>
      <c r="Y122" s="165">
        <f t="shared" si="72"/>
        <v>-0.07928015916078857</v>
      </c>
      <c r="Z122" s="166">
        <f t="shared" si="73"/>
        <v>5.3925952646199775</v>
      </c>
    </row>
    <row r="123" spans="7:26" ht="12.75">
      <c r="G123" s="153">
        <f t="shared" si="75"/>
        <v>292</v>
      </c>
      <c r="H123" s="153">
        <f t="shared" si="58"/>
        <v>0.18027545266734568</v>
      </c>
      <c r="I123" s="153">
        <f t="shared" si="59"/>
        <v>3.680727257296117</v>
      </c>
      <c r="J123" s="153">
        <f t="shared" si="60"/>
        <v>2.2070545374188617</v>
      </c>
      <c r="K123" s="153">
        <f t="shared" si="61"/>
        <v>2.2029839342041955</v>
      </c>
      <c r="L123" s="153">
        <f t="shared" si="62"/>
        <v>0.00045657096939147324</v>
      </c>
      <c r="M123" s="153">
        <f t="shared" si="63"/>
        <v>0.5213675213675214</v>
      </c>
      <c r="N123" s="153">
        <f t="shared" si="52"/>
        <v>2.1616059620827444</v>
      </c>
      <c r="O123" s="153">
        <f t="shared" si="64"/>
        <v>0.07325223505585884</v>
      </c>
      <c r="P123" s="153">
        <f t="shared" si="65"/>
        <v>1.2465462883732925</v>
      </c>
      <c r="Q123" s="153">
        <f t="shared" si="66"/>
        <v>1.0433757008925983</v>
      </c>
      <c r="R123" s="153">
        <f t="shared" si="67"/>
        <v>0.06779950800763512</v>
      </c>
      <c r="S123" s="153">
        <f t="shared" si="68"/>
        <v>0.7603833865814694</v>
      </c>
      <c r="T123" s="153">
        <f t="shared" si="53"/>
        <v>2.1193390151864886</v>
      </c>
      <c r="U123" s="153">
        <f t="shared" si="69"/>
        <v>1.326544335969479</v>
      </c>
      <c r="V123" s="153">
        <f t="shared" si="70"/>
        <v>4.43609603795875</v>
      </c>
      <c r="W123" s="153">
        <f t="shared" si="54"/>
        <v>2.1193390151864886</v>
      </c>
      <c r="X123" s="163">
        <f t="shared" si="71"/>
        <v>5.58759913482336</v>
      </c>
      <c r="Y123" s="163">
        <f t="shared" si="72"/>
        <v>-0.0790086517664023</v>
      </c>
      <c r="Z123" s="164">
        <f t="shared" si="73"/>
        <v>5.390988420358374</v>
      </c>
    </row>
    <row r="124" spans="7:26" ht="12.75">
      <c r="G124" s="154">
        <f t="shared" si="75"/>
        <v>293</v>
      </c>
      <c r="H124" s="154">
        <f t="shared" si="58"/>
        <v>0.17904700341563168</v>
      </c>
      <c r="I124" s="154">
        <f t="shared" si="59"/>
        <v>3.6698715328684854</v>
      </c>
      <c r="J124" s="154">
        <f t="shared" si="60"/>
        <v>2.1920287830876797</v>
      </c>
      <c r="K124" s="154">
        <f t="shared" si="61"/>
        <v>2.1879584730434987</v>
      </c>
      <c r="L124" s="154">
        <f t="shared" si="62"/>
        <v>0.00045657096939147324</v>
      </c>
      <c r="M124" s="154">
        <f t="shared" si="63"/>
        <v>0.5213675213675214</v>
      </c>
      <c r="N124" s="154">
        <f t="shared" si="52"/>
        <v>2.157873386408171</v>
      </c>
      <c r="O124" s="154">
        <f t="shared" si="64"/>
        <v>0.07325223505585884</v>
      </c>
      <c r="P124" s="154">
        <f t="shared" si="65"/>
        <v>1.2298781230951144</v>
      </c>
      <c r="Q124" s="154">
        <f t="shared" si="66"/>
        <v>1.0358869726463724</v>
      </c>
      <c r="R124" s="154">
        <f t="shared" si="67"/>
        <v>0.06779950800763512</v>
      </c>
      <c r="S124" s="154">
        <f t="shared" si="68"/>
        <v>0.7603833865814694</v>
      </c>
      <c r="T124" s="154">
        <f t="shared" si="53"/>
        <v>2.1165265715720336</v>
      </c>
      <c r="U124" s="154">
        <f t="shared" si="69"/>
        <v>1.323723365539549</v>
      </c>
      <c r="V124" s="154">
        <f t="shared" si="70"/>
        <v>4.43609603795875</v>
      </c>
      <c r="W124" s="154">
        <f t="shared" si="54"/>
        <v>2.1165265715720336</v>
      </c>
      <c r="X124" s="163">
        <f t="shared" si="71"/>
        <v>5.568528830608946</v>
      </c>
      <c r="Y124" s="165">
        <f t="shared" si="72"/>
        <v>-0.07873899766481049</v>
      </c>
      <c r="Z124" s="166">
        <f t="shared" si="73"/>
        <v>5.389396333928589</v>
      </c>
    </row>
    <row r="125" spans="7:26" ht="12.75">
      <c r="G125" s="153">
        <f t="shared" si="75"/>
        <v>294</v>
      </c>
      <c r="H125" s="153">
        <f t="shared" si="58"/>
        <v>0.17783106802985518</v>
      </c>
      <c r="I125" s="153">
        <f t="shared" si="59"/>
        <v>3.659089656906348</v>
      </c>
      <c r="J125" s="153">
        <f t="shared" si="60"/>
        <v>2.1771560918765633</v>
      </c>
      <c r="K125" s="153">
        <f t="shared" si="61"/>
        <v>2.173086072016423</v>
      </c>
      <c r="L125" s="153">
        <f t="shared" si="62"/>
        <v>0.00045657096939147324</v>
      </c>
      <c r="M125" s="153">
        <f t="shared" si="63"/>
        <v>0.5213675213675214</v>
      </c>
      <c r="N125" s="153">
        <f t="shared" si="52"/>
        <v>2.1541619861364576</v>
      </c>
      <c r="O125" s="153">
        <f t="shared" si="64"/>
        <v>0.07325223505585884</v>
      </c>
      <c r="P125" s="153">
        <f t="shared" si="65"/>
        <v>1.2134902057893904</v>
      </c>
      <c r="Q125" s="153">
        <f t="shared" si="66"/>
        <v>1.0284745299619515</v>
      </c>
      <c r="R125" s="153">
        <f t="shared" si="67"/>
        <v>0.06779950800763512</v>
      </c>
      <c r="S125" s="153">
        <f t="shared" si="68"/>
        <v>0.7603833865814694</v>
      </c>
      <c r="T125" s="153">
        <f t="shared" si="53"/>
        <v>2.113730799069366</v>
      </c>
      <c r="U125" s="153">
        <f t="shared" si="69"/>
        <v>1.3209215853846525</v>
      </c>
      <c r="V125" s="153">
        <f t="shared" si="70"/>
        <v>4.43609603795875</v>
      </c>
      <c r="W125" s="153">
        <f t="shared" si="54"/>
        <v>2.113730799069366</v>
      </c>
      <c r="X125" s="163">
        <f t="shared" si="71"/>
        <v>5.5495882563551735</v>
      </c>
      <c r="Y125" s="163">
        <f t="shared" si="72"/>
        <v>-0.07847117794486215</v>
      </c>
      <c r="Z125" s="164">
        <f t="shared" si="73"/>
        <v>5.387818880569561</v>
      </c>
    </row>
    <row r="126" spans="7:26" ht="12.75">
      <c r="G126" s="154">
        <f t="shared" si="75"/>
        <v>295</v>
      </c>
      <c r="H126" s="154">
        <f t="shared" si="58"/>
        <v>0.1766274771183977</v>
      </c>
      <c r="I126" s="154">
        <f t="shared" si="59"/>
        <v>3.64838087840836</v>
      </c>
      <c r="J126" s="154">
        <f t="shared" si="60"/>
        <v>2.1624343918750606</v>
      </c>
      <c r="K126" s="154">
        <f t="shared" si="61"/>
        <v>2.1583646592529417</v>
      </c>
      <c r="L126" s="154">
        <f t="shared" si="62"/>
        <v>0.00045657096939147324</v>
      </c>
      <c r="M126" s="154">
        <f t="shared" si="63"/>
        <v>0.5213675213675214</v>
      </c>
      <c r="N126" s="154">
        <f t="shared" si="52"/>
        <v>2.150471569738975</v>
      </c>
      <c r="O126" s="154">
        <f t="shared" si="64"/>
        <v>0.07325223505585884</v>
      </c>
      <c r="P126" s="154">
        <f t="shared" si="65"/>
        <v>1.197376883492163</v>
      </c>
      <c r="Q126" s="154">
        <f t="shared" si="66"/>
        <v>1.0211373402140183</v>
      </c>
      <c r="R126" s="154">
        <f t="shared" si="67"/>
        <v>0.06779950800763512</v>
      </c>
      <c r="S126" s="154">
        <f t="shared" si="68"/>
        <v>0.7603833865814694</v>
      </c>
      <c r="T126" s="154">
        <f t="shared" si="53"/>
        <v>2.1109515463023207</v>
      </c>
      <c r="U126" s="154">
        <f t="shared" si="69"/>
        <v>1.3181388003494505</v>
      </c>
      <c r="V126" s="154">
        <f t="shared" si="70"/>
        <v>4.43609603795875</v>
      </c>
      <c r="W126" s="154">
        <f t="shared" si="54"/>
        <v>2.1109515463023207</v>
      </c>
      <c r="X126" s="163">
        <f t="shared" si="71"/>
        <v>5.530776092774309</v>
      </c>
      <c r="Y126" s="165">
        <f t="shared" si="72"/>
        <v>-0.07820517395182872</v>
      </c>
      <c r="Z126" s="166">
        <f t="shared" si="73"/>
        <v>5.386255936951577</v>
      </c>
    </row>
    <row r="127" spans="7:26" ht="12.75">
      <c r="G127" s="153">
        <f t="shared" si="75"/>
        <v>296</v>
      </c>
      <c r="H127" s="153">
        <f t="shared" si="58"/>
        <v>0.17543606414614413</v>
      </c>
      <c r="I127" s="153">
        <f t="shared" si="59"/>
        <v>3.6377444565218457</v>
      </c>
      <c r="J127" s="153">
        <f t="shared" si="60"/>
        <v>2.1478616461119873</v>
      </c>
      <c r="K127" s="153">
        <f t="shared" si="61"/>
        <v>2.1437921978216137</v>
      </c>
      <c r="L127" s="153">
        <f t="shared" si="62"/>
        <v>0.00045657096939147324</v>
      </c>
      <c r="M127" s="153">
        <f t="shared" si="63"/>
        <v>0.5213675213675214</v>
      </c>
      <c r="N127" s="153">
        <f t="shared" si="52"/>
        <v>2.1468019480609923</v>
      </c>
      <c r="O127" s="153">
        <f t="shared" si="64"/>
        <v>0.07325223505585884</v>
      </c>
      <c r="P127" s="153">
        <f t="shared" si="65"/>
        <v>1.181532636004326</v>
      </c>
      <c r="Q127" s="153">
        <f t="shared" si="66"/>
        <v>1.0138743881907364</v>
      </c>
      <c r="R127" s="153">
        <f t="shared" si="67"/>
        <v>0.06779950800763512</v>
      </c>
      <c r="S127" s="153">
        <f t="shared" si="68"/>
        <v>0.7603833865814694</v>
      </c>
      <c r="T127" s="153">
        <f t="shared" si="53"/>
        <v>2.108188663772592</v>
      </c>
      <c r="U127" s="153">
        <f t="shared" si="69"/>
        <v>1.3153748179158375</v>
      </c>
      <c r="V127" s="153">
        <f t="shared" si="70"/>
        <v>4.43609603795875</v>
      </c>
      <c r="W127" s="153">
        <f t="shared" si="54"/>
        <v>2.108188663772592</v>
      </c>
      <c r="X127" s="163">
        <f t="shared" si="71"/>
        <v>5.512091038406828</v>
      </c>
      <c r="Y127" s="163">
        <f t="shared" si="72"/>
        <v>-0.07794096728307254</v>
      </c>
      <c r="Z127" s="164">
        <f t="shared" si="73"/>
        <v>5.384707381154947</v>
      </c>
    </row>
    <row r="128" spans="7:26" ht="12.75">
      <c r="G128" s="154">
        <f t="shared" si="75"/>
        <v>297</v>
      </c>
      <c r="H128" s="154">
        <f t="shared" si="58"/>
        <v>0.17425666537687265</v>
      </c>
      <c r="I128" s="154">
        <f t="shared" si="59"/>
        <v>3.62717966037194</v>
      </c>
      <c r="J128" s="154">
        <f t="shared" si="60"/>
        <v>2.13343585185077</v>
      </c>
      <c r="K128" s="154">
        <f t="shared" si="61"/>
        <v>2.1293666850249418</v>
      </c>
      <c r="L128" s="154">
        <f t="shared" si="62"/>
        <v>0.00045657096939147324</v>
      </c>
      <c r="M128" s="154">
        <f t="shared" si="63"/>
        <v>0.5213675213675214</v>
      </c>
      <c r="N128" s="154">
        <f t="shared" si="52"/>
        <v>2.143152934284354</v>
      </c>
      <c r="O128" s="154">
        <f t="shared" si="64"/>
        <v>0.07325223505585884</v>
      </c>
      <c r="P128" s="154">
        <f t="shared" si="65"/>
        <v>1.1659520723376025</v>
      </c>
      <c r="Q128" s="154">
        <f t="shared" si="66"/>
        <v>1.006684675742555</v>
      </c>
      <c r="R128" s="154">
        <f t="shared" si="67"/>
        <v>0.06779950800763512</v>
      </c>
      <c r="S128" s="154">
        <f t="shared" si="68"/>
        <v>0.7603833865814694</v>
      </c>
      <c r="T128" s="154">
        <f t="shared" si="53"/>
        <v>2.1054420038301935</v>
      </c>
      <c r="U128" s="154">
        <f t="shared" si="69"/>
        <v>1.3126294481585452</v>
      </c>
      <c r="V128" s="154">
        <f t="shared" si="70"/>
        <v>4.43609603795875</v>
      </c>
      <c r="W128" s="154">
        <f t="shared" si="54"/>
        <v>2.1054420038301935</v>
      </c>
      <c r="X128" s="163">
        <f t="shared" si="71"/>
        <v>5.493531809321283</v>
      </c>
      <c r="Y128" s="165">
        <f t="shared" si="72"/>
        <v>-0.07767853978380294</v>
      </c>
      <c r="Z128" s="166">
        <f t="shared" si="73"/>
        <v>5.383173092649077</v>
      </c>
    </row>
    <row r="129" spans="7:26" ht="12.75">
      <c r="G129" s="153">
        <f t="shared" si="75"/>
        <v>298</v>
      </c>
      <c r="H129" s="153">
        <f t="shared" si="58"/>
        <v>0.17308911981699657</v>
      </c>
      <c r="I129" s="153">
        <f t="shared" si="59"/>
        <v>3.616685768894182</v>
      </c>
      <c r="J129" s="153">
        <f t="shared" si="60"/>
        <v>2.1191550399013277</v>
      </c>
      <c r="K129" s="153">
        <f t="shared" si="61"/>
        <v>2.115086151711266</v>
      </c>
      <c r="L129" s="153">
        <f t="shared" si="62"/>
        <v>0.00045657096939147324</v>
      </c>
      <c r="M129" s="153">
        <f t="shared" si="63"/>
        <v>0.5213675213675214</v>
      </c>
      <c r="N129" s="153">
        <f t="shared" si="52"/>
        <v>2.1395243438908707</v>
      </c>
      <c r="O129" s="153">
        <f t="shared" si="64"/>
        <v>0.07325223505585884</v>
      </c>
      <c r="P129" s="153">
        <f t="shared" si="65"/>
        <v>1.150629927267249</v>
      </c>
      <c r="Q129" s="153">
        <f t="shared" si="66"/>
        <v>0.9995672214392531</v>
      </c>
      <c r="R129" s="153">
        <f t="shared" si="67"/>
        <v>0.06779950800763512</v>
      </c>
      <c r="S129" s="153">
        <f t="shared" si="68"/>
        <v>0.7603833865814694</v>
      </c>
      <c r="T129" s="153">
        <f t="shared" si="53"/>
        <v>2.1027114206444786</v>
      </c>
      <c r="U129" s="153">
        <f t="shared" si="69"/>
        <v>1.3099025037016374</v>
      </c>
      <c r="V129" s="153">
        <f t="shared" si="70"/>
        <v>4.43609603795875</v>
      </c>
      <c r="W129" s="153">
        <f t="shared" si="54"/>
        <v>2.1027114206444786</v>
      </c>
      <c r="X129" s="163">
        <f t="shared" si="71"/>
        <v>5.475097138820205</v>
      </c>
      <c r="Y129" s="163">
        <f t="shared" si="72"/>
        <v>-0.0774178735429177</v>
      </c>
      <c r="Z129" s="164">
        <f t="shared" si="73"/>
        <v>5.381652952271918</v>
      </c>
    </row>
    <row r="130" spans="7:26" ht="12.75">
      <c r="G130" s="154">
        <f t="shared" si="75"/>
        <v>299</v>
      </c>
      <c r="H130" s="154">
        <f t="shared" si="58"/>
        <v>0.17193326916061968</v>
      </c>
      <c r="I130" s="154">
        <f t="shared" si="59"/>
        <v>3.606262070670456</v>
      </c>
      <c r="J130" s="154">
        <f t="shared" si="60"/>
        <v>2.1050172739480146</v>
      </c>
      <c r="K130" s="154">
        <f t="shared" si="61"/>
        <v>2.100948661602721</v>
      </c>
      <c r="L130" s="154">
        <f t="shared" si="62"/>
        <v>0.00045657096939147324</v>
      </c>
      <c r="M130" s="154">
        <f t="shared" si="63"/>
        <v>0.5213675213675214</v>
      </c>
      <c r="N130" s="154">
        <f t="shared" si="52"/>
        <v>2.1359159946263997</v>
      </c>
      <c r="O130" s="154">
        <f t="shared" si="64"/>
        <v>0.07325223505585884</v>
      </c>
      <c r="P130" s="154">
        <f t="shared" si="65"/>
        <v>1.135561057987905</v>
      </c>
      <c r="Q130" s="154">
        <f t="shared" si="66"/>
        <v>0.9925210602349942</v>
      </c>
      <c r="R130" s="154">
        <f t="shared" si="67"/>
        <v>0.06779950800763512</v>
      </c>
      <c r="S130" s="154">
        <f t="shared" si="68"/>
        <v>0.7603833865814694</v>
      </c>
      <c r="T130" s="154">
        <f t="shared" si="53"/>
        <v>2.0999967701757125</v>
      </c>
      <c r="U130" s="154">
        <f t="shared" si="69"/>
        <v>1.3071937996758791</v>
      </c>
      <c r="V130" s="154">
        <f t="shared" si="70"/>
        <v>4.43609603795875</v>
      </c>
      <c r="W130" s="154">
        <f t="shared" si="54"/>
        <v>2.0999967701757125</v>
      </c>
      <c r="X130" s="163">
        <f t="shared" si="71"/>
        <v>5.45678577715191</v>
      </c>
      <c r="Y130" s="165">
        <f t="shared" si="72"/>
        <v>-0.077158950888928</v>
      </c>
      <c r="Z130" s="166">
        <f t="shared" si="73"/>
        <v>5.380146842209788</v>
      </c>
    </row>
    <row r="131" spans="7:26" ht="12.75">
      <c r="G131" s="153">
        <f t="shared" si="75"/>
        <v>300</v>
      </c>
      <c r="H131" s="153">
        <f t="shared" si="58"/>
        <v>0.17078895773587294</v>
      </c>
      <c r="I131" s="153">
        <f t="shared" si="59"/>
        <v>3.5959078637682214</v>
      </c>
      <c r="J131" s="153">
        <f t="shared" si="60"/>
        <v>2.09102064989324</v>
      </c>
      <c r="K131" s="153">
        <f t="shared" si="61"/>
        <v>2.0869523106388663</v>
      </c>
      <c r="L131" s="153">
        <f t="shared" si="62"/>
        <v>0.00045657096939147324</v>
      </c>
      <c r="M131" s="153">
        <f t="shared" si="63"/>
        <v>0.5213675213675214</v>
      </c>
      <c r="N131" s="153">
        <f t="shared" si="52"/>
        <v>2.1323277064656088</v>
      </c>
      <c r="O131" s="153">
        <f t="shared" si="64"/>
        <v>0.07325223505585884</v>
      </c>
      <c r="P131" s="153">
        <f t="shared" si="65"/>
        <v>1.1207404408692077</v>
      </c>
      <c r="Q131" s="153">
        <f t="shared" si="66"/>
        <v>0.9855452431411881</v>
      </c>
      <c r="R131" s="153">
        <f t="shared" si="67"/>
        <v>0.06779950800763512</v>
      </c>
      <c r="S131" s="153">
        <f t="shared" si="68"/>
        <v>0.7603833865814694</v>
      </c>
      <c r="T131" s="153">
        <f t="shared" si="53"/>
        <v>2.097297910147183</v>
      </c>
      <c r="U131" s="153">
        <f t="shared" si="69"/>
        <v>1.3045031536769598</v>
      </c>
      <c r="V131" s="153">
        <f t="shared" si="70"/>
        <v>4.43609603795875</v>
      </c>
      <c r="W131" s="153">
        <f t="shared" si="54"/>
        <v>2.097297910147183</v>
      </c>
      <c r="X131" s="163">
        <f t="shared" si="71"/>
        <v>5.43859649122807</v>
      </c>
      <c r="Y131" s="163">
        <f t="shared" si="72"/>
        <v>-0.07690175438596492</v>
      </c>
      <c r="Z131" s="164">
        <f t="shared" si="73"/>
        <v>5.37865464597755</v>
      </c>
    </row>
    <row r="132" spans="7:26" ht="12.75">
      <c r="G132" s="154">
        <f>G131+1</f>
        <v>301</v>
      </c>
      <c r="H132" s="154">
        <f t="shared" si="58"/>
        <v>0.1696560324524957</v>
      </c>
      <c r="I132" s="154">
        <f t="shared" si="59"/>
        <v>3.585622455582944</v>
      </c>
      <c r="J132" s="154">
        <f t="shared" si="60"/>
        <v>2.0771632952163093</v>
      </c>
      <c r="K132" s="154">
        <f t="shared" si="61"/>
        <v>2.073095226335542</v>
      </c>
      <c r="L132" s="154">
        <f t="shared" si="62"/>
        <v>0.00045657096939147324</v>
      </c>
      <c r="M132" s="154">
        <f t="shared" si="63"/>
        <v>0.5213675213675214</v>
      </c>
      <c r="N132" s="154">
        <f t="shared" si="52"/>
        <v>2.1287593015773996</v>
      </c>
      <c r="O132" s="154">
        <f t="shared" si="64"/>
        <v>0.07325223505585884</v>
      </c>
      <c r="P132" s="154">
        <f t="shared" si="65"/>
        <v>1.1061631683078355</v>
      </c>
      <c r="Q132" s="154">
        <f t="shared" si="66"/>
        <v>0.9786388369069438</v>
      </c>
      <c r="R132" s="154">
        <f t="shared" si="67"/>
        <v>0.06779950800763512</v>
      </c>
      <c r="S132" s="154">
        <f t="shared" si="68"/>
        <v>0.7603833865814694</v>
      </c>
      <c r="T132" s="154">
        <f t="shared" si="53"/>
        <v>2.0946147000178343</v>
      </c>
      <c r="U132" s="154">
        <f t="shared" si="69"/>
        <v>1.3018303857245446</v>
      </c>
      <c r="V132" s="154">
        <f t="shared" si="70"/>
        <v>4.43609603795875</v>
      </c>
      <c r="W132" s="154">
        <f t="shared" si="54"/>
        <v>2.0946147000178343</v>
      </c>
      <c r="X132" s="163">
        <f t="shared" si="71"/>
        <v>5.420528064346914</v>
      </c>
      <c r="Y132" s="165">
        <f t="shared" si="72"/>
        <v>-0.07664626682986535</v>
      </c>
      <c r="Z132" s="166">
        <f t="shared" si="73"/>
        <v>5.377176248399149</v>
      </c>
    </row>
    <row r="133" spans="7:26" ht="12.75">
      <c r="G133" s="153">
        <f aca="true" t="shared" si="76" ref="G133:G144">G132+1</f>
        <v>302</v>
      </c>
      <c r="H133" s="153">
        <f t="shared" si="58"/>
        <v>0.16853434275063114</v>
      </c>
      <c r="I133" s="153">
        <f t="shared" si="59"/>
        <v>3.575405162683663</v>
      </c>
      <c r="J133" s="153">
        <f t="shared" si="60"/>
        <v>2.0634433683471136</v>
      </c>
      <c r="K133" s="153">
        <f t="shared" si="61"/>
        <v>2.059375567158573</v>
      </c>
      <c r="L133" s="153">
        <f t="shared" si="62"/>
        <v>0.00045657096939147324</v>
      </c>
      <c r="M133" s="153">
        <f t="shared" si="63"/>
        <v>0.5213675213675214</v>
      </c>
      <c r="N133" s="153">
        <f t="shared" si="52"/>
        <v>2.1252106042909853</v>
      </c>
      <c r="O133" s="153">
        <f t="shared" si="64"/>
        <v>0.07325223505585884</v>
      </c>
      <c r="P133" s="153">
        <f t="shared" si="65"/>
        <v>1.091824445672844</v>
      </c>
      <c r="Q133" s="153">
        <f t="shared" si="66"/>
        <v>0.9718009237069206</v>
      </c>
      <c r="R133" s="153">
        <f t="shared" si="67"/>
        <v>0.06779950800763512</v>
      </c>
      <c r="S133" s="153">
        <f t="shared" si="68"/>
        <v>0.7603833865814694</v>
      </c>
      <c r="T133" s="153">
        <f t="shared" si="53"/>
        <v>2.091947000955415</v>
      </c>
      <c r="U133" s="153">
        <f t="shared" si="69"/>
        <v>1.2991753182221455</v>
      </c>
      <c r="V133" s="153">
        <f t="shared" si="70"/>
        <v>4.43609603795875</v>
      </c>
      <c r="W133" s="153">
        <f t="shared" si="54"/>
        <v>2.091947000955415</v>
      </c>
      <c r="X133" s="163">
        <f t="shared" si="71"/>
        <v>5.402579295921924</v>
      </c>
      <c r="Y133" s="163">
        <f t="shared" si="72"/>
        <v>-0.076392471244336</v>
      </c>
      <c r="Z133" s="164">
        <f t="shared" si="73"/>
        <v>5.375711535588505</v>
      </c>
    </row>
    <row r="134" spans="7:26" ht="12.75">
      <c r="G134" s="154">
        <f t="shared" si="76"/>
        <v>303</v>
      </c>
      <c r="H134" s="154">
        <f t="shared" si="58"/>
        <v>0.16742374055080178</v>
      </c>
      <c r="I134" s="154">
        <f t="shared" si="59"/>
        <v>3.565255310661605</v>
      </c>
      <c r="J134" s="154">
        <f t="shared" si="60"/>
        <v>2.04985905805426</v>
      </c>
      <c r="K134" s="154">
        <f t="shared" si="61"/>
        <v>2.045791521911904</v>
      </c>
      <c r="L134" s="154">
        <f t="shared" si="62"/>
        <v>0.00045657096939147324</v>
      </c>
      <c r="M134" s="154">
        <f t="shared" si="63"/>
        <v>0.5213675213675214</v>
      </c>
      <c r="N134" s="154">
        <f t="shared" si="52"/>
        <v>2.121681441062596</v>
      </c>
      <c r="O134" s="154">
        <f t="shared" si="64"/>
        <v>0.07325223505585884</v>
      </c>
      <c r="P134" s="154">
        <f t="shared" si="65"/>
        <v>1.0777195883412027</v>
      </c>
      <c r="Q134" s="154">
        <f t="shared" si="66"/>
        <v>0.9650306008363762</v>
      </c>
      <c r="R134" s="154">
        <f t="shared" si="67"/>
        <v>0.06779950800763512</v>
      </c>
      <c r="S134" s="154">
        <f t="shared" si="68"/>
        <v>0.7603833865814694</v>
      </c>
      <c r="T134" s="154">
        <f t="shared" si="53"/>
        <v>2.08929467581013</v>
      </c>
      <c r="U134" s="154">
        <f t="shared" si="69"/>
        <v>1.2965377759177819</v>
      </c>
      <c r="V134" s="154">
        <f t="shared" si="70"/>
        <v>4.43609603795875</v>
      </c>
      <c r="W134" s="154">
        <f t="shared" si="54"/>
        <v>2.08929467581013</v>
      </c>
      <c r="X134" s="163">
        <f t="shared" si="71"/>
        <v>5.384749001215911</v>
      </c>
      <c r="Y134" s="165">
        <f t="shared" si="72"/>
        <v>-0.07614035087719298</v>
      </c>
      <c r="Z134" s="166">
        <f t="shared" si="73"/>
        <v>5.37426039493074</v>
      </c>
    </row>
    <row r="135" spans="7:26" ht="12.75">
      <c r="G135" s="153">
        <f t="shared" si="76"/>
        <v>304</v>
      </c>
      <c r="H135" s="153">
        <f aca="true" t="shared" si="77" ref="H135:H166">(Iout*(Vout_nom^2)*2.5*Rsense*K_1)/(eff*(G135^2)*K_FQ)*us</f>
        <v>0.1663240802050355</v>
      </c>
      <c r="I135" s="153">
        <f aca="true" t="shared" si="78" ref="I135:I166">(1*10^-9*(5*10^8*SQRT(fsw*kHz)+(1.09655978*10^10)*SQRT(ftyp)*SQRT(H135)))/SQRT(fsw*kHz)</f>
        <v>3.555172233981797</v>
      </c>
      <c r="J135" s="153">
        <f aca="true" t="shared" si="79" ref="J135:J166">(b_1^3/(27*a_1^3))-(d_1^3/27)+SQRT((ftyp)^2*H135^2/(4*a_1^2*c_1^2*(fsw*kHz)^2))+(b_1^3*(ftyp)*H135/(27*a_1^4*c_1*(fsw*kHz))-(d_1^3*(ftyp)*H135/(27*a_1*c_1*(fsw*kHz)))+(b_1*d_1^2*(ftyp)*H135/(9*a_1^2*c_1*(fsw*kHz)))-(b_1^2*d_1*(ftyp)*H135/(9*a_1^3*c_1*(fsw*kHz))))</f>
        <v>2.0364085828472676</v>
      </c>
      <c r="K135" s="153">
        <f aca="true" t="shared" si="80" ref="K135:K166">(b_1*d_1^2/(9*a_1))-(b_1^2*d_1/(9*a_1^2))+(ftyp*H135/(2*a_1*c_1*fsw*kHz))</f>
        <v>2.032341309139812</v>
      </c>
      <c r="L135" s="153">
        <f aca="true" t="shared" si="81" ref="L135:L166">(d_1^2/9)+(b_1^2/(9*a_1^2))-(2*b_1*d_1/(9*a_1))</f>
        <v>0.00045657096939147324</v>
      </c>
      <c r="M135" s="153">
        <f aca="true" t="shared" si="82" ref="M135:M166">((b_1*c_1*fsw*kHz)+(2*a_1*c_1*d_1*fsw*kHz))/(3*a_1*c_1*fsw*kHz)</f>
        <v>0.5213675213675214</v>
      </c>
      <c r="N135" s="153">
        <f t="shared" si="52"/>
        <v>2.1181716404428124</v>
      </c>
      <c r="O135" s="153">
        <f aca="true" t="shared" si="83" ref="O135:O166">(b_2^3/(27*a_2^3))-(d_2^3/27)</f>
        <v>0.07325223505585884</v>
      </c>
      <c r="P135" s="153">
        <f aca="true" t="shared" si="84" ref="P135:P166">(ftyp^2*H135^2/(4*a_2^2*c_2^2*(fsw*kHz)^2))+(b_2^3*ftyp*H135/(27*a_2^4*c_2*(fsw*kHz)))-(d_2^3*ftyp*H135/(27*a_2*c_2*(fsw*kHz)))+(b_2*d_2^2*ftyp*H135/(9*a_2^2*c_2*(fsw*kHz)))-(b_2^2*d_2*ftyp*H135/(9*a_2^3*c_2*(fsw*kHz)))</f>
        <v>1.063844018820592</v>
      </c>
      <c r="Q135" s="153">
        <f aca="true" t="shared" si="85" ref="Q135:Q166">(b_2*d_2^2/(9*a_2))-(b_2^2*d_2/(9*a_2^2))+(ftyp*H135/(2*a_2*c_2*(fsw*kHz)))</f>
        <v>0.9583269804132252</v>
      </c>
      <c r="R135" s="153">
        <f aca="true" t="shared" si="86" ref="R135:R166">(d_2^2/9)+(b_2^2/(9*a_2^2))-(2*b_2*d_2/(9*a_2))</f>
        <v>0.06779950800763512</v>
      </c>
      <c r="S135" s="153">
        <f aca="true" t="shared" si="87" ref="S135:S166">(b_2*c_2*(fsw*kHz)+2*a_2*c_2*d_2*(fsw*kHz))/(3*a_2*c_2*(fsw*kHz))</f>
        <v>0.7603833865814694</v>
      </c>
      <c r="T135" s="153">
        <f t="shared" si="53"/>
        <v>2.0866575890887833</v>
      </c>
      <c r="U135" s="153">
        <f aca="true" t="shared" si="88" ref="U135:U166">c_3+(SQRT(ftyp)*SQRT(H135)/(SQRT(a_3)*SQRT(b_3)*SQRT(fsw*kHz)))</f>
        <v>1.2939175858654208</v>
      </c>
      <c r="V135" s="153">
        <f aca="true" t="shared" si="89" ref="V135:V166">(a_4*(fsw*kHz)*b_4/ftyp)</f>
        <v>4.43609603795875</v>
      </c>
      <c r="W135" s="153">
        <f t="shared" si="54"/>
        <v>2.0866575890887833</v>
      </c>
      <c r="X135" s="163">
        <f aca="true" t="shared" si="90" ref="X135:X166">Pin_max/G135</f>
        <v>5.367036011080333</v>
      </c>
      <c r="Y135" s="163">
        <f aca="true" t="shared" si="91" ref="Y135:Y166">-X135*Rsense*1.414</f>
        <v>-0.07588988919667591</v>
      </c>
      <c r="Z135" s="164">
        <f aca="true" t="shared" si="92" ref="Z135:Z166">MIN(6,MAX(0.5,Beta*G*($Y135-Voff_trim)/(MAX(0,MIN(4.5,W135)-Alpha1_A)+MAX(0,MIN(4.5,W135)-Alpha1_B)-Alpha1_C)+Alpha2))</f>
        <v>5.372822715063731</v>
      </c>
    </row>
    <row r="136" spans="7:26" ht="12.75">
      <c r="G136" s="154">
        <f t="shared" si="76"/>
        <v>305</v>
      </c>
      <c r="H136" s="154">
        <f t="shared" si="77"/>
        <v>0.16523521844911115</v>
      </c>
      <c r="I136" s="154">
        <f t="shared" si="78"/>
        <v>3.5451552758375944</v>
      </c>
      <c r="J136" s="154">
        <f t="shared" si="79"/>
        <v>2.0230901903924625</v>
      </c>
      <c r="K136" s="154">
        <f t="shared" si="80"/>
        <v>2.019023176542815</v>
      </c>
      <c r="L136" s="154">
        <f t="shared" si="81"/>
        <v>0.00045657096939147324</v>
      </c>
      <c r="M136" s="154">
        <f t="shared" si="82"/>
        <v>0.5213675213675214</v>
      </c>
      <c r="N136" s="154">
        <f aca="true" t="shared" si="93" ref="N136:N187">(J136+K136)^(1/3)+(L136/(J136^(1/3)))+M136</f>
        <v>2.1146810330445023</v>
      </c>
      <c r="O136" s="154">
        <f t="shared" si="83"/>
        <v>0.07325223505585884</v>
      </c>
      <c r="P136" s="154">
        <f t="shared" si="84"/>
        <v>1.0501932639566218</v>
      </c>
      <c r="Q136" s="154">
        <f t="shared" si="85"/>
        <v>0.9516891890869262</v>
      </c>
      <c r="R136" s="154">
        <f t="shared" si="86"/>
        <v>0.06779950800763512</v>
      </c>
      <c r="S136" s="154">
        <f t="shared" si="87"/>
        <v>0.7603833865814694</v>
      </c>
      <c r="T136" s="154">
        <f aca="true" t="shared" si="94" ref="T136:T187">((O136+SQRT(P136)+Q136)^(1/3))+(R136/((O136+SQRT(P136)+Q136)^(1/3)))+S136</f>
        <v>2.0840356069294033</v>
      </c>
      <c r="U136" s="154">
        <f t="shared" si="88"/>
        <v>1.2913145773871735</v>
      </c>
      <c r="V136" s="154">
        <f t="shared" si="89"/>
        <v>4.43609603795875</v>
      </c>
      <c r="W136" s="154">
        <f aca="true" t="shared" si="95" ref="W136:W187">IF(I136&gt;=0.5,IF(I136&lt;1,I136,IF(N136&gt;=1,IF(N136&lt;2,N136,IF(T136&gt;=2,IF(T136&lt;4.5,T136,IF(U136&gt;=4.5,IF(U136&lt;4.6,U136,V136))))))))</f>
        <v>2.0840356069294033</v>
      </c>
      <c r="X136" s="163">
        <f t="shared" si="90"/>
        <v>5.349439171699741</v>
      </c>
      <c r="Y136" s="165">
        <f t="shared" si="91"/>
        <v>-0.07564106988783433</v>
      </c>
      <c r="Z136" s="166">
        <f t="shared" si="92"/>
        <v>5.371398385859996</v>
      </c>
    </row>
    <row r="137" spans="7:26" ht="12.75">
      <c r="G137" s="153">
        <f t="shared" si="76"/>
        <v>306</v>
      </c>
      <c r="H137" s="153">
        <f t="shared" si="77"/>
        <v>0.16415701435589478</v>
      </c>
      <c r="I137" s="153">
        <f t="shared" si="78"/>
        <v>3.53520378800806</v>
      </c>
      <c r="J137" s="153">
        <f t="shared" si="79"/>
        <v>2.0099021569422075</v>
      </c>
      <c r="K137" s="153">
        <f t="shared" si="80"/>
        <v>2.005835400406908</v>
      </c>
      <c r="L137" s="153">
        <f t="shared" si="81"/>
        <v>0.00045657096939147324</v>
      </c>
      <c r="M137" s="153">
        <f t="shared" si="82"/>
        <v>0.5213675213675214</v>
      </c>
      <c r="N137" s="153">
        <f t="shared" si="93"/>
        <v>2.1112094515113498</v>
      </c>
      <c r="O137" s="153">
        <f t="shared" si="83"/>
        <v>0.07325223505585884</v>
      </c>
      <c r="P137" s="153">
        <f t="shared" si="84"/>
        <v>1.0367629522217139</v>
      </c>
      <c r="Q137" s="153">
        <f t="shared" si="85"/>
        <v>0.9451163677540141</v>
      </c>
      <c r="R137" s="153">
        <f t="shared" si="86"/>
        <v>0.06779950800763512</v>
      </c>
      <c r="S137" s="153">
        <f t="shared" si="87"/>
        <v>0.7603833865814694</v>
      </c>
      <c r="T137" s="153">
        <f t="shared" si="94"/>
        <v>2.0814285970763344</v>
      </c>
      <c r="U137" s="153">
        <f t="shared" si="88"/>
        <v>1.288728582036235</v>
      </c>
      <c r="V137" s="153">
        <f t="shared" si="89"/>
        <v>4.43609603795875</v>
      </c>
      <c r="W137" s="153">
        <f t="shared" si="95"/>
        <v>2.0814285970763344</v>
      </c>
      <c r="X137" s="163">
        <f t="shared" si="90"/>
        <v>5.331957344341245</v>
      </c>
      <c r="Y137" s="163">
        <f t="shared" si="91"/>
        <v>-0.0753938768489852</v>
      </c>
      <c r="Z137" s="164">
        <f t="shared" si="92"/>
        <v>5.369987298408918</v>
      </c>
    </row>
    <row r="138" spans="7:26" ht="12.75">
      <c r="G138" s="154">
        <f t="shared" si="76"/>
        <v>307</v>
      </c>
      <c r="H138" s="154">
        <f t="shared" si="77"/>
        <v>0.1630893292897385</v>
      </c>
      <c r="I138" s="154">
        <f t="shared" si="78"/>
        <v>3.525317130718131</v>
      </c>
      <c r="J138" s="154">
        <f t="shared" si="79"/>
        <v>1.9968427867771372</v>
      </c>
      <c r="K138" s="154">
        <f t="shared" si="80"/>
        <v>1.9927762850458102</v>
      </c>
      <c r="L138" s="154">
        <f t="shared" si="81"/>
        <v>0.00045657096939147324</v>
      </c>
      <c r="M138" s="154">
        <f t="shared" si="82"/>
        <v>0.5213675213675214</v>
      </c>
      <c r="N138" s="154">
        <f t="shared" si="93"/>
        <v>2.1077567304869738</v>
      </c>
      <c r="O138" s="154">
        <f t="shared" si="83"/>
        <v>0.07325223505585884</v>
      </c>
      <c r="P138" s="154">
        <f t="shared" si="84"/>
        <v>1.023548811083022</v>
      </c>
      <c r="Q138" s="154">
        <f t="shared" si="85"/>
        <v>0.9386076712801124</v>
      </c>
      <c r="R138" s="154">
        <f t="shared" si="86"/>
        <v>0.06779950800763512</v>
      </c>
      <c r="S138" s="154">
        <f t="shared" si="87"/>
        <v>0.7603833865814694</v>
      </c>
      <c r="T138" s="154">
        <f t="shared" si="94"/>
        <v>2.078836428855794</v>
      </c>
      <c r="U138" s="154">
        <f t="shared" si="88"/>
        <v>1.286159433560547</v>
      </c>
      <c r="V138" s="154">
        <f t="shared" si="89"/>
        <v>4.43609603795875</v>
      </c>
      <c r="W138" s="154">
        <f t="shared" si="95"/>
        <v>2.078836428855794</v>
      </c>
      <c r="X138" s="163">
        <f t="shared" si="90"/>
        <v>5.314589405108864</v>
      </c>
      <c r="Y138" s="165">
        <f t="shared" si="91"/>
        <v>-0.07514829418823933</v>
      </c>
      <c r="Z138" s="166">
        <f t="shared" si="92"/>
        <v>5.368589344999243</v>
      </c>
    </row>
    <row r="139" spans="7:26" ht="12.75">
      <c r="G139" s="153">
        <f t="shared" si="76"/>
        <v>308</v>
      </c>
      <c r="H139" s="153">
        <f t="shared" si="77"/>
        <v>0.1620320268619135</v>
      </c>
      <c r="I139" s="153">
        <f t="shared" si="78"/>
        <v>3.515494672501514</v>
      </c>
      <c r="J139" s="153">
        <f t="shared" si="79"/>
        <v>1.983910411661035</v>
      </c>
      <c r="K139" s="153">
        <f t="shared" si="80"/>
        <v>1.9798441622558547</v>
      </c>
      <c r="L139" s="153">
        <f t="shared" si="81"/>
        <v>0.00045657096939147324</v>
      </c>
      <c r="M139" s="153">
        <f t="shared" si="82"/>
        <v>0.5213675213675214</v>
      </c>
      <c r="N139" s="153">
        <f t="shared" si="93"/>
        <v>2.1043227065846035</v>
      </c>
      <c r="O139" s="153">
        <f t="shared" si="83"/>
        <v>0.07325223505585884</v>
      </c>
      <c r="P139" s="153">
        <f t="shared" si="84"/>
        <v>1.0105466644468115</v>
      </c>
      <c r="Q139" s="153">
        <f t="shared" si="85"/>
        <v>0.9321622682282495</v>
      </c>
      <c r="R139" s="153">
        <f t="shared" si="86"/>
        <v>0.06779950800763512</v>
      </c>
      <c r="S139" s="153">
        <f t="shared" si="87"/>
        <v>0.7603833865814694</v>
      </c>
      <c r="T139" s="153">
        <f t="shared" si="94"/>
        <v>2.076258973151874</v>
      </c>
      <c r="U139" s="153">
        <f t="shared" si="88"/>
        <v>1.2836069678671684</v>
      </c>
      <c r="V139" s="153">
        <f t="shared" si="89"/>
        <v>4.43609603795875</v>
      </c>
      <c r="W139" s="153">
        <f t="shared" si="95"/>
        <v>2.076258973151874</v>
      </c>
      <c r="X139" s="163">
        <f t="shared" si="90"/>
        <v>5.2973342447026655</v>
      </c>
      <c r="Y139" s="163">
        <f t="shared" si="91"/>
        <v>-0.0749043062200957</v>
      </c>
      <c r="Z139" s="164">
        <f t="shared" si="92"/>
        <v>5.367204419101919</v>
      </c>
    </row>
    <row r="140" spans="7:26" ht="12.75">
      <c r="G140" s="154">
        <f t="shared" si="76"/>
        <v>309</v>
      </c>
      <c r="H140" s="154">
        <f t="shared" si="77"/>
        <v>0.16098497288705152</v>
      </c>
      <c r="I140" s="154">
        <f t="shared" si="78"/>
        <v>3.5057357900662347</v>
      </c>
      <c r="J140" s="154">
        <f t="shared" si="79"/>
        <v>1.9711033903080462</v>
      </c>
      <c r="K140" s="154">
        <f t="shared" si="80"/>
        <v>1.9670373907832106</v>
      </c>
      <c r="L140" s="154">
        <f t="shared" si="81"/>
        <v>0.00045657096939147324</v>
      </c>
      <c r="M140" s="154">
        <f t="shared" si="82"/>
        <v>0.5213675213675214</v>
      </c>
      <c r="N140" s="154">
        <f t="shared" si="93"/>
        <v>2.1009072183573205</v>
      </c>
      <c r="O140" s="154">
        <f t="shared" si="83"/>
        <v>0.07325223505585884</v>
      </c>
      <c r="P140" s="154">
        <f t="shared" si="84"/>
        <v>0.9977524301768654</v>
      </c>
      <c r="Q140" s="154">
        <f t="shared" si="85"/>
        <v>0.9257793405933215</v>
      </c>
      <c r="R140" s="154">
        <f t="shared" si="86"/>
        <v>0.06779950800763512</v>
      </c>
      <c r="S140" s="154">
        <f t="shared" si="87"/>
        <v>0.7603833865814694</v>
      </c>
      <c r="T140" s="154">
        <f t="shared" si="94"/>
        <v>2.0736961023829896</v>
      </c>
      <c r="U140" s="154">
        <f t="shared" si="88"/>
        <v>1.2810710229873394</v>
      </c>
      <c r="V140" s="154">
        <f t="shared" si="89"/>
        <v>4.43609603795875</v>
      </c>
      <c r="W140" s="154">
        <f t="shared" si="95"/>
        <v>2.0736961023829896</v>
      </c>
      <c r="X140" s="163">
        <f t="shared" si="90"/>
        <v>5.280190768182592</v>
      </c>
      <c r="Y140" s="165">
        <f t="shared" si="91"/>
        <v>-0.07466189746210185</v>
      </c>
      <c r="Z140" s="166">
        <f t="shared" si="92"/>
        <v>5.3658324153532115</v>
      </c>
    </row>
    <row r="141" spans="7:26" ht="12.75">
      <c r="G141" s="153">
        <f t="shared" si="76"/>
        <v>310</v>
      </c>
      <c r="H141" s="153">
        <f t="shared" si="77"/>
        <v>0.15994803534056776</v>
      </c>
      <c r="I141" s="153">
        <f t="shared" si="78"/>
        <v>3.496039868162794</v>
      </c>
      <c r="J141" s="153">
        <f t="shared" si="79"/>
        <v>1.9584201078619012</v>
      </c>
      <c r="K141" s="153">
        <f t="shared" si="80"/>
        <v>1.954354355803116</v>
      </c>
      <c r="L141" s="153">
        <f t="shared" si="81"/>
        <v>0.00045657096939147324</v>
      </c>
      <c r="M141" s="153">
        <f t="shared" si="82"/>
        <v>0.5213675213675214</v>
      </c>
      <c r="N141" s="153">
        <f t="shared" si="93"/>
        <v>2.097510106268837</v>
      </c>
      <c r="O141" s="153">
        <f t="shared" si="83"/>
        <v>0.07325223505585884</v>
      </c>
      <c r="P141" s="153">
        <f t="shared" si="84"/>
        <v>0.9851621176845149</v>
      </c>
      <c r="Q141" s="153">
        <f t="shared" si="85"/>
        <v>0.9194580835425396</v>
      </c>
      <c r="R141" s="153">
        <f t="shared" si="86"/>
        <v>0.06779950800763512</v>
      </c>
      <c r="S141" s="153">
        <f t="shared" si="87"/>
        <v>0.7603833865814694</v>
      </c>
      <c r="T141" s="153">
        <f t="shared" si="94"/>
        <v>2.0711476904787522</v>
      </c>
      <c r="U141" s="153">
        <f t="shared" si="88"/>
        <v>1.2785514390422192</v>
      </c>
      <c r="V141" s="153">
        <f t="shared" si="89"/>
        <v>4.43609603795875</v>
      </c>
      <c r="W141" s="153">
        <f t="shared" si="95"/>
        <v>2.0711476904787522</v>
      </c>
      <c r="X141" s="163">
        <f t="shared" si="90"/>
        <v>5.2631578947368425</v>
      </c>
      <c r="Y141" s="163">
        <f t="shared" si="91"/>
        <v>-0.07442105263157894</v>
      </c>
      <c r="Z141" s="164">
        <f t="shared" si="92"/>
        <v>5.364473229538142</v>
      </c>
    </row>
    <row r="142" spans="7:26" ht="12.75">
      <c r="G142" s="154">
        <f t="shared" si="76"/>
        <v>311</v>
      </c>
      <c r="H142" s="154">
        <f t="shared" si="77"/>
        <v>0.1589210843170414</v>
      </c>
      <c r="I142" s="154">
        <f t="shared" si="78"/>
        <v>3.4864062994548752</v>
      </c>
      <c r="J142" s="154">
        <f t="shared" si="79"/>
        <v>1.9458589753868452</v>
      </c>
      <c r="K142" s="154">
        <f t="shared" si="80"/>
        <v>1.9417934684108176</v>
      </c>
      <c r="L142" s="154">
        <f t="shared" si="81"/>
        <v>0.00045657096939147324</v>
      </c>
      <c r="M142" s="154">
        <f t="shared" si="82"/>
        <v>0.5213675213675214</v>
      </c>
      <c r="N142" s="154">
        <f t="shared" si="93"/>
        <v>2.0941312126648146</v>
      </c>
      <c r="O142" s="154">
        <f t="shared" si="83"/>
        <v>0.07325223505585884</v>
      </c>
      <c r="P142" s="154">
        <f t="shared" si="84"/>
        <v>0.9727718255880332</v>
      </c>
      <c r="Q142" s="154">
        <f t="shared" si="85"/>
        <v>0.9131977051617135</v>
      </c>
      <c r="R142" s="154">
        <f t="shared" si="86"/>
        <v>0.06779950800763512</v>
      </c>
      <c r="S142" s="154">
        <f t="shared" si="87"/>
        <v>0.7603833865814694</v>
      </c>
      <c r="T142" s="154">
        <f t="shared" si="94"/>
        <v>2.0686136128572676</v>
      </c>
      <c r="U142" s="154">
        <f t="shared" si="88"/>
        <v>1.276048058209286</v>
      </c>
      <c r="V142" s="154">
        <f t="shared" si="89"/>
        <v>4.43609603795875</v>
      </c>
      <c r="W142" s="154">
        <f t="shared" si="95"/>
        <v>2.0686136128572676</v>
      </c>
      <c r="X142" s="163">
        <f t="shared" si="90"/>
        <v>5.24623455745473</v>
      </c>
      <c r="Y142" s="165">
        <f t="shared" si="91"/>
        <v>-0.07418175664240988</v>
      </c>
      <c r="Z142" s="166">
        <f t="shared" si="92"/>
        <v>5.363126758574178</v>
      </c>
    </row>
    <row r="143" spans="7:26" ht="12.75">
      <c r="G143" s="153">
        <f t="shared" si="76"/>
        <v>312</v>
      </c>
      <c r="H143" s="153">
        <f t="shared" si="77"/>
        <v>0.15790399198952748</v>
      </c>
      <c r="I143" s="153">
        <f t="shared" si="78"/>
        <v>3.4768344843925205</v>
      </c>
      <c r="J143" s="153">
        <f t="shared" si="79"/>
        <v>1.933418429369961</v>
      </c>
      <c r="K143" s="153">
        <f t="shared" si="80"/>
        <v>1.9293531651239049</v>
      </c>
      <c r="L143" s="153">
        <f t="shared" si="81"/>
        <v>0.00045657096939147324</v>
      </c>
      <c r="M143" s="153">
        <f t="shared" si="82"/>
        <v>0.5213675213675214</v>
      </c>
      <c r="N143" s="153">
        <f t="shared" si="93"/>
        <v>2.0907703817446976</v>
      </c>
      <c r="O143" s="153">
        <f t="shared" si="83"/>
        <v>0.07325223505585884</v>
      </c>
      <c r="P143" s="153">
        <f t="shared" si="84"/>
        <v>0.9605777394391501</v>
      </c>
      <c r="Q143" s="153">
        <f t="shared" si="85"/>
        <v>0.9069974262072139</v>
      </c>
      <c r="R143" s="153">
        <f t="shared" si="86"/>
        <v>0.06779950800763512</v>
      </c>
      <c r="S143" s="153">
        <f t="shared" si="87"/>
        <v>0.7603833865814694</v>
      </c>
      <c r="T143" s="153">
        <f t="shared" si="94"/>
        <v>2.066093746402849</v>
      </c>
      <c r="U143" s="153">
        <f t="shared" si="88"/>
        <v>1.2735607246893843</v>
      </c>
      <c r="V143" s="153">
        <f t="shared" si="89"/>
        <v>4.43609603795875</v>
      </c>
      <c r="W143" s="153">
        <f t="shared" si="95"/>
        <v>2.066093746402849</v>
      </c>
      <c r="X143" s="163">
        <f t="shared" si="90"/>
        <v>5.229419703103914</v>
      </c>
      <c r="Y143" s="163">
        <f t="shared" si="91"/>
        <v>-0.07394399460188933</v>
      </c>
      <c r="Z143" s="164">
        <f t="shared" si="92"/>
        <v>5.361792900495226</v>
      </c>
    </row>
    <row r="144" spans="7:26" ht="12.75">
      <c r="G144" s="154">
        <f t="shared" si="76"/>
        <v>313</v>
      </c>
      <c r="H144" s="154">
        <f t="shared" si="77"/>
        <v>0.1568966325697778</v>
      </c>
      <c r="I144" s="154">
        <f t="shared" si="78"/>
        <v>3.467323831087751</v>
      </c>
      <c r="J144" s="154">
        <f t="shared" si="79"/>
        <v>1.921096931234615</v>
      </c>
      <c r="K144" s="154">
        <f t="shared" si="80"/>
        <v>1.9170319073957633</v>
      </c>
      <c r="L144" s="154">
        <f t="shared" si="81"/>
        <v>0.00045657096939147324</v>
      </c>
      <c r="M144" s="154">
        <f t="shared" si="82"/>
        <v>0.5213675213675214</v>
      </c>
      <c r="N144" s="154">
        <f t="shared" si="93"/>
        <v>2.0874274595340587</v>
      </c>
      <c r="O144" s="154">
        <f t="shared" si="83"/>
        <v>0.07325223505585884</v>
      </c>
      <c r="P144" s="154">
        <f t="shared" si="84"/>
        <v>0.9485761295145784</v>
      </c>
      <c r="Q144" s="154">
        <f t="shared" si="85"/>
        <v>0.9008564798634756</v>
      </c>
      <c r="R144" s="154">
        <f t="shared" si="86"/>
        <v>0.06779950800763512</v>
      </c>
      <c r="S144" s="154">
        <f t="shared" si="87"/>
        <v>0.7603833865814694</v>
      </c>
      <c r="T144" s="154">
        <f t="shared" si="94"/>
        <v>2.0635879694441264</v>
      </c>
      <c r="U144" s="154">
        <f t="shared" si="88"/>
        <v>1.2710892846744022</v>
      </c>
      <c r="V144" s="154">
        <f t="shared" si="89"/>
        <v>4.43609603795875</v>
      </c>
      <c r="W144" s="154">
        <f t="shared" si="95"/>
        <v>2.0635879694441264</v>
      </c>
      <c r="X144" s="163">
        <f t="shared" si="90"/>
        <v>5.212712291911888</v>
      </c>
      <c r="Y144" s="165">
        <f t="shared" si="91"/>
        <v>-0.0737077518076341</v>
      </c>
      <c r="Z144" s="166">
        <f t="shared" si="92"/>
        <v>5.360471554435915</v>
      </c>
    </row>
    <row r="145" spans="7:26" ht="12.75">
      <c r="G145" s="153">
        <f>G144+1</f>
        <v>314</v>
      </c>
      <c r="H145" s="153">
        <f t="shared" si="77"/>
        <v>0.15589888226934728</v>
      </c>
      <c r="I145" s="153">
        <f t="shared" si="78"/>
        <v>3.4578737551925687</v>
      </c>
      <c r="J145" s="153">
        <f t="shared" si="79"/>
        <v>1.9088929668647276</v>
      </c>
      <c r="K145" s="153">
        <f t="shared" si="80"/>
        <v>1.904828181139856</v>
      </c>
      <c r="L145" s="153">
        <f t="shared" si="81"/>
        <v>0.00045657096939147324</v>
      </c>
      <c r="M145" s="153">
        <f t="shared" si="82"/>
        <v>0.5213675213675214</v>
      </c>
      <c r="N145" s="153">
        <f t="shared" si="93"/>
        <v>2.0841022938574483</v>
      </c>
      <c r="O145" s="153">
        <f t="shared" si="83"/>
        <v>0.07325223505585884</v>
      </c>
      <c r="P145" s="153">
        <f t="shared" si="84"/>
        <v>0.9367633486704854</v>
      </c>
      <c r="Q145" s="153">
        <f t="shared" si="85"/>
        <v>0.8947741115058988</v>
      </c>
      <c r="R145" s="153">
        <f t="shared" si="86"/>
        <v>0.06779950800763512</v>
      </c>
      <c r="S145" s="153">
        <f t="shared" si="87"/>
        <v>0.7603833865814694</v>
      </c>
      <c r="T145" s="153">
        <f t="shared" si="94"/>
        <v>2.0610961617325616</v>
      </c>
      <c r="U145" s="153">
        <f t="shared" si="88"/>
        <v>1.2686335863155667</v>
      </c>
      <c r="V145" s="153">
        <f t="shared" si="89"/>
        <v>4.43609603795875</v>
      </c>
      <c r="W145" s="153">
        <f t="shared" si="95"/>
        <v>2.0610961617325616</v>
      </c>
      <c r="X145" s="163">
        <f t="shared" si="90"/>
        <v>5.196111297351659</v>
      </c>
      <c r="Y145" s="163">
        <f t="shared" si="91"/>
        <v>-0.07347301374455245</v>
      </c>
      <c r="Z145" s="164">
        <f t="shared" si="92"/>
        <v>5.359162620616107</v>
      </c>
    </row>
    <row r="146" spans="7:26" ht="12.75">
      <c r="G146" s="154">
        <f aca="true" t="shared" si="96" ref="G146:G153">G145+1</f>
        <v>315</v>
      </c>
      <c r="H146" s="154">
        <f t="shared" si="77"/>
        <v>0.15491061926156274</v>
      </c>
      <c r="I146" s="154">
        <f t="shared" si="78"/>
        <v>3.448483679779258</v>
      </c>
      <c r="J146" s="154">
        <f t="shared" si="79"/>
        <v>1.8968050461395962</v>
      </c>
      <c r="K146" s="154">
        <f t="shared" si="80"/>
        <v>1.8927404962645538</v>
      </c>
      <c r="L146" s="154">
        <f t="shared" si="81"/>
        <v>0.00045657096939147324</v>
      </c>
      <c r="M146" s="154">
        <f t="shared" si="82"/>
        <v>0.5213675213675214</v>
      </c>
      <c r="N146" s="154">
        <f t="shared" si="93"/>
        <v>2.0807947343117235</v>
      </c>
      <c r="O146" s="154">
        <f t="shared" si="83"/>
        <v>0.07325223505585884</v>
      </c>
      <c r="P146" s="154">
        <f t="shared" si="84"/>
        <v>0.9251358302579119</v>
      </c>
      <c r="Q146" s="154">
        <f t="shared" si="85"/>
        <v>0.8887495784690069</v>
      </c>
      <c r="R146" s="154">
        <f t="shared" si="86"/>
        <v>0.06779950800763512</v>
      </c>
      <c r="S146" s="154">
        <f t="shared" si="87"/>
        <v>0.7603833865814694</v>
      </c>
      <c r="T146" s="154">
        <f t="shared" si="94"/>
        <v>2.0586182044213417</v>
      </c>
      <c r="U146" s="154">
        <f t="shared" si="88"/>
        <v>1.2661934796923426</v>
      </c>
      <c r="V146" s="154">
        <f t="shared" si="89"/>
        <v>4.43609603795875</v>
      </c>
      <c r="W146" s="154">
        <f t="shared" si="95"/>
        <v>2.0586182044213417</v>
      </c>
      <c r="X146" s="163">
        <f t="shared" si="90"/>
        <v>5.179615705931496</v>
      </c>
      <c r="Y146" s="165">
        <f t="shared" si="91"/>
        <v>-0.07323976608187134</v>
      </c>
      <c r="Z146" s="166">
        <f t="shared" si="92"/>
        <v>5.35786600032572</v>
      </c>
    </row>
    <row r="147" spans="7:26" ht="12.75">
      <c r="G147" s="153">
        <f t="shared" si="96"/>
        <v>316</v>
      </c>
      <c r="H147" s="153">
        <f t="shared" si="77"/>
        <v>0.15393172364433347</v>
      </c>
      <c r="I147" s="153">
        <f t="shared" si="78"/>
        <v>3.4391530352229944</v>
      </c>
      <c r="J147" s="153">
        <f t="shared" si="79"/>
        <v>1.8848317024790127</v>
      </c>
      <c r="K147" s="153">
        <f t="shared" si="80"/>
        <v>1.8807673862182634</v>
      </c>
      <c r="L147" s="153">
        <f t="shared" si="81"/>
        <v>0.00045657096939147324</v>
      </c>
      <c r="M147" s="153">
        <f t="shared" si="82"/>
        <v>0.5213675213675214</v>
      </c>
      <c r="N147" s="153">
        <f t="shared" si="93"/>
        <v>2.0775046322398647</v>
      </c>
      <c r="O147" s="153">
        <f t="shared" si="83"/>
        <v>0.07325223505585884</v>
      </c>
      <c r="P147" s="153">
        <f t="shared" si="84"/>
        <v>0.9136900860972411</v>
      </c>
      <c r="Q147" s="153">
        <f t="shared" si="85"/>
        <v>0.8827821498197377</v>
      </c>
      <c r="R147" s="153">
        <f t="shared" si="86"/>
        <v>0.06779950800763512</v>
      </c>
      <c r="S147" s="153">
        <f t="shared" si="87"/>
        <v>0.7603833865814694</v>
      </c>
      <c r="T147" s="153">
        <f t="shared" si="94"/>
        <v>2.0561539800446558</v>
      </c>
      <c r="U147" s="153">
        <f t="shared" si="88"/>
        <v>1.2637688167819237</v>
      </c>
      <c r="V147" s="153">
        <f t="shared" si="89"/>
        <v>4.43609603795875</v>
      </c>
      <c r="W147" s="153">
        <f t="shared" si="95"/>
        <v>2.0561539800446558</v>
      </c>
      <c r="X147" s="163">
        <f t="shared" si="90"/>
        <v>5.163224516988675</v>
      </c>
      <c r="Y147" s="163">
        <f t="shared" si="91"/>
        <v>-0.07300799467021986</v>
      </c>
      <c r="Z147" s="164">
        <f t="shared" si="92"/>
        <v>5.356581595909778</v>
      </c>
    </row>
    <row r="148" spans="7:26" ht="12.75">
      <c r="G148" s="154">
        <f t="shared" si="96"/>
        <v>317</v>
      </c>
      <c r="H148" s="154">
        <f t="shared" si="77"/>
        <v>0.15296207740378118</v>
      </c>
      <c r="I148" s="154">
        <f t="shared" si="78"/>
        <v>3.429881259086645</v>
      </c>
      <c r="J148" s="154">
        <f t="shared" si="79"/>
        <v>1.872971492398405</v>
      </c>
      <c r="K148" s="154">
        <f t="shared" si="80"/>
        <v>1.868907407544577</v>
      </c>
      <c r="L148" s="154">
        <f t="shared" si="81"/>
        <v>0.00045657096939147324</v>
      </c>
      <c r="M148" s="154">
        <f t="shared" si="82"/>
        <v>0.5213675213675214</v>
      </c>
      <c r="N148" s="154">
        <f t="shared" si="93"/>
        <v>2.074231840705256</v>
      </c>
      <c r="O148" s="154">
        <f t="shared" si="83"/>
        <v>0.07325223505585884</v>
      </c>
      <c r="P148" s="154">
        <f t="shared" si="84"/>
        <v>0.9024227045098456</v>
      </c>
      <c r="Q148" s="154">
        <f t="shared" si="85"/>
        <v>0.8768711061357277</v>
      </c>
      <c r="R148" s="154">
        <f t="shared" si="86"/>
        <v>0.06779950800763512</v>
      </c>
      <c r="S148" s="154">
        <f t="shared" si="87"/>
        <v>0.7603833865814694</v>
      </c>
      <c r="T148" s="154">
        <f t="shared" si="94"/>
        <v>2.0537033724973397</v>
      </c>
      <c r="U148" s="154">
        <f t="shared" si="88"/>
        <v>1.2613594514292996</v>
      </c>
      <c r="V148" s="154">
        <f t="shared" si="89"/>
        <v>4.43609603795875</v>
      </c>
      <c r="W148" s="154">
        <f t="shared" si="95"/>
        <v>2.0537033724973397</v>
      </c>
      <c r="X148" s="163">
        <f t="shared" si="90"/>
        <v>5.146936742487132</v>
      </c>
      <c r="Y148" s="165">
        <f t="shared" si="91"/>
        <v>-0.07277768553876805</v>
      </c>
      <c r="Z148" s="166">
        <f t="shared" si="92"/>
        <v>5.355309310753734</v>
      </c>
    </row>
    <row r="149" spans="7:26" ht="12.75">
      <c r="G149" s="153">
        <f t="shared" si="96"/>
        <v>318</v>
      </c>
      <c r="H149" s="153">
        <f t="shared" si="77"/>
        <v>0.1520015643786694</v>
      </c>
      <c r="I149" s="153">
        <f t="shared" si="78"/>
        <v>3.420667796007755</v>
      </c>
      <c r="J149" s="153">
        <f t="shared" si="79"/>
        <v>1.861222995073755</v>
      </c>
      <c r="K149" s="153">
        <f t="shared" si="80"/>
        <v>1.8571591394471987</v>
      </c>
      <c r="L149" s="153">
        <f t="shared" si="81"/>
        <v>0.00045657096939147324</v>
      </c>
      <c r="M149" s="153">
        <f t="shared" si="82"/>
        <v>0.5213675213675214</v>
      </c>
      <c r="N149" s="153">
        <f t="shared" si="93"/>
        <v>2.0709762144664214</v>
      </c>
      <c r="O149" s="153">
        <f t="shared" si="83"/>
        <v>0.07325223505585884</v>
      </c>
      <c r="P149" s="153">
        <f t="shared" si="84"/>
        <v>0.8913303484051271</v>
      </c>
      <c r="Q149" s="153">
        <f t="shared" si="85"/>
        <v>0.8710157392884721</v>
      </c>
      <c r="R149" s="153">
        <f t="shared" si="86"/>
        <v>0.06779950800763512</v>
      </c>
      <c r="S149" s="153">
        <f t="shared" si="87"/>
        <v>0.7603833865814694</v>
      </c>
      <c r="T149" s="153">
        <f t="shared" si="94"/>
        <v>2.0512662670148876</v>
      </c>
      <c r="U149" s="153">
        <f t="shared" si="88"/>
        <v>1.2589652393178867</v>
      </c>
      <c r="V149" s="153">
        <f t="shared" si="89"/>
        <v>4.43609603795875</v>
      </c>
      <c r="W149" s="153">
        <f t="shared" si="95"/>
        <v>2.0512662670148876</v>
      </c>
      <c r="X149" s="163">
        <f t="shared" si="90"/>
        <v>5.130751406818934</v>
      </c>
      <c r="Y149" s="163">
        <f t="shared" si="91"/>
        <v>-0.07254882489241972</v>
      </c>
      <c r="Z149" s="164">
        <f t="shared" si="92"/>
        <v>5.354049049269035</v>
      </c>
    </row>
    <row r="150" spans="7:26" ht="12.75">
      <c r="G150" s="154">
        <f t="shared" si="96"/>
        <v>319</v>
      </c>
      <c r="H150" s="154">
        <f t="shared" si="77"/>
        <v>0.1510500702256126</v>
      </c>
      <c r="I150" s="154">
        <f t="shared" si="78"/>
        <v>3.4115120975876687</v>
      </c>
      <c r="J150" s="154">
        <f t="shared" si="79"/>
        <v>1.8495848119160543</v>
      </c>
      <c r="K150" s="154">
        <f t="shared" si="80"/>
        <v>1.8455211833644074</v>
      </c>
      <c r="L150" s="154">
        <f t="shared" si="81"/>
        <v>0.00045657096939147324</v>
      </c>
      <c r="M150" s="154">
        <f t="shared" si="82"/>
        <v>0.5213675213675214</v>
      </c>
      <c r="N150" s="154">
        <f t="shared" si="93"/>
        <v>2.0677376099522204</v>
      </c>
      <c r="O150" s="154">
        <f t="shared" si="83"/>
        <v>0.07325223505585884</v>
      </c>
      <c r="P150" s="154">
        <f t="shared" si="84"/>
        <v>0.8804097534212392</v>
      </c>
      <c r="Q150" s="154">
        <f t="shared" si="85"/>
        <v>0.8652153522312342</v>
      </c>
      <c r="R150" s="154">
        <f t="shared" si="86"/>
        <v>0.06779950800763512</v>
      </c>
      <c r="S150" s="154">
        <f t="shared" si="87"/>
        <v>0.7603833865814694</v>
      </c>
      <c r="T150" s="154">
        <f t="shared" si="94"/>
        <v>2.048842550153814</v>
      </c>
      <c r="U150" s="154">
        <f t="shared" si="88"/>
        <v>1.2565860379407146</v>
      </c>
      <c r="V150" s="154">
        <f t="shared" si="89"/>
        <v>4.43609603795875</v>
      </c>
      <c r="W150" s="154">
        <f t="shared" si="95"/>
        <v>2.048842550153814</v>
      </c>
      <c r="X150" s="163">
        <f t="shared" si="90"/>
        <v>5.11466754660947</v>
      </c>
      <c r="Y150" s="165">
        <f t="shared" si="91"/>
        <v>-0.07232139910905791</v>
      </c>
      <c r="Z150" s="166">
        <f t="shared" si="92"/>
        <v>5.352800716878935</v>
      </c>
    </row>
    <row r="151" spans="7:26" ht="12.75">
      <c r="G151" s="153">
        <f t="shared" si="96"/>
        <v>320</v>
      </c>
      <c r="H151" s="153">
        <f t="shared" si="77"/>
        <v>0.15010748238504457</v>
      </c>
      <c r="I151" s="153">
        <f t="shared" si="78"/>
        <v>3.402413622282707</v>
      </c>
      <c r="J151" s="153">
        <f t="shared" si="79"/>
        <v>1.838055566155048</v>
      </c>
      <c r="K151" s="153">
        <f t="shared" si="80"/>
        <v>1.833992162552812</v>
      </c>
      <c r="L151" s="153">
        <f t="shared" si="81"/>
        <v>0.00045657096939147324</v>
      </c>
      <c r="M151" s="153">
        <f t="shared" si="82"/>
        <v>0.5213675213675214</v>
      </c>
      <c r="N151" s="153">
        <f t="shared" si="93"/>
        <v>2.0645158852374688</v>
      </c>
      <c r="O151" s="153">
        <f t="shared" si="83"/>
        <v>0.07325223505585884</v>
      </c>
      <c r="P151" s="153">
        <f t="shared" si="84"/>
        <v>0.8696577261177965</v>
      </c>
      <c r="Q151" s="153">
        <f t="shared" si="85"/>
        <v>0.8594692587915893</v>
      </c>
      <c r="R151" s="153">
        <f t="shared" si="86"/>
        <v>0.06779950800763512</v>
      </c>
      <c r="S151" s="153">
        <f t="shared" si="87"/>
        <v>0.7603833865814694</v>
      </c>
      <c r="T151" s="153">
        <f t="shared" si="94"/>
        <v>2.0464321097723697</v>
      </c>
      <c r="U151" s="153">
        <f t="shared" si="88"/>
        <v>1.2542217065721497</v>
      </c>
      <c r="V151" s="153">
        <f t="shared" si="89"/>
        <v>4.43609603795875</v>
      </c>
      <c r="W151" s="153">
        <f t="shared" si="95"/>
        <v>2.0464321097723697</v>
      </c>
      <c r="X151" s="163">
        <f t="shared" si="90"/>
        <v>5.098684210526316</v>
      </c>
      <c r="Y151" s="163">
        <f t="shared" si="91"/>
        <v>-0.07209539473684211</v>
      </c>
      <c r="Z151" s="164">
        <f t="shared" si="92"/>
        <v>5.351564220004535</v>
      </c>
    </row>
    <row r="152" spans="7:26" ht="12.75">
      <c r="G152" s="154">
        <f t="shared" si="96"/>
        <v>321</v>
      </c>
      <c r="H152" s="154">
        <f t="shared" si="77"/>
        <v>0.14917369004792813</v>
      </c>
      <c r="I152" s="154">
        <f t="shared" si="78"/>
        <v>3.3933718352974025</v>
      </c>
      <c r="J152" s="154">
        <f t="shared" si="79"/>
        <v>1.8266339024320448</v>
      </c>
      <c r="K152" s="154">
        <f t="shared" si="80"/>
        <v>1.8225707216801645</v>
      </c>
      <c r="L152" s="154">
        <f t="shared" si="81"/>
        <v>0.00045657096939147324</v>
      </c>
      <c r="M152" s="154">
        <f t="shared" si="82"/>
        <v>0.5213675213675214</v>
      </c>
      <c r="N152" s="154">
        <f t="shared" si="93"/>
        <v>2.0613109000190004</v>
      </c>
      <c r="O152" s="154">
        <f t="shared" si="83"/>
        <v>0.07325223505585884</v>
      </c>
      <c r="P152" s="154">
        <f t="shared" si="84"/>
        <v>0.8590711422189818</v>
      </c>
      <c r="Q152" s="154">
        <f t="shared" si="85"/>
        <v>0.8537767834684807</v>
      </c>
      <c r="R152" s="154">
        <f t="shared" si="86"/>
        <v>0.06779950800763512</v>
      </c>
      <c r="S152" s="154">
        <f t="shared" si="87"/>
        <v>0.7603833865814694</v>
      </c>
      <c r="T152" s="154">
        <f t="shared" si="94"/>
        <v>2.044034835011593</v>
      </c>
      <c r="U152" s="154">
        <f t="shared" si="88"/>
        <v>1.2518721062401492</v>
      </c>
      <c r="V152" s="154">
        <f t="shared" si="89"/>
        <v>4.43609603795875</v>
      </c>
      <c r="W152" s="154">
        <f t="shared" si="95"/>
        <v>2.044034835011593</v>
      </c>
      <c r="X152" s="163">
        <f t="shared" si="90"/>
        <v>5.082800459091654</v>
      </c>
      <c r="Y152" s="165">
        <f t="shared" si="91"/>
        <v>-0.07187079849155599</v>
      </c>
      <c r="Z152" s="166">
        <f t="shared" si="92"/>
        <v>5.350339466051072</v>
      </c>
    </row>
    <row r="153" spans="7:26" ht="12.75">
      <c r="G153" s="153">
        <f t="shared" si="96"/>
        <v>322</v>
      </c>
      <c r="H153" s="153">
        <f t="shared" si="77"/>
        <v>0.14824858412318742</v>
      </c>
      <c r="I153" s="153">
        <f t="shared" si="78"/>
        <v>3.384386208479709</v>
      </c>
      <c r="J153" s="153">
        <f t="shared" si="79"/>
        <v>1.815318486401565</v>
      </c>
      <c r="K153" s="153">
        <f t="shared" si="80"/>
        <v>1.8112555264270214</v>
      </c>
      <c r="L153" s="153">
        <f t="shared" si="81"/>
        <v>0.00045657096939147324</v>
      </c>
      <c r="M153" s="153">
        <f t="shared" si="82"/>
        <v>0.5213675213675214</v>
      </c>
      <c r="N153" s="153">
        <f t="shared" si="93"/>
        <v>2.05812251559215</v>
      </c>
      <c r="O153" s="153">
        <f t="shared" si="83"/>
        <v>0.07325223505585884</v>
      </c>
      <c r="P153" s="153">
        <f t="shared" si="84"/>
        <v>0.8486469449054848</v>
      </c>
      <c r="Q153" s="153">
        <f t="shared" si="85"/>
        <v>0.8481372612336873</v>
      </c>
      <c r="R153" s="153">
        <f t="shared" si="86"/>
        <v>0.06779950800763512</v>
      </c>
      <c r="S153" s="153">
        <f t="shared" si="87"/>
        <v>0.7603833865814694</v>
      </c>
      <c r="T153" s="153">
        <f t="shared" si="94"/>
        <v>2.0416506162766974</v>
      </c>
      <c r="U153" s="153">
        <f t="shared" si="88"/>
        <v>1.2495370996990307</v>
      </c>
      <c r="V153" s="153">
        <f t="shared" si="89"/>
        <v>4.43609603795875</v>
      </c>
      <c r="W153" s="153">
        <f t="shared" si="95"/>
        <v>2.0416506162766974</v>
      </c>
      <c r="X153" s="163">
        <f t="shared" si="90"/>
        <v>5.067015364498202</v>
      </c>
      <c r="Y153" s="163">
        <f t="shared" si="91"/>
        <v>-0.07164759725400457</v>
      </c>
      <c r="Z153" s="164">
        <f t="shared" si="92"/>
        <v>5.349126363394448</v>
      </c>
    </row>
    <row r="154" spans="7:26" ht="12.75">
      <c r="G154" s="154">
        <f>G153+1</f>
        <v>323</v>
      </c>
      <c r="H154" s="154">
        <f t="shared" si="77"/>
        <v>0.14733205720584464</v>
      </c>
      <c r="I154" s="154">
        <f t="shared" si="78"/>
        <v>3.3754562202181617</v>
      </c>
      <c r="J154" s="154">
        <f t="shared" si="79"/>
        <v>1.8041080043416073</v>
      </c>
      <c r="K154" s="154">
        <f t="shared" si="80"/>
        <v>1.8000452630970118</v>
      </c>
      <c r="L154" s="154">
        <f t="shared" si="81"/>
        <v>0.00045657096939147324</v>
      </c>
      <c r="M154" s="154">
        <f t="shared" si="82"/>
        <v>0.5213675213675214</v>
      </c>
      <c r="N154" s="154">
        <f t="shared" si="93"/>
        <v>2.0549505948276408</v>
      </c>
      <c r="O154" s="154">
        <f t="shared" si="83"/>
        <v>0.07325223505585884</v>
      </c>
      <c r="P154" s="154">
        <f t="shared" si="84"/>
        <v>0.8383821431537681</v>
      </c>
      <c r="Q154" s="154">
        <f t="shared" si="85"/>
        <v>0.8425500373375803</v>
      </c>
      <c r="R154" s="154">
        <f t="shared" si="86"/>
        <v>0.06779950800763512</v>
      </c>
      <c r="S154" s="154">
        <f t="shared" si="87"/>
        <v>0.7603833865814694</v>
      </c>
      <c r="T154" s="154">
        <f t="shared" si="94"/>
        <v>2.0392793452187865</v>
      </c>
      <c r="U154" s="154">
        <f t="shared" si="88"/>
        <v>1.247216551402749</v>
      </c>
      <c r="V154" s="154">
        <f t="shared" si="89"/>
        <v>4.43609603795875</v>
      </c>
      <c r="W154" s="154">
        <f t="shared" si="95"/>
        <v>2.0392793452187865</v>
      </c>
      <c r="X154" s="163">
        <f t="shared" si="90"/>
        <v>5.0513280104285485</v>
      </c>
      <c r="Y154" s="165">
        <f t="shared" si="91"/>
        <v>-0.07142577806745967</v>
      </c>
      <c r="Z154" s="166">
        <f t="shared" si="92"/>
        <v>5.347924821367947</v>
      </c>
    </row>
    <row r="155" spans="7:26" ht="12.75">
      <c r="G155" s="153">
        <f aca="true" t="shared" si="97" ref="G155:G169">G154+1</f>
        <v>324</v>
      </c>
      <c r="H155" s="153">
        <f t="shared" si="77"/>
        <v>0.1464240035458444</v>
      </c>
      <c r="I155" s="153">
        <f t="shared" si="78"/>
        <v>3.366581355340945</v>
      </c>
      <c r="J155" s="153">
        <f t="shared" si="79"/>
        <v>1.7930011627723217</v>
      </c>
      <c r="K155" s="153">
        <f t="shared" si="80"/>
        <v>1.7889386382355246</v>
      </c>
      <c r="L155" s="153">
        <f t="shared" si="81"/>
        <v>0.00045657096939147324</v>
      </c>
      <c r="M155" s="153">
        <f t="shared" si="82"/>
        <v>0.5213675213675214</v>
      </c>
      <c r="N155" s="153">
        <f t="shared" si="93"/>
        <v>2.0517950021488853</v>
      </c>
      <c r="O155" s="153">
        <f t="shared" si="83"/>
        <v>0.07325223505585884</v>
      </c>
      <c r="P155" s="153">
        <f t="shared" si="84"/>
        <v>0.8282738101212118</v>
      </c>
      <c r="Q155" s="153">
        <f t="shared" si="85"/>
        <v>0.8370144671190755</v>
      </c>
      <c r="R155" s="153">
        <f t="shared" si="86"/>
        <v>0.06779950800763512</v>
      </c>
      <c r="S155" s="153">
        <f t="shared" si="87"/>
        <v>0.7603833865814694</v>
      </c>
      <c r="T155" s="153">
        <f t="shared" si="94"/>
        <v>2.0369209147168883</v>
      </c>
      <c r="U155" s="153">
        <f t="shared" si="88"/>
        <v>1.2449103274786664</v>
      </c>
      <c r="V155" s="153">
        <f t="shared" si="89"/>
        <v>4.43609603795875</v>
      </c>
      <c r="W155" s="153">
        <f t="shared" si="95"/>
        <v>2.0369209147168883</v>
      </c>
      <c r="X155" s="163">
        <f t="shared" si="90"/>
        <v>5.035737491877843</v>
      </c>
      <c r="Y155" s="163">
        <f t="shared" si="91"/>
        <v>-0.07120532813515269</v>
      </c>
      <c r="Z155" s="164">
        <f t="shared" si="92"/>
        <v>5.346734750249209</v>
      </c>
    </row>
    <row r="156" spans="3:26" ht="12.75">
      <c r="C156" s="156"/>
      <c r="G156" s="154">
        <f t="shared" si="97"/>
        <v>325</v>
      </c>
      <c r="H156" s="154">
        <f t="shared" si="77"/>
        <v>0.14552431901754853</v>
      </c>
      <c r="I156" s="154">
        <f t="shared" si="78"/>
        <v>3.357761105016819</v>
      </c>
      <c r="J156" s="154">
        <f t="shared" si="79"/>
        <v>1.781996688082889</v>
      </c>
      <c r="K156" s="154">
        <f t="shared" si="80"/>
        <v>1.7779343782565897</v>
      </c>
      <c r="L156" s="154">
        <f t="shared" si="81"/>
        <v>0.00045657096939147324</v>
      </c>
      <c r="M156" s="154">
        <f t="shared" si="82"/>
        <v>0.5213675213675214</v>
      </c>
      <c r="N156" s="154">
        <f t="shared" si="93"/>
        <v>2.0486556035096797</v>
      </c>
      <c r="O156" s="154">
        <f t="shared" si="83"/>
        <v>0.07325223505585884</v>
      </c>
      <c r="P156" s="154">
        <f t="shared" si="84"/>
        <v>0.8183190815757297</v>
      </c>
      <c r="Q156" s="154">
        <f t="shared" si="85"/>
        <v>0.8315299158196702</v>
      </c>
      <c r="R156" s="154">
        <f t="shared" si="86"/>
        <v>0.06779950800763512</v>
      </c>
      <c r="S156" s="154">
        <f t="shared" si="87"/>
        <v>0.7603833865814694</v>
      </c>
      <c r="T156" s="154">
        <f t="shared" si="94"/>
        <v>2.0345752188603017</v>
      </c>
      <c r="U156" s="154">
        <f t="shared" si="88"/>
        <v>1.242618295701809</v>
      </c>
      <c r="V156" s="154">
        <f t="shared" si="89"/>
        <v>4.43609603795875</v>
      </c>
      <c r="W156" s="154">
        <f t="shared" si="95"/>
        <v>2.0345752188603017</v>
      </c>
      <c r="X156" s="163">
        <f t="shared" si="90"/>
        <v>5.020242914979757</v>
      </c>
      <c r="Y156" s="165">
        <f t="shared" si="91"/>
        <v>-0.07098623481781377</v>
      </c>
      <c r="Z156" s="166">
        <f t="shared" si="92"/>
        <v>5.345556061247414</v>
      </c>
    </row>
    <row r="157" spans="7:26" ht="12.75">
      <c r="G157" s="153">
        <f t="shared" si="97"/>
        <v>326</v>
      </c>
      <c r="H157" s="153">
        <f t="shared" si="77"/>
        <v>0.14463290108988447</v>
      </c>
      <c r="I157" s="153">
        <f t="shared" si="78"/>
        <v>3.3489949666578713</v>
      </c>
      <c r="J157" s="153">
        <f t="shared" si="79"/>
        <v>1.7710933261663884</v>
      </c>
      <c r="K157" s="153">
        <f t="shared" si="80"/>
        <v>1.7670312290777554</v>
      </c>
      <c r="L157" s="153">
        <f t="shared" si="81"/>
        <v>0.00045657096939147324</v>
      </c>
      <c r="M157" s="153">
        <f t="shared" si="82"/>
        <v>0.5213675213675214</v>
      </c>
      <c r="N157" s="153">
        <f t="shared" si="93"/>
        <v>2.045532266372281</v>
      </c>
      <c r="O157" s="153">
        <f t="shared" si="83"/>
        <v>0.07325223505585884</v>
      </c>
      <c r="P157" s="153">
        <f t="shared" si="84"/>
        <v>0.8085151543684961</v>
      </c>
      <c r="Q157" s="153">
        <f t="shared" si="85"/>
        <v>0.8260957584014653</v>
      </c>
      <c r="R157" s="153">
        <f t="shared" si="86"/>
        <v>0.06779950800763512</v>
      </c>
      <c r="S157" s="153">
        <f t="shared" si="87"/>
        <v>0.7603833865814694</v>
      </c>
      <c r="T157" s="153">
        <f t="shared" si="94"/>
        <v>2.0322421529312535</v>
      </c>
      <c r="U157" s="153">
        <f t="shared" si="88"/>
        <v>1.2403403254695948</v>
      </c>
      <c r="V157" s="153">
        <f t="shared" si="89"/>
        <v>4.43609603795875</v>
      </c>
      <c r="W157" s="153">
        <f t="shared" si="95"/>
        <v>2.0322421529312535</v>
      </c>
      <c r="X157" s="163">
        <f t="shared" si="90"/>
        <v>5.004843396835647</v>
      </c>
      <c r="Y157" s="163">
        <f t="shared" si="91"/>
        <v>-0.07076848563125605</v>
      </c>
      <c r="Z157" s="164">
        <f t="shared" si="92"/>
        <v>5.344388666490655</v>
      </c>
    </row>
    <row r="158" spans="7:26" ht="12.75">
      <c r="G158" s="154">
        <f t="shared" si="97"/>
        <v>327</v>
      </c>
      <c r="H158" s="154">
        <f t="shared" si="77"/>
        <v>0.14374964879713234</v>
      </c>
      <c r="I158" s="154">
        <f t="shared" si="78"/>
        <v>3.3402824438240564</v>
      </c>
      <c r="J158" s="154">
        <f t="shared" si="79"/>
        <v>1.7602898420624828</v>
      </c>
      <c r="K158" s="154">
        <f t="shared" si="80"/>
        <v>1.7562279557627798</v>
      </c>
      <c r="L158" s="154">
        <f t="shared" si="81"/>
        <v>0.00045657096939147324</v>
      </c>
      <c r="M158" s="154">
        <f t="shared" si="82"/>
        <v>0.5213675213675214</v>
      </c>
      <c r="N158" s="154">
        <f t="shared" si="93"/>
        <v>2.0424248596858727</v>
      </c>
      <c r="O158" s="154">
        <f t="shared" si="83"/>
        <v>0.07325223505585884</v>
      </c>
      <c r="P158" s="154">
        <f t="shared" si="84"/>
        <v>0.7988592849484843</v>
      </c>
      <c r="Q158" s="154">
        <f t="shared" si="85"/>
        <v>0.8207113793690812</v>
      </c>
      <c r="R158" s="154">
        <f t="shared" si="86"/>
        <v>0.06779950800763512</v>
      </c>
      <c r="S158" s="154">
        <f t="shared" si="87"/>
        <v>0.7603833865814694</v>
      </c>
      <c r="T158" s="154">
        <f t="shared" si="94"/>
        <v>2.029921613387852</v>
      </c>
      <c r="U158" s="154">
        <f t="shared" si="88"/>
        <v>1.2380762877770273</v>
      </c>
      <c r="V158" s="154">
        <f t="shared" si="89"/>
        <v>4.43609603795875</v>
      </c>
      <c r="W158" s="154">
        <f t="shared" si="95"/>
        <v>2.029921613387852</v>
      </c>
      <c r="X158" s="163">
        <f t="shared" si="90"/>
        <v>4.989538065346854</v>
      </c>
      <c r="Y158" s="165">
        <f t="shared" si="91"/>
        <v>-0.0705520682440045</v>
      </c>
      <c r="Z158" s="166">
        <f t="shared" si="92"/>
        <v>5.34323247901356</v>
      </c>
    </row>
    <row r="159" spans="7:26" ht="12.75">
      <c r="G159" s="153">
        <f t="shared" si="97"/>
        <v>328</v>
      </c>
      <c r="H159" s="153">
        <f t="shared" si="77"/>
        <v>0.1428744627103339</v>
      </c>
      <c r="I159" s="153">
        <f t="shared" si="78"/>
        <v>3.3316230461294705</v>
      </c>
      <c r="J159" s="153">
        <f t="shared" si="79"/>
        <v>1.7495850196077056</v>
      </c>
      <c r="K159" s="153">
        <f t="shared" si="80"/>
        <v>1.745523342171926</v>
      </c>
      <c r="L159" s="153">
        <f t="shared" si="81"/>
        <v>0.00045657096939147324</v>
      </c>
      <c r="M159" s="153">
        <f t="shared" si="82"/>
        <v>0.5213675213675214</v>
      </c>
      <c r="N159" s="153">
        <f t="shared" si="93"/>
        <v>2.039333253865397</v>
      </c>
      <c r="O159" s="153">
        <f t="shared" si="83"/>
        <v>0.07325223505585884</v>
      </c>
      <c r="P159" s="153">
        <f t="shared" si="84"/>
        <v>0.7893487879175309</v>
      </c>
      <c r="Q159" s="153">
        <f t="shared" si="85"/>
        <v>0.815376172595365</v>
      </c>
      <c r="R159" s="153">
        <f t="shared" si="86"/>
        <v>0.06779950800763512</v>
      </c>
      <c r="S159" s="153">
        <f t="shared" si="87"/>
        <v>0.7603833865814694</v>
      </c>
      <c r="T159" s="153">
        <f t="shared" si="94"/>
        <v>2.0276134978473395</v>
      </c>
      <c r="U159" s="153">
        <f t="shared" si="88"/>
        <v>1.2358260551923412</v>
      </c>
      <c r="V159" s="153">
        <f t="shared" si="89"/>
        <v>4.43609603795875</v>
      </c>
      <c r="W159" s="153">
        <f t="shared" si="95"/>
        <v>2.0276134978473395</v>
      </c>
      <c r="X159" s="163">
        <f t="shared" si="90"/>
        <v>4.974326059050064</v>
      </c>
      <c r="Y159" s="163">
        <f t="shared" si="91"/>
        <v>-0.0703369704749679</v>
      </c>
      <c r="Z159" s="164">
        <f t="shared" si="92"/>
        <v>5.342087412745071</v>
      </c>
    </row>
    <row r="160" spans="7:26" ht="12.75">
      <c r="G160" s="154">
        <f t="shared" si="97"/>
        <v>329</v>
      </c>
      <c r="H160" s="154">
        <f t="shared" si="77"/>
        <v>0.14200724490930944</v>
      </c>
      <c r="I160" s="154">
        <f t="shared" si="78"/>
        <v>3.3230162891503534</v>
      </c>
      <c r="J160" s="154">
        <f t="shared" si="79"/>
        <v>1.7389776610931877</v>
      </c>
      <c r="K160" s="154">
        <f t="shared" si="80"/>
        <v>1.7349161906196928</v>
      </c>
      <c r="L160" s="154">
        <f t="shared" si="81"/>
        <v>0.00045657096939147324</v>
      </c>
      <c r="M160" s="154">
        <f t="shared" si="82"/>
        <v>0.5213675213675214</v>
      </c>
      <c r="N160" s="154">
        <f t="shared" si="93"/>
        <v>2.0362573207707517</v>
      </c>
      <c r="O160" s="154">
        <f t="shared" si="83"/>
        <v>0.07325223505585884</v>
      </c>
      <c r="P160" s="154">
        <f t="shared" si="84"/>
        <v>0.7799810346247189</v>
      </c>
      <c r="Q160" s="154">
        <f t="shared" si="85"/>
        <v>0.8100895411508016</v>
      </c>
      <c r="R160" s="154">
        <f t="shared" si="86"/>
        <v>0.06779950800763512</v>
      </c>
      <c r="S160" s="154">
        <f t="shared" si="87"/>
        <v>0.7603833865814694</v>
      </c>
      <c r="T160" s="154">
        <f t="shared" si="94"/>
        <v>2.025317705069631</v>
      </c>
      <c r="U160" s="154">
        <f t="shared" si="88"/>
        <v>1.233589501833094</v>
      </c>
      <c r="V160" s="154">
        <f t="shared" si="89"/>
        <v>4.43609603795875</v>
      </c>
      <c r="W160" s="154">
        <f t="shared" si="95"/>
        <v>2.025317705069631</v>
      </c>
      <c r="X160" s="163">
        <f t="shared" si="90"/>
        <v>4.959206526955687</v>
      </c>
      <c r="Y160" s="165">
        <f t="shared" si="91"/>
        <v>-0.07012318029115341</v>
      </c>
      <c r="Z160" s="166">
        <f t="shared" si="92"/>
        <v>5.340953382496468</v>
      </c>
    </row>
    <row r="161" spans="7:26" ht="12.75">
      <c r="G161" s="153">
        <f t="shared" si="97"/>
        <v>330</v>
      </c>
      <c r="H161" s="153">
        <f t="shared" si="77"/>
        <v>0.1411478989552669</v>
      </c>
      <c r="I161" s="153">
        <f t="shared" si="78"/>
        <v>3.314461694334746</v>
      </c>
      <c r="J161" s="153">
        <f t="shared" si="79"/>
        <v>1.7284665869296247</v>
      </c>
      <c r="K161" s="153">
        <f t="shared" si="80"/>
        <v>1.724405321539792</v>
      </c>
      <c r="L161" s="153">
        <f t="shared" si="81"/>
        <v>0.00045657096939147324</v>
      </c>
      <c r="M161" s="153">
        <f t="shared" si="82"/>
        <v>0.5213675213675214</v>
      </c>
      <c r="N161" s="153">
        <f t="shared" si="93"/>
        <v>2.0331969336863485</v>
      </c>
      <c r="O161" s="153">
        <f t="shared" si="83"/>
        <v>0.07325223505585884</v>
      </c>
      <c r="P161" s="153">
        <f t="shared" si="84"/>
        <v>0.7707534517988788</v>
      </c>
      <c r="Q161" s="153">
        <f t="shared" si="85"/>
        <v>0.8048508971365379</v>
      </c>
      <c r="R161" s="153">
        <f t="shared" si="86"/>
        <v>0.06779950800763512</v>
      </c>
      <c r="S161" s="153">
        <f t="shared" si="87"/>
        <v>0.7603833865814694</v>
      </c>
      <c r="T161" s="153">
        <f t="shared" si="94"/>
        <v>2.023034134941135</v>
      </c>
      <c r="U161" s="153">
        <f t="shared" si="88"/>
        <v>1.2313665033426906</v>
      </c>
      <c r="V161" s="153">
        <f t="shared" si="89"/>
        <v>4.43609603795875</v>
      </c>
      <c r="W161" s="153">
        <f t="shared" si="95"/>
        <v>2.023034134941135</v>
      </c>
      <c r="X161" s="163">
        <f t="shared" si="90"/>
        <v>4.944178628389155</v>
      </c>
      <c r="Y161" s="163">
        <f t="shared" si="91"/>
        <v>-0.06991068580542265</v>
      </c>
      <c r="Z161" s="164">
        <f t="shared" si="92"/>
        <v>5.339830303949557</v>
      </c>
    </row>
    <row r="162" spans="7:26" ht="12.75">
      <c r="G162" s="154">
        <f t="shared" si="97"/>
        <v>331</v>
      </c>
      <c r="H162" s="154">
        <f t="shared" si="77"/>
        <v>0.1402963298639896</v>
      </c>
      <c r="I162" s="154">
        <f t="shared" si="78"/>
        <v>3.3059587889137947</v>
      </c>
      <c r="J162" s="154">
        <f t="shared" si="79"/>
        <v>1.7180506353193261</v>
      </c>
      <c r="K162" s="154">
        <f t="shared" si="80"/>
        <v>1.7139895731572</v>
      </c>
      <c r="L162" s="154">
        <f t="shared" si="81"/>
        <v>0.00045657096939147324</v>
      </c>
      <c r="M162" s="154">
        <f t="shared" si="82"/>
        <v>0.5213675213675214</v>
      </c>
      <c r="N162" s="154">
        <f t="shared" si="93"/>
        <v>2.030151967301017</v>
      </c>
      <c r="O162" s="154">
        <f t="shared" si="83"/>
        <v>0.07325223505585884</v>
      </c>
      <c r="P162" s="154">
        <f t="shared" si="84"/>
        <v>0.7616635202180726</v>
      </c>
      <c r="Q162" s="154">
        <f t="shared" si="85"/>
        <v>0.7996596615209328</v>
      </c>
      <c r="R162" s="154">
        <f t="shared" si="86"/>
        <v>0.06779950800763512</v>
      </c>
      <c r="S162" s="154">
        <f t="shared" si="87"/>
        <v>0.7603833865814694</v>
      </c>
      <c r="T162" s="154">
        <f t="shared" si="94"/>
        <v>2.020762688458856</v>
      </c>
      <c r="U162" s="154">
        <f t="shared" si="88"/>
        <v>1.2291569368673352</v>
      </c>
      <c r="V162" s="154">
        <f t="shared" si="89"/>
        <v>4.43609603795875</v>
      </c>
      <c r="W162" s="154">
        <f t="shared" si="95"/>
        <v>2.020762688458856</v>
      </c>
      <c r="X162" s="163">
        <f t="shared" si="90"/>
        <v>4.929241532835109</v>
      </c>
      <c r="Y162" s="165">
        <f t="shared" si="91"/>
        <v>-0.06969947527428844</v>
      </c>
      <c r="Z162" s="166">
        <f t="shared" si="92"/>
        <v>5.338718093645066</v>
      </c>
    </row>
    <row r="163" spans="7:26" ht="12.75">
      <c r="G163" s="153">
        <f t="shared" si="97"/>
        <v>332</v>
      </c>
      <c r="H163" s="153">
        <f t="shared" si="77"/>
        <v>0.1394524440795885</v>
      </c>
      <c r="I163" s="153">
        <f t="shared" si="78"/>
        <v>3.2975071058146574</v>
      </c>
      <c r="J163" s="153">
        <f t="shared" si="79"/>
        <v>1.7077286619351622</v>
      </c>
      <c r="K163" s="153">
        <f t="shared" si="80"/>
        <v>1.7036678011671147</v>
      </c>
      <c r="L163" s="153">
        <f t="shared" si="81"/>
        <v>0.00045657096939147324</v>
      </c>
      <c r="M163" s="153">
        <f t="shared" si="82"/>
        <v>0.5213675213675214</v>
      </c>
      <c r="N163" s="153">
        <f t="shared" si="93"/>
        <v>2.0271222976882552</v>
      </c>
      <c r="O163" s="153">
        <f t="shared" si="83"/>
        <v>0.07325223505585884</v>
      </c>
      <c r="P163" s="153">
        <f t="shared" si="84"/>
        <v>0.752708773414947</v>
      </c>
      <c r="Q163" s="153">
        <f t="shared" si="85"/>
        <v>0.7945152639795485</v>
      </c>
      <c r="R163" s="153">
        <f t="shared" si="86"/>
        <v>0.06779950800763512</v>
      </c>
      <c r="S163" s="153">
        <f t="shared" si="87"/>
        <v>0.7603833865814694</v>
      </c>
      <c r="T163" s="153">
        <f t="shared" si="94"/>
        <v>2.0185032677147627</v>
      </c>
      <c r="U163" s="153">
        <f t="shared" si="88"/>
        <v>1.2269606810333973</v>
      </c>
      <c r="V163" s="153">
        <f t="shared" si="89"/>
        <v>4.43609603795875</v>
      </c>
      <c r="W163" s="153">
        <f t="shared" si="95"/>
        <v>2.0185032677147627</v>
      </c>
      <c r="X163" s="163">
        <f t="shared" si="90"/>
        <v>4.914394419784401</v>
      </c>
      <c r="Y163" s="163">
        <f t="shared" si="91"/>
        <v>-0.06948953709575142</v>
      </c>
      <c r="Z163" s="164">
        <f t="shared" si="92"/>
        <v>5.337616668971229</v>
      </c>
    </row>
    <row r="164" spans="7:26" ht="12.75">
      <c r="G164" s="154">
        <f t="shared" si="97"/>
        <v>333</v>
      </c>
      <c r="H164" s="154">
        <f t="shared" si="77"/>
        <v>0.1386161494488052</v>
      </c>
      <c r="I164" s="154">
        <f t="shared" si="78"/>
        <v>3.2891061835749738</v>
      </c>
      <c r="J164" s="154">
        <f t="shared" si="79"/>
        <v>1.6974995396062553</v>
      </c>
      <c r="K164" s="154">
        <f t="shared" si="80"/>
        <v>1.693438878420651</v>
      </c>
      <c r="L164" s="154">
        <f t="shared" si="81"/>
        <v>0.00045657096939147324</v>
      </c>
      <c r="M164" s="154">
        <f t="shared" si="82"/>
        <v>0.5213675213675214</v>
      </c>
      <c r="N164" s="154">
        <f t="shared" si="93"/>
        <v>2.024107802286814</v>
      </c>
      <c r="O164" s="154">
        <f t="shared" si="83"/>
        <v>0.07325223505585884</v>
      </c>
      <c r="P164" s="154">
        <f t="shared" si="84"/>
        <v>0.7438867964168867</v>
      </c>
      <c r="Q164" s="154">
        <f t="shared" si="85"/>
        <v>0.7894171427384996</v>
      </c>
      <c r="R164" s="154">
        <f t="shared" si="86"/>
        <v>0.06779950800763512</v>
      </c>
      <c r="S164" s="154">
        <f t="shared" si="87"/>
        <v>0.7603833865814694</v>
      </c>
      <c r="T164" s="154">
        <f t="shared" si="94"/>
        <v>2.0162557758804267</v>
      </c>
      <c r="U164" s="154">
        <f t="shared" si="88"/>
        <v>1.2247776159251889</v>
      </c>
      <c r="V164" s="154">
        <f t="shared" si="89"/>
        <v>4.43609603795875</v>
      </c>
      <c r="W164" s="154">
        <f t="shared" si="95"/>
        <v>2.0162557758804267</v>
      </c>
      <c r="X164" s="163">
        <f t="shared" si="90"/>
        <v>4.899636478583847</v>
      </c>
      <c r="Y164" s="165">
        <f t="shared" si="91"/>
        <v>-0.06928085980717559</v>
      </c>
      <c r="Z164" s="166">
        <f t="shared" si="92"/>
        <v>5.3365259481525475</v>
      </c>
    </row>
    <row r="165" spans="7:26" ht="12.75">
      <c r="G165" s="153">
        <f t="shared" si="97"/>
        <v>334</v>
      </c>
      <c r="H165" s="153">
        <f t="shared" si="77"/>
        <v>0.13778735519585286</v>
      </c>
      <c r="I165" s="153">
        <f t="shared" si="78"/>
        <v>3.2807555662588808</v>
      </c>
      <c r="J165" s="153">
        <f t="shared" si="79"/>
        <v>1.6873621580102451</v>
      </c>
      <c r="K165" s="153">
        <f t="shared" si="80"/>
        <v>1.6833016946171127</v>
      </c>
      <c r="L165" s="153">
        <f t="shared" si="81"/>
        <v>0.00045657096939147324</v>
      </c>
      <c r="M165" s="153">
        <f t="shared" si="82"/>
        <v>0.5213675213675214</v>
      </c>
      <c r="N165" s="153">
        <f t="shared" si="93"/>
        <v>2.021108359881613</v>
      </c>
      <c r="O165" s="153">
        <f t="shared" si="83"/>
        <v>0.07325223505585884</v>
      </c>
      <c r="P165" s="153">
        <f t="shared" si="84"/>
        <v>0.7351952245199312</v>
      </c>
      <c r="Q165" s="153">
        <f t="shared" si="85"/>
        <v>0.784364744421081</v>
      </c>
      <c r="R165" s="153">
        <f t="shared" si="86"/>
        <v>0.06779950800763512</v>
      </c>
      <c r="S165" s="153">
        <f t="shared" si="87"/>
        <v>0.7603833865814694</v>
      </c>
      <c r="T165" s="153">
        <f t="shared" si="94"/>
        <v>2.0140201171919205</v>
      </c>
      <c r="U165" s="153">
        <f t="shared" si="88"/>
        <v>1.2226076230631375</v>
      </c>
      <c r="V165" s="153">
        <f t="shared" si="89"/>
        <v>4.43609603795875</v>
      </c>
      <c r="W165" s="153">
        <f t="shared" si="95"/>
        <v>2.0140201171919205</v>
      </c>
      <c r="X165" s="163">
        <f t="shared" si="90"/>
        <v>4.8849669082886855</v>
      </c>
      <c r="Y165" s="163">
        <f t="shared" si="91"/>
        <v>-0.069073432083202</v>
      </c>
      <c r="Z165" s="164">
        <f t="shared" si="92"/>
        <v>5.335445850238747</v>
      </c>
    </row>
    <row r="166" spans="7:26" ht="12.75">
      <c r="G166" s="154">
        <f t="shared" si="97"/>
        <v>335</v>
      </c>
      <c r="H166" s="154">
        <f t="shared" si="77"/>
        <v>0.13696597189778179</v>
      </c>
      <c r="I166" s="154">
        <f t="shared" si="78"/>
        <v>3.2724548033745267</v>
      </c>
      <c r="J166" s="154">
        <f t="shared" si="79"/>
        <v>1.677315423371975</v>
      </c>
      <c r="K166" s="154">
        <f t="shared" si="80"/>
        <v>1.673255156002683</v>
      </c>
      <c r="L166" s="154">
        <f t="shared" si="81"/>
        <v>0.00045657096939147324</v>
      </c>
      <c r="M166" s="154">
        <f t="shared" si="82"/>
        <v>0.5213675213675214</v>
      </c>
      <c r="N166" s="154">
        <f t="shared" si="93"/>
        <v>2.0181238505849777</v>
      </c>
      <c r="O166" s="154">
        <f t="shared" si="83"/>
        <v>0.07325223505585884</v>
      </c>
      <c r="P166" s="154">
        <f t="shared" si="84"/>
        <v>0.7266317420954483</v>
      </c>
      <c r="Q166" s="154">
        <f t="shared" si="85"/>
        <v>0.7793575238975953</v>
      </c>
      <c r="R166" s="154">
        <f t="shared" si="86"/>
        <v>0.06779950800763512</v>
      </c>
      <c r="S166" s="154">
        <f t="shared" si="87"/>
        <v>0.7603833865814694</v>
      </c>
      <c r="T166" s="154">
        <f t="shared" si="94"/>
        <v>2.0117961969349722</v>
      </c>
      <c r="U166" s="154">
        <f t="shared" si="88"/>
        <v>1.220450585382352</v>
      </c>
      <c r="V166" s="154">
        <f t="shared" si="89"/>
        <v>4.43609603795875</v>
      </c>
      <c r="W166" s="154">
        <f t="shared" si="95"/>
        <v>2.0117961969349722</v>
      </c>
      <c r="X166" s="163">
        <f t="shared" si="90"/>
        <v>4.870384917517675</v>
      </c>
      <c r="Y166" s="165">
        <f t="shared" si="91"/>
        <v>-0.06886724273369992</v>
      </c>
      <c r="Z166" s="166">
        <f t="shared" si="92"/>
        <v>5.334376295093893</v>
      </c>
    </row>
    <row r="167" spans="7:26" ht="12.75">
      <c r="G167" s="153">
        <f t="shared" si="97"/>
        <v>336</v>
      </c>
      <c r="H167" s="153">
        <f aca="true" t="shared" si="98" ref="H167:H187">(Iout*(Vout_nom^2)*2.5*Rsense*K_1)/(eff*(G167^2)*K_FQ)*us</f>
        <v>0.13615191146035788</v>
      </c>
      <c r="I167" s="153">
        <f aca="true" t="shared" si="99" ref="I167:I187">(1*10^-9*(5*10^8*SQRT(fsw*kHz)+(1.09655978*10^10)*SQRT(ftyp)*SQRT(H167)))/SQRT(fsw*kHz)</f>
        <v>3.2642034497930545</v>
      </c>
      <c r="J167" s="153">
        <f aca="true" t="shared" si="100" ref="J167:J187">(b_1^3/(27*a_1^3))-(d_1^3/27)+SQRT((ftyp)^2*H167^2/(4*a_1^2*c_1^2*(fsw*kHz)^2))+(b_1^3*(ftyp)*H167/(27*a_1^4*c_1*(fsw*kHz))-(d_1^3*(ftyp)*H167/(27*a_1*c_1*(fsw*kHz)))+(b_1*d_1^2*(ftyp)*H167/(9*a_1^2*c_1*(fsw*kHz)))-(b_1^2*d_1*(ftyp)*H167/(9*a_1^3*c_1*(fsw*kHz))))</f>
        <v>1.667358258168447</v>
      </c>
      <c r="K167" s="153">
        <f aca="true" t="shared" si="101" ref="K167:K187">(b_1*d_1^2/(9*a_1))-(b_1^2*d_1/(9*a_1^2))+(ftyp*H167/(2*a_1*c_1*fsw*kHz))</f>
        <v>1.6632981850753887</v>
      </c>
      <c r="L167" s="153">
        <f aca="true" t="shared" si="102" ref="L167:L187">(d_1^2/9)+(b_1^2/(9*a_1^2))-(2*b_1*d_1/(9*a_1))</f>
        <v>0.00045657096939147324</v>
      </c>
      <c r="M167" s="153">
        <f aca="true" t="shared" si="103" ref="M167:M187">((b_1*c_1*fsw*kHz)+(2*a_1*c_1*d_1*fsw*kHz))/(3*a_1*c_1*fsw*kHz)</f>
        <v>0.5213675213675214</v>
      </c>
      <c r="N167" s="153">
        <f t="shared" si="93"/>
        <v>2.0151541558181942</v>
      </c>
      <c r="O167" s="153">
        <f aca="true" t="shared" si="104" ref="O167:O187">(b_2^3/(27*a_2^3))-(d_2^3/27)</f>
        <v>0.07325223505585884</v>
      </c>
      <c r="P167" s="153">
        <f aca="true" t="shared" si="105" ref="P167:P187">(ftyp^2*H167^2/(4*a_2^2*c_2^2*(fsw*kHz)^2))+(b_2^3*ftyp*H167/(27*a_2^4*c_2*(fsw*kHz)))-(d_2^3*ftyp*H167/(27*a_2*c_2*(fsw*kHz)))+(b_2*d_2^2*ftyp*H167/(9*a_2^2*c_2*(fsw*kHz)))-(b_2^2*d_2*ftyp*H167/(9*a_2^3*c_2*(fsw*kHz)))</f>
        <v>0.7181940814286041</v>
      </c>
      <c r="Q167" s="153">
        <f aca="true" t="shared" si="106" ref="Q167:Q187">(b_2*d_2^2/(9*a_2))-(b_2^2*d_2/(9*a_2^2))+(ftyp*H167/(2*a_2*c_2*(fsw*kHz)))</f>
        <v>0.7743949441383049</v>
      </c>
      <c r="R167" s="153">
        <f aca="true" t="shared" si="107" ref="R167:R187">(d_2^2/9)+(b_2^2/(9*a_2^2))-(2*b_2*d_2/(9*a_2))</f>
        <v>0.06779950800763512</v>
      </c>
      <c r="S167" s="153">
        <f aca="true" t="shared" si="108" ref="S167:S187">(b_2*c_2*(fsw*kHz)+2*a_2*c_2*d_2*(fsw*kHz))/(3*a_2*c_2*(fsw*kHz))</f>
        <v>0.7603833865814694</v>
      </c>
      <c r="T167" s="153">
        <f t="shared" si="94"/>
        <v>2.0095839214303677</v>
      </c>
      <c r="U167" s="153">
        <f aca="true" t="shared" si="109" ref="U167:U187">c_3+(SQRT(ftyp)*SQRT(H167)/(SQRT(a_3)*SQRT(b_3)*SQRT(fsw*kHz)))</f>
        <v>1.2183063872115711</v>
      </c>
      <c r="V167" s="153">
        <f aca="true" t="shared" si="110" ref="V167:V187">(a_4*(fsw*kHz)*b_4/ftyp)</f>
        <v>4.43609603795875</v>
      </c>
      <c r="W167" s="153">
        <f t="shared" si="95"/>
        <v>2.0095839214303677</v>
      </c>
      <c r="X167" s="163">
        <f aca="true" t="shared" si="111" ref="X167:X187">Pin_max/G167</f>
        <v>4.855889724310777</v>
      </c>
      <c r="Y167" s="163">
        <f aca="true" t="shared" si="112" ref="Y167:Y187">-X167*Rsense*1.414</f>
        <v>-0.06866228070175438</v>
      </c>
      <c r="Z167" s="164">
        <f aca="true" t="shared" si="113" ref="Z167:Z187">MIN(6,MAX(0.5,Beta*G*($Y167-Voff_trim)/(MAX(0,MIN(4.5,W167)-Alpha1_A)+MAX(0,MIN(4.5,W167)-Alpha1_B)-Alpha1_C)+Alpha2))</f>
        <v>5.33331720338571</v>
      </c>
    </row>
    <row r="168" spans="7:26" ht="12.75">
      <c r="G168" s="154">
        <f t="shared" si="97"/>
        <v>337</v>
      </c>
      <c r="H168" s="154">
        <f t="shared" si="98"/>
        <v>0.13534508709444096</v>
      </c>
      <c r="I168" s="154">
        <f t="shared" si="99"/>
        <v>3.25600106566904</v>
      </c>
      <c r="J168" s="154">
        <f t="shared" si="100"/>
        <v>1.6574896008398965</v>
      </c>
      <c r="K168" s="154">
        <f t="shared" si="101"/>
        <v>1.6534297202961774</v>
      </c>
      <c r="L168" s="154">
        <f t="shared" si="102"/>
        <v>0.00045657096939147324</v>
      </c>
      <c r="M168" s="154">
        <f t="shared" si="103"/>
        <v>0.5213675213675214</v>
      </c>
      <c r="N168" s="154">
        <f t="shared" si="93"/>
        <v>2.0121991582933747</v>
      </c>
      <c r="O168" s="154">
        <f t="shared" si="104"/>
        <v>0.07325223505585884</v>
      </c>
      <c r="P168" s="154">
        <f t="shared" si="105"/>
        <v>0.7098800215876765</v>
      </c>
      <c r="Q168" s="154">
        <f t="shared" si="106"/>
        <v>0.7694764760694327</v>
      </c>
      <c r="R168" s="154">
        <f t="shared" si="107"/>
        <v>0.06779950800763512</v>
      </c>
      <c r="S168" s="154">
        <f t="shared" si="108"/>
        <v>0.7603833865814694</v>
      </c>
      <c r="T168" s="154">
        <f t="shared" si="94"/>
        <v>2.007383198019604</v>
      </c>
      <c r="U168" s="154">
        <f t="shared" si="109"/>
        <v>1.2161749142524862</v>
      </c>
      <c r="V168" s="154">
        <f t="shared" si="110"/>
        <v>4.43609603795875</v>
      </c>
      <c r="W168" s="154">
        <f t="shared" si="95"/>
        <v>2.007383198019604</v>
      </c>
      <c r="X168" s="163">
        <f t="shared" si="111"/>
        <v>4.84148055598938</v>
      </c>
      <c r="Y168" s="165">
        <f t="shared" si="112"/>
        <v>-0.06845853506168982</v>
      </c>
      <c r="Z168" s="166">
        <f t="shared" si="113"/>
        <v>5.332268496575028</v>
      </c>
    </row>
    <row r="169" spans="7:26" ht="12.75">
      <c r="G169" s="153">
        <f t="shared" si="97"/>
        <v>338</v>
      </c>
      <c r="H169" s="153">
        <f t="shared" si="98"/>
        <v>0.13454541329285183</v>
      </c>
      <c r="I169" s="153">
        <f t="shared" si="99"/>
        <v>3.2478472163623264</v>
      </c>
      <c r="J169" s="153">
        <f t="shared" si="100"/>
        <v>1.6477084055068407</v>
      </c>
      <c r="K169" s="153">
        <f t="shared" si="101"/>
        <v>1.643648715805972</v>
      </c>
      <c r="L169" s="153">
        <f t="shared" si="102"/>
        <v>0.00045657096939147324</v>
      </c>
      <c r="M169" s="153">
        <f t="shared" si="103"/>
        <v>0.5213675213675214</v>
      </c>
      <c r="N169" s="153">
        <f t="shared" si="93"/>
        <v>2.009258741995626</v>
      </c>
      <c r="O169" s="153">
        <f t="shared" si="104"/>
        <v>0.07325223505585884</v>
      </c>
      <c r="P169" s="153">
        <f t="shared" si="105"/>
        <v>0.7016873873233198</v>
      </c>
      <c r="Q169" s="153">
        <f t="shared" si="106"/>
        <v>0.7646015984321419</v>
      </c>
      <c r="R169" s="153">
        <f t="shared" si="107"/>
        <v>0.06779950800763512</v>
      </c>
      <c r="S169" s="153">
        <f t="shared" si="108"/>
        <v>0.7603833865814694</v>
      </c>
      <c r="T169" s="153">
        <f t="shared" si="94"/>
        <v>2.0051939350507784</v>
      </c>
      <c r="U169" s="153">
        <f t="shared" si="109"/>
        <v>1.2140560535594318</v>
      </c>
      <c r="V169" s="153">
        <f t="shared" si="110"/>
        <v>4.43609603795875</v>
      </c>
      <c r="W169" s="153">
        <f t="shared" si="95"/>
        <v>2.0051939350507784</v>
      </c>
      <c r="X169" s="163">
        <f t="shared" si="111"/>
        <v>4.827156649018997</v>
      </c>
      <c r="Y169" s="163">
        <f t="shared" si="112"/>
        <v>-0.06825599501712862</v>
      </c>
      <c r="Z169" s="164">
        <f t="shared" si="113"/>
        <v>5.331230096905457</v>
      </c>
    </row>
    <row r="170" spans="7:26" ht="12.75">
      <c r="G170" s="154">
        <f>G169+1</f>
        <v>339</v>
      </c>
      <c r="H170" s="154">
        <f t="shared" si="98"/>
        <v>0.13375280580771626</v>
      </c>
      <c r="I170" s="154">
        <f t="shared" si="99"/>
        <v>3.239741472361257</v>
      </c>
      <c r="J170" s="154">
        <f t="shared" si="100"/>
        <v>1.6380136416929616</v>
      </c>
      <c r="K170" s="154">
        <f t="shared" si="101"/>
        <v>1.633954141148561</v>
      </c>
      <c r="L170" s="154">
        <f t="shared" si="102"/>
        <v>0.00045657096939147324</v>
      </c>
      <c r="M170" s="154">
        <f t="shared" si="103"/>
        <v>0.5213675213675214</v>
      </c>
      <c r="N170" s="154">
        <f t="shared" si="93"/>
        <v>2.0063327921655154</v>
      </c>
      <c r="O170" s="154">
        <f t="shared" si="104"/>
        <v>0.07325223505585884</v>
      </c>
      <c r="P170" s="154">
        <f t="shared" si="105"/>
        <v>0.6936140479968902</v>
      </c>
      <c r="Q170" s="154">
        <f t="shared" si="106"/>
        <v>0.7597697976444227</v>
      </c>
      <c r="R170" s="154">
        <f t="shared" si="107"/>
        <v>0.06779950800763512</v>
      </c>
      <c r="S170" s="154">
        <f t="shared" si="108"/>
        <v>0.7603833865814694</v>
      </c>
      <c r="T170" s="154">
        <f t="shared" si="94"/>
        <v>2.003016041864714</v>
      </c>
      <c r="U170" s="154">
        <f t="shared" si="109"/>
        <v>1.2119496935194334</v>
      </c>
      <c r="V170" s="154">
        <f t="shared" si="110"/>
        <v>4.43609603795875</v>
      </c>
      <c r="W170" s="154">
        <f t="shared" si="95"/>
        <v>2.003016041864714</v>
      </c>
      <c r="X170" s="163">
        <f t="shared" si="111"/>
        <v>4.812917248874398</v>
      </c>
      <c r="Y170" s="165">
        <f t="shared" si="112"/>
        <v>-0.06805464989908398</v>
      </c>
      <c r="Z170" s="166">
        <f t="shared" si="113"/>
        <v>5.330201927393168</v>
      </c>
    </row>
    <row r="171" spans="7:26" ht="12.75">
      <c r="G171" s="153">
        <f aca="true" t="shared" si="114" ref="G171:G180">G170+1</f>
        <v>340</v>
      </c>
      <c r="H171" s="153">
        <f t="shared" si="98"/>
        <v>0.13296718162827478</v>
      </c>
      <c r="I171" s="153">
        <f t="shared" si="99"/>
        <v>3.2316834092072537</v>
      </c>
      <c r="J171" s="153">
        <f t="shared" si="100"/>
        <v>1.628404294053689</v>
      </c>
      <c r="K171" s="153">
        <f t="shared" si="101"/>
        <v>1.6243449809991841</v>
      </c>
      <c r="L171" s="153">
        <f t="shared" si="102"/>
        <v>0.00045657096939147324</v>
      </c>
      <c r="M171" s="153">
        <f t="shared" si="103"/>
        <v>0.5213675213675214</v>
      </c>
      <c r="N171" s="153">
        <f t="shared" si="93"/>
        <v>2.0034211952818346</v>
      </c>
      <c r="O171" s="153">
        <f t="shared" si="104"/>
        <v>0.07325223505585884</v>
      </c>
      <c r="P171" s="153">
        <f t="shared" si="105"/>
        <v>0.6856579165369879</v>
      </c>
      <c r="Q171" s="153">
        <f t="shared" si="106"/>
        <v>0.7549805676658196</v>
      </c>
      <c r="R171" s="153">
        <f t="shared" si="107"/>
        <v>0.06779950800763512</v>
      </c>
      <c r="S171" s="153">
        <f t="shared" si="108"/>
        <v>0.7603833865814694</v>
      </c>
      <c r="T171" s="153">
        <f t="shared" si="94"/>
        <v>2.000849428781323</v>
      </c>
      <c r="U171" s="153">
        <f t="shared" si="109"/>
        <v>1.2098557238326113</v>
      </c>
      <c r="V171" s="153">
        <f t="shared" si="110"/>
        <v>4.43609603795875</v>
      </c>
      <c r="W171" s="153">
        <f t="shared" si="95"/>
        <v>2.000849428781323</v>
      </c>
      <c r="X171" s="163">
        <f t="shared" si="111"/>
        <v>4.798761609907121</v>
      </c>
      <c r="Y171" s="163">
        <f t="shared" si="112"/>
        <v>-0.06785448916408669</v>
      </c>
      <c r="Z171" s="164">
        <f t="shared" si="113"/>
        <v>5.329183911816871</v>
      </c>
    </row>
    <row r="172" spans="7:26" ht="12.75">
      <c r="G172" s="154">
        <f t="shared" si="114"/>
        <v>341</v>
      </c>
      <c r="H172" s="154">
        <f t="shared" si="98"/>
        <v>0.1321884589591469</v>
      </c>
      <c r="I172" s="154">
        <f t="shared" si="99"/>
        <v>3.223672607420722</v>
      </c>
      <c r="J172" s="154">
        <f t="shared" si="100"/>
        <v>1.6188793621103366</v>
      </c>
      <c r="K172" s="154">
        <f t="shared" si="101"/>
        <v>1.6148202348986762</v>
      </c>
      <c r="L172" s="154">
        <f t="shared" si="102"/>
        <v>0.00045657096939147324</v>
      </c>
      <c r="M172" s="154">
        <f t="shared" si="103"/>
        <v>0.5213675213675214</v>
      </c>
      <c r="N172" s="154">
        <f t="shared" si="93"/>
        <v>2.0005238390446403</v>
      </c>
      <c r="O172" s="154">
        <f t="shared" si="104"/>
        <v>0.07325223505585884</v>
      </c>
      <c r="P172" s="154">
        <f t="shared" si="105"/>
        <v>0.6778169484233846</v>
      </c>
      <c r="Q172" s="154">
        <f t="shared" si="106"/>
        <v>0.7502334098649274</v>
      </c>
      <c r="R172" s="154">
        <f t="shared" si="107"/>
        <v>0.06779950800763512</v>
      </c>
      <c r="S172" s="154">
        <f t="shared" si="108"/>
        <v>0.7603833865814694</v>
      </c>
      <c r="T172" s="154">
        <f t="shared" si="94"/>
        <v>1.9986940070861867</v>
      </c>
      <c r="U172" s="154">
        <f t="shared" si="109"/>
        <v>1.2077740354929265</v>
      </c>
      <c r="V172" s="154">
        <f t="shared" si="110"/>
        <v>4.43609603795875</v>
      </c>
      <c r="W172" s="154" t="b">
        <f t="shared" si="95"/>
        <v>0</v>
      </c>
      <c r="X172" s="163">
        <f t="shared" si="111"/>
        <v>4.784688995215311</v>
      </c>
      <c r="Y172" s="165">
        <f t="shared" si="112"/>
        <v>-0.0676555023923445</v>
      </c>
      <c r="Z172" s="166">
        <f t="shared" si="113"/>
        <v>1.5761773726483024</v>
      </c>
    </row>
    <row r="173" spans="7:26" ht="12.75">
      <c r="G173" s="153">
        <f t="shared" si="114"/>
        <v>342</v>
      </c>
      <c r="H173" s="153">
        <f t="shared" si="98"/>
        <v>0.1314165571990404</v>
      </c>
      <c r="I173" s="153">
        <f t="shared" si="99"/>
        <v>3.215708652428264</v>
      </c>
      <c r="J173" s="153">
        <f t="shared" si="100"/>
        <v>1.6094378599896875</v>
      </c>
      <c r="K173" s="153">
        <f t="shared" si="101"/>
        <v>1.6053789169930557</v>
      </c>
      <c r="L173" s="153">
        <f t="shared" si="102"/>
        <v>0.00045657096939147324</v>
      </c>
      <c r="M173" s="153">
        <f t="shared" si="103"/>
        <v>0.5213675213675214</v>
      </c>
      <c r="N173" s="153">
        <f t="shared" si="93"/>
        <v>1.9976406123585857</v>
      </c>
      <c r="O173" s="153">
        <f t="shared" si="104"/>
        <v>0.07325223505585884</v>
      </c>
      <c r="P173" s="153">
        <f t="shared" si="105"/>
        <v>0.6700891406975549</v>
      </c>
      <c r="Q173" s="153">
        <f t="shared" si="106"/>
        <v>0.7455278328896022</v>
      </c>
      <c r="R173" s="153">
        <f t="shared" si="107"/>
        <v>0.06779950800763512</v>
      </c>
      <c r="S173" s="153">
        <f t="shared" si="108"/>
        <v>0.7603833865814694</v>
      </c>
      <c r="T173" s="153">
        <f t="shared" si="94"/>
        <v>1.9965496890173675</v>
      </c>
      <c r="U173" s="153">
        <f t="shared" si="109"/>
        <v>1.205704520769263</v>
      </c>
      <c r="V173" s="153">
        <f t="shared" si="110"/>
        <v>4.43609603795875</v>
      </c>
      <c r="W173" s="153">
        <f t="shared" si="95"/>
        <v>1.9976406123585857</v>
      </c>
      <c r="X173" s="163">
        <f t="shared" si="111"/>
        <v>4.770698676515851</v>
      </c>
      <c r="Y173" s="163">
        <f t="shared" si="112"/>
        <v>-0.06745767928593413</v>
      </c>
      <c r="Z173" s="164">
        <f t="shared" si="113"/>
        <v>5.311903338346526</v>
      </c>
    </row>
    <row r="174" spans="7:26" ht="12.75">
      <c r="G174" s="154">
        <f t="shared" si="114"/>
        <v>343</v>
      </c>
      <c r="H174" s="154">
        <f t="shared" si="98"/>
        <v>0.13065139691989364</v>
      </c>
      <c r="I174" s="154">
        <f t="shared" si="99"/>
        <v>3.207791134491155</v>
      </c>
      <c r="J174" s="154">
        <f t="shared" si="100"/>
        <v>1.6000788161688728</v>
      </c>
      <c r="K174" s="154">
        <f t="shared" si="101"/>
        <v>1.5960200557784092</v>
      </c>
      <c r="L174" s="154">
        <f t="shared" si="102"/>
        <v>0.00045657096939147324</v>
      </c>
      <c r="M174" s="154">
        <f t="shared" si="103"/>
        <v>0.5213675213675214</v>
      </c>
      <c r="N174" s="154">
        <f t="shared" si="93"/>
        <v>1.9947714053165218</v>
      </c>
      <c r="O174" s="154">
        <f t="shared" si="104"/>
        <v>0.07325223505585884</v>
      </c>
      <c r="P174" s="154">
        <f t="shared" si="105"/>
        <v>0.6624725309990229</v>
      </c>
      <c r="Q174" s="154">
        <f t="shared" si="106"/>
        <v>0.7408633525398103</v>
      </c>
      <c r="R174" s="154">
        <f t="shared" si="107"/>
        <v>0.06779950800763512</v>
      </c>
      <c r="S174" s="154">
        <f t="shared" si="108"/>
        <v>0.7603833865814694</v>
      </c>
      <c r="T174" s="154">
        <f t="shared" si="94"/>
        <v>1.9944163877524312</v>
      </c>
      <c r="U174" s="154">
        <f t="shared" si="109"/>
        <v>1.2036470731868452</v>
      </c>
      <c r="V174" s="154">
        <f t="shared" si="110"/>
        <v>4.43609603795875</v>
      </c>
      <c r="W174" s="154">
        <f t="shared" si="95"/>
        <v>1.9947714053165218</v>
      </c>
      <c r="X174" s="163">
        <f t="shared" si="111"/>
        <v>4.7567899340187205</v>
      </c>
      <c r="Y174" s="165">
        <f t="shared" si="112"/>
        <v>-0.06726100966702471</v>
      </c>
      <c r="Z174" s="166">
        <f t="shared" si="113"/>
        <v>5.30617919625224</v>
      </c>
    </row>
    <row r="175" spans="7:26" ht="12.75">
      <c r="G175" s="153">
        <f t="shared" si="114"/>
        <v>344</v>
      </c>
      <c r="H175" s="153">
        <f t="shared" si="98"/>
        <v>0.12989289984644203</v>
      </c>
      <c r="I175" s="153">
        <f t="shared" si="99"/>
        <v>3.1999196486350767</v>
      </c>
      <c r="J175" s="153">
        <f t="shared" si="100"/>
        <v>1.59080127322544</v>
      </c>
      <c r="K175" s="153">
        <f t="shared" si="101"/>
        <v>1.5867426938509648</v>
      </c>
      <c r="L175" s="153">
        <f t="shared" si="102"/>
        <v>0.00045657096939147324</v>
      </c>
      <c r="M175" s="153">
        <f t="shared" si="103"/>
        <v>0.5213675213675214</v>
      </c>
      <c r="N175" s="153">
        <f t="shared" si="93"/>
        <v>1.9919161091833706</v>
      </c>
      <c r="O175" s="153">
        <f t="shared" si="104"/>
        <v>0.07325223505585884</v>
      </c>
      <c r="P175" s="153">
        <f t="shared" si="105"/>
        <v>0.6549651966267862</v>
      </c>
      <c r="Q175" s="153">
        <f t="shared" si="106"/>
        <v>0.7362394916430649</v>
      </c>
      <c r="R175" s="153">
        <f t="shared" si="107"/>
        <v>0.06779950800763512</v>
      </c>
      <c r="S175" s="153">
        <f t="shared" si="108"/>
        <v>0.7603833865814694</v>
      </c>
      <c r="T175" s="153">
        <f t="shared" si="94"/>
        <v>1.9922940173956913</v>
      </c>
      <c r="U175" s="153">
        <f t="shared" si="109"/>
        <v>1.2016015875089765</v>
      </c>
      <c r="V175" s="153">
        <f t="shared" si="110"/>
        <v>4.43609603795875</v>
      </c>
      <c r="W175" s="153">
        <f t="shared" si="95"/>
        <v>1.9919161091833706</v>
      </c>
      <c r="X175" s="163">
        <f t="shared" si="111"/>
        <v>4.74296205630355</v>
      </c>
      <c r="Y175" s="163">
        <f t="shared" si="112"/>
        <v>-0.0670654834761322</v>
      </c>
      <c r="Z175" s="164">
        <f t="shared" si="113"/>
        <v>5.300474858826064</v>
      </c>
    </row>
    <row r="176" spans="7:26" ht="12.75">
      <c r="G176" s="154">
        <f t="shared" si="114"/>
        <v>345</v>
      </c>
      <c r="H176" s="154">
        <f t="shared" si="98"/>
        <v>0.12914098883619882</v>
      </c>
      <c r="I176" s="154">
        <f t="shared" si="99"/>
        <v>3.1920937945810617</v>
      </c>
      <c r="J176" s="154">
        <f t="shared" si="100"/>
        <v>1.5816042875924867</v>
      </c>
      <c r="K176" s="154">
        <f t="shared" si="101"/>
        <v>1.5775458876622301</v>
      </c>
      <c r="L176" s="154">
        <f t="shared" si="102"/>
        <v>0.00045657096939147324</v>
      </c>
      <c r="M176" s="154">
        <f t="shared" si="103"/>
        <v>0.5213675213675214</v>
      </c>
      <c r="N176" s="154">
        <f t="shared" si="93"/>
        <v>1.9890746163802633</v>
      </c>
      <c r="O176" s="154">
        <f t="shared" si="104"/>
        <v>0.07325223505585884</v>
      </c>
      <c r="P176" s="154">
        <f t="shared" si="105"/>
        <v>0.6475652536250973</v>
      </c>
      <c r="Q176" s="154">
        <f t="shared" si="106"/>
        <v>0.7316557799323856</v>
      </c>
      <c r="R176" s="154">
        <f t="shared" si="107"/>
        <v>0.06779950800763512</v>
      </c>
      <c r="S176" s="154">
        <f t="shared" si="108"/>
        <v>0.7603833865814694</v>
      </c>
      <c r="T176" s="154">
        <f t="shared" si="94"/>
        <v>1.9901824929656553</v>
      </c>
      <c r="U176" s="154">
        <f t="shared" si="109"/>
        <v>1.1995679597190954</v>
      </c>
      <c r="V176" s="154">
        <f t="shared" si="110"/>
        <v>4.43609603795875</v>
      </c>
      <c r="W176" s="154">
        <f t="shared" si="95"/>
        <v>1.9890746163802633</v>
      </c>
      <c r="X176" s="163">
        <f t="shared" si="111"/>
        <v>4.729214340198322</v>
      </c>
      <c r="Y176" s="165">
        <f t="shared" si="112"/>
        <v>-0.06687109077040426</v>
      </c>
      <c r="Z176" s="166">
        <f t="shared" si="113"/>
        <v>5.294790193610402</v>
      </c>
    </row>
    <row r="177" spans="7:26" ht="12.75">
      <c r="G177" s="153">
        <f t="shared" si="114"/>
        <v>346</v>
      </c>
      <c r="H177" s="153">
        <f t="shared" si="98"/>
        <v>0.12839558785983965</v>
      </c>
      <c r="I177" s="153">
        <f t="shared" si="99"/>
        <v>3.1843131766776485</v>
      </c>
      <c r="J177" s="153">
        <f t="shared" si="100"/>
        <v>1.572486929318737</v>
      </c>
      <c r="K177" s="153">
        <f t="shared" si="101"/>
        <v>1.5684287072790737</v>
      </c>
      <c r="L177" s="153">
        <f t="shared" si="102"/>
        <v>0.00045657096939147324</v>
      </c>
      <c r="M177" s="153">
        <f t="shared" si="103"/>
        <v>0.5213675213675214</v>
      </c>
      <c r="N177" s="153">
        <f t="shared" si="93"/>
        <v>1.986246820468938</v>
      </c>
      <c r="O177" s="153">
        <f t="shared" si="104"/>
        <v>0.07325223505585884</v>
      </c>
      <c r="P177" s="153">
        <f t="shared" si="105"/>
        <v>0.6402708558928916</v>
      </c>
      <c r="Q177" s="153">
        <f t="shared" si="106"/>
        <v>0.727111753926723</v>
      </c>
      <c r="R177" s="153">
        <f t="shared" si="107"/>
        <v>0.06779950800763512</v>
      </c>
      <c r="S177" s="153">
        <f t="shared" si="108"/>
        <v>0.7603833865814694</v>
      </c>
      <c r="T177" s="153">
        <f t="shared" si="94"/>
        <v>1.9880817303826808</v>
      </c>
      <c r="U177" s="153">
        <f t="shared" si="109"/>
        <v>1.1975460870031442</v>
      </c>
      <c r="V177" s="153">
        <f t="shared" si="110"/>
        <v>4.43609603795875</v>
      </c>
      <c r="W177" s="153">
        <f t="shared" si="95"/>
        <v>1.986246820468938</v>
      </c>
      <c r="X177" s="163">
        <f t="shared" si="111"/>
        <v>4.715546090660176</v>
      </c>
      <c r="Y177" s="163">
        <f t="shared" si="112"/>
        <v>-0.06667782172193489</v>
      </c>
      <c r="Z177" s="164">
        <f t="shared" si="113"/>
        <v>5.2891250694187235</v>
      </c>
    </row>
    <row r="178" spans="7:26" ht="12.75">
      <c r="G178" s="154">
        <f t="shared" si="114"/>
        <v>347</v>
      </c>
      <c r="H178" s="154">
        <f t="shared" si="98"/>
        <v>0.1276566219819828</v>
      </c>
      <c r="I178" s="154">
        <f t="shared" si="99"/>
        <v>3.176577403834197</v>
      </c>
      <c r="J178" s="154">
        <f t="shared" si="100"/>
        <v>1.5634482818334532</v>
      </c>
      <c r="K178" s="154">
        <f t="shared" si="101"/>
        <v>1.5593902361486416</v>
      </c>
      <c r="L178" s="154">
        <f t="shared" si="102"/>
        <v>0.00045657096939147324</v>
      </c>
      <c r="M178" s="154">
        <f t="shared" si="103"/>
        <v>0.5213675213675214</v>
      </c>
      <c r="N178" s="154">
        <f t="shared" si="93"/>
        <v>1.983432616136394</v>
      </c>
      <c r="O178" s="154">
        <f t="shared" si="104"/>
        <v>0.07325223505585884</v>
      </c>
      <c r="P178" s="154">
        <f t="shared" si="105"/>
        <v>0.6330801943161949</v>
      </c>
      <c r="Q178" s="154">
        <f t="shared" si="106"/>
        <v>0.722606956813792</v>
      </c>
      <c r="R178" s="154">
        <f t="shared" si="107"/>
        <v>0.06779950800763512</v>
      </c>
      <c r="S178" s="154">
        <f t="shared" si="108"/>
        <v>0.7603833865814694</v>
      </c>
      <c r="T178" s="154">
        <f t="shared" si="94"/>
        <v>1.9859916464568346</v>
      </c>
      <c r="U178" s="154">
        <f t="shared" si="109"/>
        <v>1.195535867732242</v>
      </c>
      <c r="V178" s="154">
        <f t="shared" si="110"/>
        <v>4.43609603795875</v>
      </c>
      <c r="W178" s="154">
        <f t="shared" si="95"/>
        <v>1.983432616136394</v>
      </c>
      <c r="X178" s="163">
        <f t="shared" si="111"/>
        <v>4.701956620658274</v>
      </c>
      <c r="Y178" s="165">
        <f t="shared" si="112"/>
        <v>-0.066485666616108</v>
      </c>
      <c r="Z178" s="166">
        <f t="shared" si="113"/>
        <v>5.283479356319699</v>
      </c>
    </row>
    <row r="179" spans="7:26" ht="12.75">
      <c r="G179" s="153">
        <f t="shared" si="114"/>
        <v>348</v>
      </c>
      <c r="H179" s="153">
        <f t="shared" si="98"/>
        <v>0.12692401734235503</v>
      </c>
      <c r="I179" s="153">
        <f t="shared" si="99"/>
        <v>3.168886089455363</v>
      </c>
      <c r="J179" s="153">
        <f t="shared" si="100"/>
        <v>1.5544874417160675</v>
      </c>
      <c r="K179" s="153">
        <f t="shared" si="101"/>
        <v>1.5504295708679923</v>
      </c>
      <c r="L179" s="153">
        <f t="shared" si="102"/>
        <v>0.00045657096939147324</v>
      </c>
      <c r="M179" s="153">
        <f t="shared" si="103"/>
        <v>0.5213675213675214</v>
      </c>
      <c r="N179" s="153">
        <f t="shared" si="93"/>
        <v>1.980631899179793</v>
      </c>
      <c r="O179" s="153">
        <f t="shared" si="104"/>
        <v>0.07325223505585884</v>
      </c>
      <c r="P179" s="153">
        <f t="shared" si="105"/>
        <v>0.6259914959228429</v>
      </c>
      <c r="Q179" s="153">
        <f t="shared" si="106"/>
        <v>0.7181409383352575</v>
      </c>
      <c r="R179" s="153">
        <f t="shared" si="107"/>
        <v>0.06779950800763512</v>
      </c>
      <c r="S179" s="153">
        <f t="shared" si="108"/>
        <v>0.7603833865814694</v>
      </c>
      <c r="T179" s="153">
        <f t="shared" si="94"/>
        <v>1.983912158875945</v>
      </c>
      <c r="U179" s="153">
        <f t="shared" si="109"/>
        <v>1.193537201445655</v>
      </c>
      <c r="V179" s="153">
        <f t="shared" si="110"/>
        <v>4.43609603795875</v>
      </c>
      <c r="W179" s="153">
        <f t="shared" si="95"/>
        <v>1.980631899179793</v>
      </c>
      <c r="X179" s="163">
        <f t="shared" si="111"/>
        <v>4.688445251058681</v>
      </c>
      <c r="Y179" s="163">
        <f t="shared" si="112"/>
        <v>-0.06629461584996975</v>
      </c>
      <c r="Z179" s="164">
        <f t="shared" si="113"/>
        <v>5.277852925621601</v>
      </c>
    </row>
    <row r="180" spans="7:26" ht="12.75">
      <c r="G180" s="154">
        <f t="shared" si="114"/>
        <v>349</v>
      </c>
      <c r="H180" s="154">
        <f t="shared" si="98"/>
        <v>0.12619770113733517</v>
      </c>
      <c r="I180" s="154">
        <f t="shared" si="99"/>
        <v>3.1612388513766936</v>
      </c>
      <c r="J180" s="154">
        <f t="shared" si="100"/>
        <v>1.545603518470432</v>
      </c>
      <c r="K180" s="154">
        <f t="shared" si="101"/>
        <v>1.5415458209583532</v>
      </c>
      <c r="L180" s="154">
        <f t="shared" si="102"/>
        <v>0.00045657096939147324</v>
      </c>
      <c r="M180" s="154">
        <f t="shared" si="103"/>
        <v>0.5213675213675214</v>
      </c>
      <c r="N180" s="154">
        <f t="shared" si="93"/>
        <v>1.977844566491608</v>
      </c>
      <c r="O180" s="154">
        <f t="shared" si="104"/>
        <v>0.07325223505585884</v>
      </c>
      <c r="P180" s="154">
        <f t="shared" si="105"/>
        <v>0.6190030230588892</v>
      </c>
      <c r="Q180" s="154">
        <f t="shared" si="106"/>
        <v>0.7137132546742232</v>
      </c>
      <c r="R180" s="154">
        <f t="shared" si="107"/>
        <v>0.06779950800763512</v>
      </c>
      <c r="S180" s="154">
        <f t="shared" si="108"/>
        <v>0.7603833865814694</v>
      </c>
      <c r="T180" s="154">
        <f t="shared" si="94"/>
        <v>1.9818431861938537</v>
      </c>
      <c r="U180" s="154">
        <f t="shared" si="109"/>
        <v>1.1915499888340628</v>
      </c>
      <c r="V180" s="154">
        <f t="shared" si="110"/>
        <v>4.43609603795875</v>
      </c>
      <c r="W180" s="154">
        <f t="shared" si="95"/>
        <v>1.977844566491608</v>
      </c>
      <c r="X180" s="163">
        <f t="shared" si="111"/>
        <v>4.675011310511235</v>
      </c>
      <c r="Y180" s="165">
        <f t="shared" si="112"/>
        <v>-0.06610465993062886</v>
      </c>
      <c r="Z180" s="166">
        <f t="shared" si="113"/>
        <v>5.272245649856943</v>
      </c>
    </row>
    <row r="181" spans="7:26" ht="12.75">
      <c r="G181" s="153">
        <f aca="true" t="shared" si="115" ref="G181:G187">G180+1</f>
        <v>350</v>
      </c>
      <c r="H181" s="153">
        <f t="shared" si="98"/>
        <v>0.12547760160186583</v>
      </c>
      <c r="I181" s="153">
        <f t="shared" si="99"/>
        <v>3.153635311801332</v>
      </c>
      <c r="J181" s="153">
        <f t="shared" si="100"/>
        <v>1.5367956343035736</v>
      </c>
      <c r="K181" s="153">
        <f t="shared" si="101"/>
        <v>1.5327381086438772</v>
      </c>
      <c r="L181" s="153">
        <f t="shared" si="102"/>
        <v>0.00045657096939147324</v>
      </c>
      <c r="M181" s="153">
        <f t="shared" si="103"/>
        <v>0.5213675213675214</v>
      </c>
      <c r="N181" s="153">
        <f t="shared" si="93"/>
        <v>1.975070516045014</v>
      </c>
      <c r="O181" s="153">
        <f t="shared" si="104"/>
        <v>0.07325223505585884</v>
      </c>
      <c r="P181" s="153">
        <f t="shared" si="105"/>
        <v>0.6121130725860733</v>
      </c>
      <c r="Q181" s="153">
        <f t="shared" si="106"/>
        <v>0.7093234683449636</v>
      </c>
      <c r="R181" s="153">
        <f t="shared" si="107"/>
        <v>0.06779950800763512</v>
      </c>
      <c r="S181" s="153">
        <f t="shared" si="108"/>
        <v>0.7603833865814694</v>
      </c>
      <c r="T181" s="153">
        <f t="shared" si="94"/>
        <v>1.9797846478188545</v>
      </c>
      <c r="U181" s="153">
        <f t="shared" si="109"/>
        <v>1.1895741317231083</v>
      </c>
      <c r="V181" s="153">
        <f t="shared" si="110"/>
        <v>4.43609603795875</v>
      </c>
      <c r="W181" s="153">
        <f t="shared" si="95"/>
        <v>1.975070516045014</v>
      </c>
      <c r="X181" s="163">
        <f t="shared" si="111"/>
        <v>4.661654135338346</v>
      </c>
      <c r="Y181" s="163">
        <f t="shared" si="112"/>
        <v>-0.06591578947368422</v>
      </c>
      <c r="Z181" s="164">
        <f t="shared" si="113"/>
        <v>5.266657402767337</v>
      </c>
    </row>
    <row r="182" spans="7:26" ht="12.75">
      <c r="G182" s="154">
        <f t="shared" si="115"/>
        <v>351</v>
      </c>
      <c r="H182" s="154">
        <f t="shared" si="98"/>
        <v>0.12476364799172543</v>
      </c>
      <c r="I182" s="154">
        <f t="shared" si="99"/>
        <v>3.1460750972377953</v>
      </c>
      <c r="J182" s="154">
        <f t="shared" si="100"/>
        <v>1.5280629239088523</v>
      </c>
      <c r="K182" s="154">
        <f t="shared" si="101"/>
        <v>1.524005568634808</v>
      </c>
      <c r="L182" s="154">
        <f t="shared" si="102"/>
        <v>0.00045657096939147324</v>
      </c>
      <c r="M182" s="154">
        <f t="shared" si="103"/>
        <v>0.5213675213675214</v>
      </c>
      <c r="N182" s="154">
        <f t="shared" si="93"/>
        <v>1.9723096468795083</v>
      </c>
      <c r="O182" s="154">
        <f t="shared" si="104"/>
        <v>0.07325223505585884</v>
      </c>
      <c r="P182" s="154">
        <f t="shared" si="105"/>
        <v>0.6053199750997557</v>
      </c>
      <c r="Q182" s="154">
        <f t="shared" si="106"/>
        <v>0.7049711480848525</v>
      </c>
      <c r="R182" s="154">
        <f t="shared" si="107"/>
        <v>0.06779950800763512</v>
      </c>
      <c r="S182" s="154">
        <f t="shared" si="108"/>
        <v>0.7603833865814694</v>
      </c>
      <c r="T182" s="154">
        <f t="shared" si="94"/>
        <v>1.9777364640023194</v>
      </c>
      <c r="U182" s="154">
        <f t="shared" si="109"/>
        <v>1.1876095330572305</v>
      </c>
      <c r="V182" s="154">
        <f t="shared" si="110"/>
        <v>4.43609603795875</v>
      </c>
      <c r="W182" s="154">
        <f t="shared" si="95"/>
        <v>1.9723096468795083</v>
      </c>
      <c r="X182" s="163">
        <f t="shared" si="111"/>
        <v>4.648373069425701</v>
      </c>
      <c r="Y182" s="165">
        <f t="shared" si="112"/>
        <v>-0.06572799520167942</v>
      </c>
      <c r="Z182" s="166">
        <f t="shared" si="113"/>
        <v>5.261088059288602</v>
      </c>
    </row>
    <row r="183" spans="7:26" ht="12.75">
      <c r="G183" s="153">
        <f t="shared" si="115"/>
        <v>352</v>
      </c>
      <c r="H183" s="153">
        <f t="shared" si="98"/>
        <v>0.12405577056615255</v>
      </c>
      <c r="I183" s="153">
        <f t="shared" si="99"/>
        <v>3.1385578384388246</v>
      </c>
      <c r="J183" s="153">
        <f t="shared" si="100"/>
        <v>1.5194045342534335</v>
      </c>
      <c r="K183" s="153">
        <f t="shared" si="101"/>
        <v>1.5153473479149542</v>
      </c>
      <c r="L183" s="153">
        <f t="shared" si="102"/>
        <v>0.00045657096939147324</v>
      </c>
      <c r="M183" s="153">
        <f t="shared" si="103"/>
        <v>0.5213675213675214</v>
      </c>
      <c r="N183" s="153">
        <f t="shared" si="93"/>
        <v>1.9695618590867712</v>
      </c>
      <c r="O183" s="153">
        <f t="shared" si="104"/>
        <v>0.07325223505585884</v>
      </c>
      <c r="P183" s="153">
        <f t="shared" si="105"/>
        <v>0.5986220941667462</v>
      </c>
      <c r="Q183" s="153">
        <f t="shared" si="106"/>
        <v>0.7006558687484397</v>
      </c>
      <c r="R183" s="153">
        <f t="shared" si="107"/>
        <v>0.06779950800763512</v>
      </c>
      <c r="S183" s="153">
        <f t="shared" si="108"/>
        <v>0.7603833865814694</v>
      </c>
      <c r="T183" s="153">
        <f t="shared" si="94"/>
        <v>1.9756985558275093</v>
      </c>
      <c r="U183" s="153">
        <f t="shared" si="109"/>
        <v>1.1856560968837724</v>
      </c>
      <c r="V183" s="153">
        <f t="shared" si="110"/>
        <v>4.43609603795875</v>
      </c>
      <c r="W183" s="153">
        <f t="shared" si="95"/>
        <v>1.9695618590867712</v>
      </c>
      <c r="X183" s="163">
        <f t="shared" si="111"/>
        <v>4.635167464114833</v>
      </c>
      <c r="Y183" s="163">
        <f t="shared" si="112"/>
        <v>-0.06554126794258373</v>
      </c>
      <c r="Z183" s="164">
        <f t="shared" si="113"/>
        <v>5.255537495536076</v>
      </c>
    </row>
    <row r="184" spans="7:26" ht="12.75">
      <c r="G184" s="154">
        <f t="shared" si="115"/>
        <v>353</v>
      </c>
      <c r="H184" s="154">
        <f t="shared" si="98"/>
        <v>0.12335390057081401</v>
      </c>
      <c r="I184" s="154">
        <f t="shared" si="99"/>
        <v>3.1310831703412645</v>
      </c>
      <c r="J184" s="154">
        <f t="shared" si="100"/>
        <v>1.5108196243699599</v>
      </c>
      <c r="K184" s="154">
        <f t="shared" si="101"/>
        <v>1.5067626055333674</v>
      </c>
      <c r="L184" s="154">
        <f t="shared" si="102"/>
        <v>0.00045657096939147324</v>
      </c>
      <c r="M184" s="154">
        <f t="shared" si="103"/>
        <v>0.5213675213675214</v>
      </c>
      <c r="N184" s="154">
        <f t="shared" si="93"/>
        <v>1.9668270537967478</v>
      </c>
      <c r="O184" s="154">
        <f t="shared" si="104"/>
        <v>0.07325223505585884</v>
      </c>
      <c r="P184" s="154">
        <f t="shared" si="105"/>
        <v>0.5920178255824585</v>
      </c>
      <c r="Q184" s="154">
        <f t="shared" si="106"/>
        <v>0.6963772112036233</v>
      </c>
      <c r="R184" s="154">
        <f t="shared" si="107"/>
        <v>0.06779950800763512</v>
      </c>
      <c r="S184" s="154">
        <f t="shared" si="108"/>
        <v>0.7603833865814694</v>
      </c>
      <c r="T184" s="154">
        <f t="shared" si="94"/>
        <v>1.9736708451985625</v>
      </c>
      <c r="U184" s="154">
        <f t="shared" si="109"/>
        <v>1.1837137283373593</v>
      </c>
      <c r="V184" s="154">
        <f t="shared" si="110"/>
        <v>4.43609603795875</v>
      </c>
      <c r="W184" s="154">
        <f t="shared" si="95"/>
        <v>1.9668270537967478</v>
      </c>
      <c r="X184" s="163">
        <f t="shared" si="111"/>
        <v>4.62203667809751</v>
      </c>
      <c r="Y184" s="165">
        <f t="shared" si="112"/>
        <v>-0.06535559862829879</v>
      </c>
      <c r="Z184" s="166">
        <f t="shared" si="113"/>
        <v>5.250005588790167</v>
      </c>
    </row>
    <row r="185" spans="7:26" ht="12.75">
      <c r="G185" s="153">
        <f t="shared" si="115"/>
        <v>354</v>
      </c>
      <c r="H185" s="153">
        <f t="shared" si="98"/>
        <v>0.12265797022110954</v>
      </c>
      <c r="I185" s="153">
        <f t="shared" si="99"/>
        <v>3.1236507320069666</v>
      </c>
      <c r="J185" s="153">
        <f t="shared" si="100"/>
        <v>1.5023073651523462</v>
      </c>
      <c r="K185" s="153">
        <f t="shared" si="101"/>
        <v>1.4982505124001388</v>
      </c>
      <c r="L185" s="153">
        <f t="shared" si="102"/>
        <v>0.00045657096939147324</v>
      </c>
      <c r="M185" s="153">
        <f t="shared" si="103"/>
        <v>0.5213675213675214</v>
      </c>
      <c r="N185" s="153">
        <f t="shared" si="93"/>
        <v>1.964105133163955</v>
      </c>
      <c r="O185" s="153">
        <f t="shared" si="104"/>
        <v>0.07325223505585884</v>
      </c>
      <c r="P185" s="153">
        <f t="shared" si="105"/>
        <v>0.5855055966468511</v>
      </c>
      <c r="Q185" s="153">
        <f t="shared" si="106"/>
        <v>0.6921347622298736</v>
      </c>
      <c r="R185" s="153">
        <f t="shared" si="107"/>
        <v>0.06779950800763512</v>
      </c>
      <c r="S185" s="153">
        <f t="shared" si="108"/>
        <v>0.7603833865814694</v>
      </c>
      <c r="T185" s="153">
        <f t="shared" si="94"/>
        <v>1.9716532548296621</v>
      </c>
      <c r="U185" s="153">
        <f t="shared" si="109"/>
        <v>1.181782333624542</v>
      </c>
      <c r="V185" s="153">
        <f t="shared" si="110"/>
        <v>4.43609603795875</v>
      </c>
      <c r="W185" s="153">
        <f t="shared" si="95"/>
        <v>1.964105133163955</v>
      </c>
      <c r="X185" s="163">
        <f t="shared" si="111"/>
        <v>4.608980077311924</v>
      </c>
      <c r="Y185" s="163">
        <f t="shared" si="112"/>
        <v>-0.0651709782931906</v>
      </c>
      <c r="Z185" s="164">
        <f t="shared" si="113"/>
        <v>5.2444922174821125</v>
      </c>
    </row>
    <row r="186" spans="7:26" ht="12.75">
      <c r="G186" s="154">
        <f t="shared" si="115"/>
        <v>355</v>
      </c>
      <c r="H186" s="154">
        <f t="shared" si="98"/>
        <v>0.12196791268580491</v>
      </c>
      <c r="I186" s="154">
        <f t="shared" si="99"/>
        <v>3.1162601665646936</v>
      </c>
      <c r="J186" s="154">
        <f t="shared" si="100"/>
        <v>1.493866939155585</v>
      </c>
      <c r="K186" s="154">
        <f t="shared" si="101"/>
        <v>1.4898102510862106</v>
      </c>
      <c r="L186" s="154">
        <f t="shared" si="102"/>
        <v>0.00045657096939147324</v>
      </c>
      <c r="M186" s="154">
        <f t="shared" si="103"/>
        <v>0.5213675213675214</v>
      </c>
      <c r="N186" s="154">
        <f t="shared" si="93"/>
        <v>1.961396000354004</v>
      </c>
      <c r="O186" s="154">
        <f t="shared" si="104"/>
        <v>0.07325223505585884</v>
      </c>
      <c r="P186" s="154">
        <f t="shared" si="105"/>
        <v>0.5790838654586258</v>
      </c>
      <c r="Q186" s="154">
        <f t="shared" si="106"/>
        <v>0.6879281144184589</v>
      </c>
      <c r="R186" s="154">
        <f t="shared" si="107"/>
        <v>0.06779950800763512</v>
      </c>
      <c r="S186" s="154">
        <f t="shared" si="108"/>
        <v>0.7603833865814694</v>
      </c>
      <c r="T186" s="154">
        <f t="shared" si="94"/>
        <v>1.9696457082343741</v>
      </c>
      <c r="U186" s="154">
        <f t="shared" si="109"/>
        <v>1.1798618200086985</v>
      </c>
      <c r="V186" s="154">
        <f t="shared" si="110"/>
        <v>4.43609603795875</v>
      </c>
      <c r="W186" s="154">
        <f t="shared" si="95"/>
        <v>1.961396000354004</v>
      </c>
      <c r="X186" s="163">
        <f t="shared" si="111"/>
        <v>4.5959970348406225</v>
      </c>
      <c r="Y186" s="165">
        <f t="shared" si="112"/>
        <v>-0.06498739807264639</v>
      </c>
      <c r="Z186" s="166">
        <f t="shared" si="113"/>
        <v>5.238997261179959</v>
      </c>
    </row>
    <row r="187" spans="7:26" ht="12.75">
      <c r="G187" s="153">
        <f t="shared" si="115"/>
        <v>356</v>
      </c>
      <c r="H187" s="153">
        <f t="shared" si="98"/>
        <v>0.12128366207098665</v>
      </c>
      <c r="I187" s="153">
        <f t="shared" si="99"/>
        <v>3.108911121152995</v>
      </c>
      <c r="J187" s="153">
        <f t="shared" si="100"/>
        <v>1.485497540399491</v>
      </c>
      <c r="K187" s="153">
        <f t="shared" si="101"/>
        <v>1.481441015627123</v>
      </c>
      <c r="L187" s="153">
        <f t="shared" si="102"/>
        <v>0.00045657096939147324</v>
      </c>
      <c r="M187" s="153">
        <f t="shared" si="103"/>
        <v>0.5213675213675214</v>
      </c>
      <c r="N187" s="153">
        <f t="shared" si="93"/>
        <v>1.958699559530344</v>
      </c>
      <c r="O187" s="153">
        <f t="shared" si="104"/>
        <v>0.07325223505585884</v>
      </c>
      <c r="P187" s="153">
        <f t="shared" si="105"/>
        <v>0.5727511202271757</v>
      </c>
      <c r="Q187" s="153">
        <f t="shared" si="106"/>
        <v>0.6837568660746325</v>
      </c>
      <c r="R187" s="153">
        <f t="shared" si="107"/>
        <v>0.06779950800763512</v>
      </c>
      <c r="S187" s="153">
        <f t="shared" si="108"/>
        <v>0.7603833865814694</v>
      </c>
      <c r="T187" s="153">
        <f t="shared" si="94"/>
        <v>1.9676481297151565</v>
      </c>
      <c r="U187" s="153">
        <f t="shared" si="109"/>
        <v>1.1779520957951908</v>
      </c>
      <c r="V187" s="153">
        <f t="shared" si="110"/>
        <v>4.43609603795875</v>
      </c>
      <c r="W187" s="153">
        <f t="shared" si="95"/>
        <v>1.958699559530344</v>
      </c>
      <c r="X187" s="163">
        <f t="shared" si="111"/>
        <v>4.583086930810172</v>
      </c>
      <c r="Y187" s="163">
        <f t="shared" si="112"/>
        <v>-0.06480484920165583</v>
      </c>
      <c r="Z187" s="164">
        <f t="shared" si="113"/>
        <v>5.233520600574744</v>
      </c>
    </row>
    <row r="189" ht="12.75">
      <c r="G189" s="148" t="s">
        <v>480</v>
      </c>
    </row>
    <row r="190" spans="7:26" ht="15.75">
      <c r="G190" s="149" t="s">
        <v>481</v>
      </c>
      <c r="H190" s="149" t="s">
        <v>131</v>
      </c>
      <c r="I190" s="149" t="s">
        <v>321</v>
      </c>
      <c r="J190" s="150" t="s">
        <v>455</v>
      </c>
      <c r="K190" s="150" t="s">
        <v>456</v>
      </c>
      <c r="L190" s="150" t="s">
        <v>457</v>
      </c>
      <c r="M190" s="150" t="s">
        <v>458</v>
      </c>
      <c r="N190" s="151" t="s">
        <v>322</v>
      </c>
      <c r="O190" s="150" t="s">
        <v>459</v>
      </c>
      <c r="P190" s="150" t="s">
        <v>460</v>
      </c>
      <c r="Q190" s="150" t="s">
        <v>461</v>
      </c>
      <c r="R190" s="150" t="s">
        <v>462</v>
      </c>
      <c r="S190" s="150" t="s">
        <v>463</v>
      </c>
      <c r="T190" s="150" t="s">
        <v>340</v>
      </c>
      <c r="U190" s="150" t="s">
        <v>345</v>
      </c>
      <c r="V190" s="150" t="s">
        <v>348</v>
      </c>
      <c r="W190" s="152" t="s">
        <v>132</v>
      </c>
      <c r="X190" s="167" t="s">
        <v>484</v>
      </c>
      <c r="Y190" s="167" t="s">
        <v>485</v>
      </c>
      <c r="Z190" s="168" t="s">
        <v>486</v>
      </c>
    </row>
    <row r="191" spans="7:26" ht="12.75">
      <c r="G191" s="153">
        <v>1</v>
      </c>
      <c r="H191" s="153">
        <f aca="true" t="shared" si="116" ref="H191:H222">(((G191/100)*Iout)*(Vout_nom^2)*2.5*Rsense*K_1)/(eff*(Vline^2)*K_FQ)*us</f>
        <v>0.0036575862453845486</v>
      </c>
      <c r="I191" s="153">
        <f aca="true" t="shared" si="117" ref="I191:I222">(1*10^-9*(5*10^8*SQRT(fsw*kHz)+(1.09655978*10^10)*SQRT(ftyp)*SQRT(H191)))/SQRT(fsw*kHz)</f>
        <v>0.9530596873807152</v>
      </c>
      <c r="J191" s="153">
        <f aca="true" t="shared" si="118" ref="J191:J222">(b_1^3/(27*a_1^3))-(d_1^3/27)+SQRT((ftyp)^2*H191^2/(4*a_1^2*c_1^2*(fsw*kHz)^2))+(b_1^3*(ftyp)*H191/(27*a_1^4*c_1*(fsw*kHz))-(d_1^3*(ftyp)*H191/(27*a_1*c_1*(fsw*kHz)))+(b_1*d_1^2*(ftyp)*H191/(9*a_1^2*c_1*(fsw*kHz)))-(b_1^2*d_1*(ftyp)*H191/(9*a_1^3*c_1*(fsw*kHz))))</f>
        <v>0.046756366655009235</v>
      </c>
      <c r="K191" s="153">
        <f aca="true" t="shared" si="119" ref="K191:K222">(b_1*d_1^2/(9*a_1))-(b_1^2*d_1/(9*a_1^2))+(ftyp*H191/(2*a_1*c_1*fsw*kHz))</f>
        <v>0.04272791344827105</v>
      </c>
      <c r="L191" s="153">
        <f aca="true" t="shared" si="120" ref="L191:L222">(d_1^2/9)+(b_1^2/(9*a_1^2))-(2*b_1*d_1/(9*a_1))</f>
        <v>0.00045657096939147324</v>
      </c>
      <c r="M191" s="153">
        <f aca="true" t="shared" si="121" ref="M191:M222">((b_1*c_1*fsw*kHz)+(2*a_1*c_1*d_1*fsw*kHz))/(3*a_1*c_1*fsw*kHz)</f>
        <v>0.5213675213675214</v>
      </c>
      <c r="N191" s="153">
        <f>(J191+K191)^(1/3)+(L191/(J191^(1/3)))+M191</f>
        <v>0.969917719050836</v>
      </c>
      <c r="O191" s="153">
        <f aca="true" t="shared" si="122" ref="O191:O222">(b_2^3/(27*a_2^3))-(d_2^3/27)</f>
        <v>0.07325223505585884</v>
      </c>
      <c r="P191" s="153">
        <f aca="true" t="shared" si="123" ref="P191:P222">(ftyp^2*H191^2/(4*a_2^2*c_2^2*(fsw*kHz)^2))+(b_2^3*ftyp*H191/(27*a_2^4*c_2*(fsw*kHz)))-(d_2^3*ftyp*H191/(27*a_2*c_2*(fsw*kHz)))+(b_2*d_2^2*ftyp*H191/(9*a_2^2*c_2*(fsw*kHz)))-(b_2^2*d_2*ftyp*H191/(9*a_2^3*c_2*(fsw*kHz)))</f>
        <v>0.0012844085546705039</v>
      </c>
      <c r="Q191" s="153">
        <f aca="true" t="shared" si="124" ref="Q191:Q222">(b_2*d_2^2/(9*a_2))-(b_2^2*d_2/(9*a_2^2))+(ftyp*H191/(2*a_2*c_2*(fsw*kHz)))</f>
        <v>-0.033301421273293816</v>
      </c>
      <c r="R191" s="153">
        <f aca="true" t="shared" si="125" ref="R191:R222">(d_2^2/9)+(b_2^2/(9*a_2^2))-(2*b_2*d_2/(9*a_2))</f>
        <v>0.06779950800763512</v>
      </c>
      <c r="S191" s="153">
        <f aca="true" t="shared" si="126" ref="S191:S222">(b_2*c_2*(fsw*kHz)+2*a_2*c_2*d_2*(fsw*kHz))/(3*a_2*c_2*(fsw*kHz))</f>
        <v>0.7603833865814694</v>
      </c>
      <c r="T191" s="153">
        <f>((O191+SQRT(P191)+Q191)^(1/3))+(R191/((O191+SQRT(P191)+Q191)^(1/3)))+S191</f>
        <v>1.3437844784351758</v>
      </c>
      <c r="U191" s="153">
        <f aca="true" t="shared" si="127" ref="U191:U222">c_3+(SQRT(ftyp)*SQRT(H191)/(SQRT(a_3)*SQRT(b_3)*SQRT(fsw*kHz)))</f>
        <v>0.6177321688307746</v>
      </c>
      <c r="V191" s="153">
        <f aca="true" t="shared" si="128" ref="V191:V222">(a_4*(fsw*kHz)*b_4/ftyp)</f>
        <v>4.43609603795875</v>
      </c>
      <c r="W191" s="153">
        <f aca="true" t="shared" si="129" ref="W191:W222">IF(I191&gt;=0.5,IF(I191&lt;1,I191,IF(N191&gt;=1,IF(N191&lt;2,N191,IF(VCOMP3&gt;=2,IF(T191&lt;4.5,T191,IF(U191&gt;=4.5,IF(U191&lt;4.6,U191,V191))))))))</f>
        <v>0.9530596873807152</v>
      </c>
      <c r="X191" s="169">
        <f aca="true" t="shared" si="130" ref="X191:X222">Pin_max*G191/(Vline*100)</f>
        <v>0.07958921694480102</v>
      </c>
      <c r="Y191" s="169">
        <f aca="true" t="shared" si="131" ref="Y191:Y222">-Rsense*X191*1.414</f>
        <v>-0.0011253915275994863</v>
      </c>
      <c r="Z191" s="170">
        <f aca="true" t="shared" si="132" ref="Z191:Z222">MIN(6,MAX(0.5,Beta*G*($Y191-Voff_trim)/(MAX(0,MIN(4.5,W191)-Alpha1_A)+MAX(0,MIN(4.5,W191)-Alpha1_B)-Alpha1_C)+Alpha2))</f>
        <v>0.5</v>
      </c>
    </row>
    <row r="192" spans="7:26" ht="12.75">
      <c r="G192" s="154">
        <v>2</v>
      </c>
      <c r="H192" s="154">
        <f t="shared" si="116"/>
        <v>0.007315172490769097</v>
      </c>
      <c r="I192" s="154">
        <f t="shared" si="117"/>
        <v>1.1407231544583223</v>
      </c>
      <c r="J192" s="154">
        <f t="shared" si="118"/>
        <v>0.09149406525475168</v>
      </c>
      <c r="K192" s="154">
        <f t="shared" si="119"/>
        <v>0.08746473916186463</v>
      </c>
      <c r="L192" s="154">
        <f t="shared" si="120"/>
        <v>0.00045657096939147324</v>
      </c>
      <c r="M192" s="154">
        <f t="shared" si="121"/>
        <v>0.5213675213675214</v>
      </c>
      <c r="N192" s="154">
        <f aca="true" t="shared" si="133" ref="N192:N255">(J192+K192)^(1/3)+(L192/(J192^(1/3)))+M192</f>
        <v>1.0859115994040096</v>
      </c>
      <c r="O192" s="154">
        <f t="shared" si="122"/>
        <v>0.07325223505585884</v>
      </c>
      <c r="P192" s="154">
        <f t="shared" si="123"/>
        <v>0.003563124914451987</v>
      </c>
      <c r="Q192" s="154">
        <f t="shared" si="124"/>
        <v>-0.011004472994314271</v>
      </c>
      <c r="R192" s="154">
        <f t="shared" si="125"/>
        <v>0.06779950800763512</v>
      </c>
      <c r="S192" s="154">
        <f t="shared" si="126"/>
        <v>0.7603833865814694</v>
      </c>
      <c r="T192" s="154">
        <f aca="true" t="shared" si="134" ref="T192:T255">((O192+SQRT(P192)+Q192)^(1/3))+(R192/((O192+SQRT(P192)+Q192)^(1/3)))+S192</f>
        <v>1.3929932309002413</v>
      </c>
      <c r="U192" s="154">
        <f t="shared" si="127"/>
        <v>0.6664984298880804</v>
      </c>
      <c r="V192" s="154">
        <f t="shared" si="128"/>
        <v>4.43609603795875</v>
      </c>
      <c r="W192" s="154">
        <f t="shared" si="129"/>
        <v>1.0859115994040096</v>
      </c>
      <c r="X192" s="171">
        <f t="shared" si="130"/>
        <v>0.15917843388960204</v>
      </c>
      <c r="Y192" s="171">
        <f t="shared" si="131"/>
        <v>-0.0022507830551989727</v>
      </c>
      <c r="Z192" s="172">
        <f t="shared" si="132"/>
        <v>0.5</v>
      </c>
    </row>
    <row r="193" spans="7:26" ht="12.75">
      <c r="G193" s="153">
        <v>3</v>
      </c>
      <c r="H193" s="153">
        <f t="shared" si="116"/>
        <v>0.010972758736153644</v>
      </c>
      <c r="I193" s="153">
        <f t="shared" si="117"/>
        <v>1.2847223974046709</v>
      </c>
      <c r="J193" s="153">
        <f t="shared" si="118"/>
        <v>0.13623176385449412</v>
      </c>
      <c r="K193" s="153">
        <f t="shared" si="119"/>
        <v>0.13220156487545817</v>
      </c>
      <c r="L193" s="153">
        <f t="shared" si="120"/>
        <v>0.00045657096939147324</v>
      </c>
      <c r="M193" s="153">
        <f t="shared" si="121"/>
        <v>0.5213675213675214</v>
      </c>
      <c r="N193" s="153">
        <f t="shared" si="133"/>
        <v>1.1673327187641587</v>
      </c>
      <c r="O193" s="153">
        <f t="shared" si="122"/>
        <v>0.07325223505585884</v>
      </c>
      <c r="P193" s="153">
        <f t="shared" si="123"/>
        <v>0.006836149079344442</v>
      </c>
      <c r="Q193" s="153">
        <f t="shared" si="124"/>
        <v>0.011292475284665274</v>
      </c>
      <c r="R193" s="153">
        <f t="shared" si="125"/>
        <v>0.06779950800763512</v>
      </c>
      <c r="S193" s="153">
        <f t="shared" si="126"/>
        <v>0.7603833865814694</v>
      </c>
      <c r="T193" s="153">
        <f t="shared" si="134"/>
        <v>1.4343816632049637</v>
      </c>
      <c r="U193" s="153">
        <f t="shared" si="127"/>
        <v>0.7039180981001785</v>
      </c>
      <c r="V193" s="153">
        <f t="shared" si="128"/>
        <v>4.43609603795875</v>
      </c>
      <c r="W193" s="153">
        <f t="shared" si="129"/>
        <v>1.1673327187641587</v>
      </c>
      <c r="X193" s="169">
        <f t="shared" si="130"/>
        <v>0.2387676508344031</v>
      </c>
      <c r="Y193" s="169">
        <f t="shared" si="131"/>
        <v>-0.0033761745827984597</v>
      </c>
      <c r="Z193" s="170">
        <f t="shared" si="132"/>
        <v>0.5</v>
      </c>
    </row>
    <row r="194" spans="7:26" ht="12.75">
      <c r="G194" s="154">
        <v>4</v>
      </c>
      <c r="H194" s="154">
        <f t="shared" si="116"/>
        <v>0.014630344981538194</v>
      </c>
      <c r="I194" s="154">
        <f t="shared" si="117"/>
        <v>1.4061193747614305</v>
      </c>
      <c r="J194" s="154">
        <f t="shared" si="118"/>
        <v>0.1809694624542366</v>
      </c>
      <c r="K194" s="154">
        <f t="shared" si="119"/>
        <v>0.17693839058905178</v>
      </c>
      <c r="L194" s="154">
        <f t="shared" si="120"/>
        <v>0.00045657096939147324</v>
      </c>
      <c r="M194" s="154">
        <f t="shared" si="121"/>
        <v>0.5213675213675214</v>
      </c>
      <c r="N194" s="154">
        <f t="shared" si="133"/>
        <v>1.2321726256624328</v>
      </c>
      <c r="O194" s="154">
        <f t="shared" si="122"/>
        <v>0.07325223505585884</v>
      </c>
      <c r="P194" s="154">
        <f t="shared" si="123"/>
        <v>0.011103481049347885</v>
      </c>
      <c r="Q194" s="154">
        <f t="shared" si="124"/>
        <v>0.03358942356364482</v>
      </c>
      <c r="R194" s="154">
        <f t="shared" si="125"/>
        <v>0.06779950800763512</v>
      </c>
      <c r="S194" s="154">
        <f t="shared" si="126"/>
        <v>0.7603833865814694</v>
      </c>
      <c r="T194" s="154">
        <f t="shared" si="134"/>
        <v>1.470524899629302</v>
      </c>
      <c r="U194" s="154">
        <f t="shared" si="127"/>
        <v>0.7354643376615492</v>
      </c>
      <c r="V194" s="154">
        <f t="shared" si="128"/>
        <v>4.43609603795875</v>
      </c>
      <c r="W194" s="154">
        <f t="shared" si="129"/>
        <v>1.2321726256624328</v>
      </c>
      <c r="X194" s="171">
        <f t="shared" si="130"/>
        <v>0.3183568677792041</v>
      </c>
      <c r="Y194" s="171">
        <f t="shared" si="131"/>
        <v>-0.004501566110397945</v>
      </c>
      <c r="Z194" s="172">
        <f t="shared" si="132"/>
        <v>0.5</v>
      </c>
    </row>
    <row r="195" spans="7:26" ht="12.75">
      <c r="G195" s="153">
        <v>5</v>
      </c>
      <c r="H195" s="153">
        <f t="shared" si="116"/>
        <v>0.018287931226922745</v>
      </c>
      <c r="I195" s="153">
        <f t="shared" si="117"/>
        <v>1.5130722588480832</v>
      </c>
      <c r="J195" s="153">
        <f t="shared" si="118"/>
        <v>0.22570716105397903</v>
      </c>
      <c r="K195" s="153">
        <f t="shared" si="119"/>
        <v>0.2216752163026454</v>
      </c>
      <c r="L195" s="153">
        <f t="shared" si="120"/>
        <v>0.00045657096939147324</v>
      </c>
      <c r="M195" s="153">
        <f t="shared" si="121"/>
        <v>0.5213675213675214</v>
      </c>
      <c r="N195" s="153">
        <f t="shared" si="133"/>
        <v>1.2869380873393563</v>
      </c>
      <c r="O195" s="153">
        <f t="shared" si="122"/>
        <v>0.07325223505585884</v>
      </c>
      <c r="P195" s="153">
        <f t="shared" si="123"/>
        <v>0.016365120824462294</v>
      </c>
      <c r="Q195" s="153">
        <f t="shared" si="124"/>
        <v>0.05588637184262439</v>
      </c>
      <c r="R195" s="153">
        <f t="shared" si="125"/>
        <v>0.06779950800763512</v>
      </c>
      <c r="S195" s="153">
        <f t="shared" si="126"/>
        <v>0.7603833865814694</v>
      </c>
      <c r="T195" s="153">
        <f t="shared" si="134"/>
        <v>1.5028528631764742</v>
      </c>
      <c r="U195" s="153">
        <f t="shared" si="127"/>
        <v>0.763257132644094</v>
      </c>
      <c r="V195" s="153">
        <f t="shared" si="128"/>
        <v>4.43609603795875</v>
      </c>
      <c r="W195" s="153">
        <f t="shared" si="129"/>
        <v>1.2869380873393563</v>
      </c>
      <c r="X195" s="169">
        <f t="shared" si="130"/>
        <v>0.3979460847240051</v>
      </c>
      <c r="Y195" s="169">
        <f t="shared" si="131"/>
        <v>-0.005626957637997432</v>
      </c>
      <c r="Z195" s="170">
        <f t="shared" si="132"/>
        <v>0.5</v>
      </c>
    </row>
    <row r="196" spans="6:26" ht="12.75">
      <c r="F196" s="156"/>
      <c r="G196" s="154">
        <v>6</v>
      </c>
      <c r="H196" s="154">
        <f t="shared" si="116"/>
        <v>0.021945517472307288</v>
      </c>
      <c r="I196" s="154">
        <f t="shared" si="117"/>
        <v>1.6097650571076154</v>
      </c>
      <c r="J196" s="154">
        <f t="shared" si="118"/>
        <v>0.27044485965372145</v>
      </c>
      <c r="K196" s="154">
        <f t="shared" si="119"/>
        <v>0.26641204201623886</v>
      </c>
      <c r="L196" s="154">
        <f t="shared" si="120"/>
        <v>0.00045657096939147324</v>
      </c>
      <c r="M196" s="154">
        <f t="shared" si="121"/>
        <v>0.5213675213675214</v>
      </c>
      <c r="N196" s="154">
        <f t="shared" si="133"/>
        <v>1.334815807369901</v>
      </c>
      <c r="O196" s="154">
        <f t="shared" si="122"/>
        <v>0.07325223505585884</v>
      </c>
      <c r="P196" s="154">
        <f t="shared" si="123"/>
        <v>0.022621068404687684</v>
      </c>
      <c r="Q196" s="154">
        <f t="shared" si="124"/>
        <v>0.07818332012160391</v>
      </c>
      <c r="R196" s="154">
        <f t="shared" si="125"/>
        <v>0.06779950800763512</v>
      </c>
      <c r="S196" s="154">
        <f t="shared" si="126"/>
        <v>0.7603833865814694</v>
      </c>
      <c r="T196" s="154">
        <f t="shared" si="134"/>
        <v>1.5322540657141985</v>
      </c>
      <c r="U196" s="154">
        <f t="shared" si="127"/>
        <v>0.7883837399465997</v>
      </c>
      <c r="V196" s="154">
        <f t="shared" si="128"/>
        <v>4.43609603795875</v>
      </c>
      <c r="W196" s="154">
        <f t="shared" si="129"/>
        <v>1.334815807369901</v>
      </c>
      <c r="X196" s="171">
        <f t="shared" si="130"/>
        <v>0.4775353016688062</v>
      </c>
      <c r="Y196" s="171">
        <f t="shared" si="131"/>
        <v>-0.006752349165596919</v>
      </c>
      <c r="Z196" s="172">
        <f t="shared" si="132"/>
        <v>0.6470775020811166</v>
      </c>
    </row>
    <row r="197" spans="7:26" ht="12.75">
      <c r="G197" s="153">
        <v>7</v>
      </c>
      <c r="H197" s="153">
        <f t="shared" si="116"/>
        <v>0.02560310371769184</v>
      </c>
      <c r="I197" s="153">
        <f t="shared" si="117"/>
        <v>1.6986832618780408</v>
      </c>
      <c r="J197" s="153">
        <f t="shared" si="118"/>
        <v>0.31518255825346386</v>
      </c>
      <c r="K197" s="153">
        <f t="shared" si="119"/>
        <v>0.3111488677298325</v>
      </c>
      <c r="L197" s="153">
        <f t="shared" si="120"/>
        <v>0.00045657096939147324</v>
      </c>
      <c r="M197" s="153">
        <f t="shared" si="121"/>
        <v>0.5213675213675214</v>
      </c>
      <c r="N197" s="153">
        <f t="shared" si="133"/>
        <v>1.3776330803157935</v>
      </c>
      <c r="O197" s="153">
        <f t="shared" si="122"/>
        <v>0.07325223505585884</v>
      </c>
      <c r="P197" s="153">
        <f t="shared" si="123"/>
        <v>0.02987132379002406</v>
      </c>
      <c r="Q197" s="153">
        <f t="shared" si="124"/>
        <v>0.10048026840058345</v>
      </c>
      <c r="R197" s="153">
        <f t="shared" si="125"/>
        <v>0.06779950800763512</v>
      </c>
      <c r="S197" s="153">
        <f t="shared" si="126"/>
        <v>0.7603833865814694</v>
      </c>
      <c r="T197" s="153">
        <f t="shared" si="134"/>
        <v>1.5593238120790787</v>
      </c>
      <c r="U197" s="153">
        <f t="shared" si="127"/>
        <v>0.8114900400384997</v>
      </c>
      <c r="V197" s="153">
        <f t="shared" si="128"/>
        <v>4.43609603795875</v>
      </c>
      <c r="W197" s="153">
        <f t="shared" si="129"/>
        <v>1.3776330803157935</v>
      </c>
      <c r="X197" s="169">
        <f t="shared" si="130"/>
        <v>0.5571245186136071</v>
      </c>
      <c r="Y197" s="169">
        <f t="shared" si="131"/>
        <v>-0.007877740693196404</v>
      </c>
      <c r="Z197" s="170">
        <f t="shared" si="132"/>
        <v>0.7938262844359412</v>
      </c>
    </row>
    <row r="198" spans="7:26" ht="12.75">
      <c r="G198" s="154">
        <v>8</v>
      </c>
      <c r="H198" s="154">
        <f t="shared" si="116"/>
        <v>0.02926068996307639</v>
      </c>
      <c r="I198" s="154">
        <f t="shared" si="117"/>
        <v>1.7814463089166441</v>
      </c>
      <c r="J198" s="154">
        <f t="shared" si="118"/>
        <v>0.3599202568532064</v>
      </c>
      <c r="K198" s="154">
        <f t="shared" si="119"/>
        <v>0.3558856934434261</v>
      </c>
      <c r="L198" s="154">
        <f t="shared" si="120"/>
        <v>0.00045657096939147324</v>
      </c>
      <c r="M198" s="154">
        <f t="shared" si="121"/>
        <v>0.5213675213675214</v>
      </c>
      <c r="N198" s="154">
        <f t="shared" si="133"/>
        <v>1.4165466399573512</v>
      </c>
      <c r="O198" s="154">
        <f t="shared" si="122"/>
        <v>0.07325223505585884</v>
      </c>
      <c r="P198" s="154">
        <f t="shared" si="123"/>
        <v>0.038115886980471414</v>
      </c>
      <c r="Q198" s="154">
        <f t="shared" si="124"/>
        <v>0.122777216679563</v>
      </c>
      <c r="R198" s="154">
        <f t="shared" si="125"/>
        <v>0.06779950800763512</v>
      </c>
      <c r="S198" s="154">
        <f t="shared" si="126"/>
        <v>0.7603833865814694</v>
      </c>
      <c r="T198" s="154">
        <f t="shared" si="134"/>
        <v>1.5844832151535226</v>
      </c>
      <c r="U198" s="154">
        <f t="shared" si="127"/>
        <v>0.8329968597761608</v>
      </c>
      <c r="V198" s="154">
        <f t="shared" si="128"/>
        <v>4.43609603795875</v>
      </c>
      <c r="W198" s="154">
        <f t="shared" si="129"/>
        <v>1.4165466399573512</v>
      </c>
      <c r="X198" s="171">
        <f t="shared" si="130"/>
        <v>0.6367137355584082</v>
      </c>
      <c r="Y198" s="171">
        <f t="shared" si="131"/>
        <v>-0.00900313222079589</v>
      </c>
      <c r="Z198" s="172">
        <f t="shared" si="132"/>
        <v>0.9278744880637305</v>
      </c>
    </row>
    <row r="199" spans="7:26" ht="12.75">
      <c r="G199" s="153">
        <v>9</v>
      </c>
      <c r="H199" s="153">
        <f t="shared" si="116"/>
        <v>0.032918276208460925</v>
      </c>
      <c r="I199" s="153">
        <f t="shared" si="117"/>
        <v>1.8591790621421453</v>
      </c>
      <c r="J199" s="153">
        <f t="shared" si="118"/>
        <v>0.40465795545294864</v>
      </c>
      <c r="K199" s="153">
        <f t="shared" si="119"/>
        <v>0.4006225191570195</v>
      </c>
      <c r="L199" s="153">
        <f t="shared" si="120"/>
        <v>0.00045657096939147324</v>
      </c>
      <c r="M199" s="153">
        <f t="shared" si="121"/>
        <v>0.5213675213675214</v>
      </c>
      <c r="N199" s="153">
        <f t="shared" si="133"/>
        <v>1.4523405686444673</v>
      </c>
      <c r="O199" s="153">
        <f t="shared" si="122"/>
        <v>0.07325223505585884</v>
      </c>
      <c r="P199" s="153">
        <f t="shared" si="123"/>
        <v>0.047354757976029685</v>
      </c>
      <c r="Q199" s="153">
        <f t="shared" si="124"/>
        <v>0.14507416495854247</v>
      </c>
      <c r="R199" s="153">
        <f t="shared" si="125"/>
        <v>0.06779950800763512</v>
      </c>
      <c r="S199" s="153">
        <f t="shared" si="126"/>
        <v>0.7603833865814694</v>
      </c>
      <c r="T199" s="153">
        <f t="shared" si="134"/>
        <v>1.608042665816199</v>
      </c>
      <c r="U199" s="153">
        <f t="shared" si="127"/>
        <v>0.8531965064923237</v>
      </c>
      <c r="V199" s="153">
        <f t="shared" si="128"/>
        <v>4.43609603795875</v>
      </c>
      <c r="W199" s="153">
        <f t="shared" si="129"/>
        <v>1.4523405686444673</v>
      </c>
      <c r="X199" s="169">
        <f t="shared" si="130"/>
        <v>0.7163029525032093</v>
      </c>
      <c r="Y199" s="169">
        <f t="shared" si="131"/>
        <v>-0.010128523748395379</v>
      </c>
      <c r="Z199" s="170">
        <f t="shared" si="132"/>
        <v>1.0521685914445</v>
      </c>
    </row>
    <row r="200" spans="7:26" ht="12.75">
      <c r="G200" s="154">
        <v>10</v>
      </c>
      <c r="H200" s="154">
        <f t="shared" si="116"/>
        <v>0.03657586245384549</v>
      </c>
      <c r="I200" s="154">
        <f t="shared" si="117"/>
        <v>1.9327005281269058</v>
      </c>
      <c r="J200" s="154">
        <f t="shared" si="118"/>
        <v>0.4493956540526912</v>
      </c>
      <c r="K200" s="154">
        <f t="shared" si="119"/>
        <v>0.4453593448706133</v>
      </c>
      <c r="L200" s="154">
        <f t="shared" si="120"/>
        <v>0.00045657096939147324</v>
      </c>
      <c r="M200" s="154">
        <f t="shared" si="121"/>
        <v>0.5213675213675214</v>
      </c>
      <c r="N200" s="154">
        <f t="shared" si="133"/>
        <v>1.4855737697138296</v>
      </c>
      <c r="O200" s="154">
        <f t="shared" si="122"/>
        <v>0.07325223505585884</v>
      </c>
      <c r="P200" s="154">
        <f t="shared" si="123"/>
        <v>0.05758793677669903</v>
      </c>
      <c r="Q200" s="154">
        <f t="shared" si="124"/>
        <v>0.16737111323752213</v>
      </c>
      <c r="R200" s="154">
        <f t="shared" si="125"/>
        <v>0.06779950800763512</v>
      </c>
      <c r="S200" s="154">
        <f t="shared" si="126"/>
        <v>0.7603833865814694</v>
      </c>
      <c r="T200" s="154">
        <f t="shared" si="134"/>
        <v>1.6302384428727754</v>
      </c>
      <c r="U200" s="154">
        <f t="shared" si="127"/>
        <v>0.8723018073767306</v>
      </c>
      <c r="V200" s="154">
        <f t="shared" si="128"/>
        <v>4.43609603795875</v>
      </c>
      <c r="W200" s="154">
        <f t="shared" si="129"/>
        <v>1.4855737697138296</v>
      </c>
      <c r="X200" s="171">
        <f t="shared" si="130"/>
        <v>0.7958921694480102</v>
      </c>
      <c r="Y200" s="171">
        <f t="shared" si="131"/>
        <v>-0.011253915275994864</v>
      </c>
      <c r="Z200" s="172">
        <f t="shared" si="132"/>
        <v>1.1686998138125384</v>
      </c>
    </row>
    <row r="201" spans="7:26" ht="12.75">
      <c r="G201" s="153">
        <v>11</v>
      </c>
      <c r="H201" s="153">
        <f t="shared" si="116"/>
        <v>0.040233448699230026</v>
      </c>
      <c r="I201" s="153">
        <f t="shared" si="117"/>
        <v>2.002628990677548</v>
      </c>
      <c r="J201" s="153">
        <f t="shared" si="118"/>
        <v>0.49413335265243363</v>
      </c>
      <c r="K201" s="153">
        <f t="shared" si="119"/>
        <v>0.4900961705842067</v>
      </c>
      <c r="L201" s="153">
        <f t="shared" si="120"/>
        <v>0.00045657096939147324</v>
      </c>
      <c r="M201" s="153">
        <f t="shared" si="121"/>
        <v>0.5213675213675214</v>
      </c>
      <c r="N201" s="153">
        <f t="shared" si="133"/>
        <v>1.5166603278447033</v>
      </c>
      <c r="O201" s="153">
        <f t="shared" si="122"/>
        <v>0.07325223505585884</v>
      </c>
      <c r="P201" s="153">
        <f t="shared" si="123"/>
        <v>0.06881542338247928</v>
      </c>
      <c r="Q201" s="153">
        <f t="shared" si="124"/>
        <v>0.18966806151650156</v>
      </c>
      <c r="R201" s="153">
        <f t="shared" si="125"/>
        <v>0.06779950800763512</v>
      </c>
      <c r="S201" s="153">
        <f t="shared" si="126"/>
        <v>0.7603833865814694</v>
      </c>
      <c r="T201" s="153">
        <f t="shared" si="134"/>
        <v>1.6512551471160233</v>
      </c>
      <c r="U201" s="153">
        <f t="shared" si="127"/>
        <v>0.8904734297664543</v>
      </c>
      <c r="V201" s="153">
        <f t="shared" si="128"/>
        <v>4.43609603795875</v>
      </c>
      <c r="W201" s="153">
        <f t="shared" si="129"/>
        <v>1.5166603278447033</v>
      </c>
      <c r="X201" s="169">
        <f t="shared" si="130"/>
        <v>0.8754813863928113</v>
      </c>
      <c r="Y201" s="169">
        <f t="shared" si="131"/>
        <v>-0.012379306803594352</v>
      </c>
      <c r="Z201" s="170">
        <f t="shared" si="132"/>
        <v>1.2788801114440393</v>
      </c>
    </row>
    <row r="202" spans="7:26" ht="12.75">
      <c r="G202" s="154">
        <v>12</v>
      </c>
      <c r="H202" s="154">
        <f t="shared" si="116"/>
        <v>0.043891034944614576</v>
      </c>
      <c r="I202" s="154">
        <f t="shared" si="117"/>
        <v>2.069444794809342</v>
      </c>
      <c r="J202" s="154">
        <f t="shared" si="118"/>
        <v>0.538871051252176</v>
      </c>
      <c r="K202" s="154">
        <f t="shared" si="119"/>
        <v>0.5348329962978002</v>
      </c>
      <c r="L202" s="154">
        <f t="shared" si="120"/>
        <v>0.00045657096939147324</v>
      </c>
      <c r="M202" s="154">
        <f t="shared" si="121"/>
        <v>0.5213675213675214</v>
      </c>
      <c r="N202" s="154">
        <f t="shared" si="133"/>
        <v>1.5459165776298485</v>
      </c>
      <c r="O202" s="154">
        <f t="shared" si="122"/>
        <v>0.07325223505585884</v>
      </c>
      <c r="P202" s="154">
        <f t="shared" si="123"/>
        <v>0.08103721779337053</v>
      </c>
      <c r="Q202" s="154">
        <f t="shared" si="124"/>
        <v>0.21196500979548116</v>
      </c>
      <c r="R202" s="154">
        <f t="shared" si="125"/>
        <v>0.06779950800763512</v>
      </c>
      <c r="S202" s="154">
        <f t="shared" si="126"/>
        <v>0.7603833865814694</v>
      </c>
      <c r="T202" s="154">
        <f t="shared" si="134"/>
        <v>1.6712401277080047</v>
      </c>
      <c r="U202" s="154">
        <f t="shared" si="127"/>
        <v>0.907836196200357</v>
      </c>
      <c r="V202" s="154">
        <f t="shared" si="128"/>
        <v>4.43609603795875</v>
      </c>
      <c r="W202" s="154">
        <f t="shared" si="129"/>
        <v>1.5459165776298485</v>
      </c>
      <c r="X202" s="171">
        <f t="shared" si="130"/>
        <v>0.9550706033376124</v>
      </c>
      <c r="Y202" s="171">
        <f t="shared" si="131"/>
        <v>-0.013504698331193839</v>
      </c>
      <c r="Z202" s="172">
        <f t="shared" si="132"/>
        <v>1.3837493355319177</v>
      </c>
    </row>
    <row r="203" spans="7:26" ht="12.75">
      <c r="G203" s="153">
        <v>13</v>
      </c>
      <c r="H203" s="153">
        <f t="shared" si="116"/>
        <v>0.04754862118999912</v>
      </c>
      <c r="I203" s="153">
        <f t="shared" si="117"/>
        <v>2.133529933696854</v>
      </c>
      <c r="J203" s="153">
        <f t="shared" si="118"/>
        <v>0.5836087498519184</v>
      </c>
      <c r="K203" s="153">
        <f t="shared" si="119"/>
        <v>0.5795698220113938</v>
      </c>
      <c r="L203" s="153">
        <f t="shared" si="120"/>
        <v>0.00045657096939147324</v>
      </c>
      <c r="M203" s="153">
        <f t="shared" si="121"/>
        <v>0.5213675213675214</v>
      </c>
      <c r="N203" s="153">
        <f t="shared" si="133"/>
        <v>1.5735902738027905</v>
      </c>
      <c r="O203" s="153">
        <f t="shared" si="122"/>
        <v>0.07325223505585884</v>
      </c>
      <c r="P203" s="153">
        <f t="shared" si="123"/>
        <v>0.09425332000937275</v>
      </c>
      <c r="Q203" s="153">
        <f t="shared" si="124"/>
        <v>0.23426195807446065</v>
      </c>
      <c r="R203" s="153">
        <f t="shared" si="125"/>
        <v>0.06779950800763512</v>
      </c>
      <c r="S203" s="153">
        <f t="shared" si="126"/>
        <v>0.7603833865814694</v>
      </c>
      <c r="T203" s="153">
        <f t="shared" si="134"/>
        <v>1.6903131318812292</v>
      </c>
      <c r="U203" s="153">
        <f t="shared" si="127"/>
        <v>0.924489371490941</v>
      </c>
      <c r="V203" s="153">
        <f t="shared" si="128"/>
        <v>4.43609603795875</v>
      </c>
      <c r="W203" s="153">
        <f t="shared" si="129"/>
        <v>1.5735902738027905</v>
      </c>
      <c r="X203" s="169">
        <f t="shared" si="130"/>
        <v>1.0346598202824133</v>
      </c>
      <c r="Y203" s="169">
        <f t="shared" si="131"/>
        <v>-0.014630089858793324</v>
      </c>
      <c r="Z203" s="170">
        <f t="shared" si="132"/>
        <v>1.4840970854495747</v>
      </c>
    </row>
    <row r="204" spans="7:26" ht="12.75">
      <c r="G204" s="154">
        <v>14</v>
      </c>
      <c r="H204" s="154">
        <f t="shared" si="116"/>
        <v>0.05120620743538368</v>
      </c>
      <c r="I204" s="154">
        <f t="shared" si="117"/>
        <v>2.195194125937546</v>
      </c>
      <c r="J204" s="154">
        <f t="shared" si="118"/>
        <v>0.6283464484516609</v>
      </c>
      <c r="K204" s="154">
        <f t="shared" si="119"/>
        <v>0.6243066477249876</v>
      </c>
      <c r="L204" s="154">
        <f t="shared" si="120"/>
        <v>0.00045657096939147324</v>
      </c>
      <c r="M204" s="154">
        <f t="shared" si="121"/>
        <v>0.5213675213675214</v>
      </c>
      <c r="N204" s="154">
        <f t="shared" si="133"/>
        <v>1.5998795097633867</v>
      </c>
      <c r="O204" s="154">
        <f t="shared" si="122"/>
        <v>0.07325223505585884</v>
      </c>
      <c r="P204" s="154">
        <f t="shared" si="123"/>
        <v>0.10846373003048602</v>
      </c>
      <c r="Q204" s="154">
        <f t="shared" si="124"/>
        <v>0.25655890635344025</v>
      </c>
      <c r="R204" s="154">
        <f t="shared" si="125"/>
        <v>0.06779950800763512</v>
      </c>
      <c r="S204" s="154">
        <f t="shared" si="126"/>
        <v>0.7603833865814694</v>
      </c>
      <c r="T204" s="154">
        <f t="shared" si="134"/>
        <v>1.7085729749020206</v>
      </c>
      <c r="U204" s="154">
        <f t="shared" si="127"/>
        <v>0.9405134391665846</v>
      </c>
      <c r="V204" s="154">
        <f t="shared" si="128"/>
        <v>4.43609603795875</v>
      </c>
      <c r="W204" s="154">
        <f t="shared" si="129"/>
        <v>1.5998795097633867</v>
      </c>
      <c r="X204" s="171">
        <f t="shared" si="130"/>
        <v>1.1142490372272142</v>
      </c>
      <c r="Y204" s="171">
        <f t="shared" si="131"/>
        <v>-0.01575548138639281</v>
      </c>
      <c r="Z204" s="172">
        <f t="shared" si="132"/>
        <v>1.5805382461966073</v>
      </c>
    </row>
    <row r="205" spans="7:26" ht="12.75">
      <c r="G205" s="153">
        <v>15</v>
      </c>
      <c r="H205" s="153">
        <f t="shared" si="116"/>
        <v>0.05486379368076822</v>
      </c>
      <c r="I205" s="153">
        <f t="shared" si="117"/>
        <v>2.254692624063449</v>
      </c>
      <c r="J205" s="153">
        <f t="shared" si="118"/>
        <v>0.6730841470514034</v>
      </c>
      <c r="K205" s="153">
        <f t="shared" si="119"/>
        <v>0.6690434734385811</v>
      </c>
      <c r="L205" s="153">
        <f t="shared" si="120"/>
        <v>0.00045657096939147324</v>
      </c>
      <c r="M205" s="153">
        <f t="shared" si="121"/>
        <v>0.5213675213675214</v>
      </c>
      <c r="N205" s="153">
        <f t="shared" si="133"/>
        <v>1.6249454551938176</v>
      </c>
      <c r="O205" s="153">
        <f t="shared" si="122"/>
        <v>0.07325223505585884</v>
      </c>
      <c r="P205" s="153">
        <f t="shared" si="123"/>
        <v>0.1236684478567102</v>
      </c>
      <c r="Q205" s="153">
        <f t="shared" si="124"/>
        <v>0.2788558546324198</v>
      </c>
      <c r="R205" s="153">
        <f t="shared" si="125"/>
        <v>0.06779950800763512</v>
      </c>
      <c r="S205" s="153">
        <f t="shared" si="126"/>
        <v>0.7603833865814694</v>
      </c>
      <c r="T205" s="153">
        <f t="shared" si="134"/>
        <v>1.7261022803152697</v>
      </c>
      <c r="U205" s="153">
        <f t="shared" si="127"/>
        <v>0.9559747291944699</v>
      </c>
      <c r="V205" s="153">
        <f t="shared" si="128"/>
        <v>4.43609603795875</v>
      </c>
      <c r="W205" s="153">
        <f t="shared" si="129"/>
        <v>1.6249454551938176</v>
      </c>
      <c r="X205" s="169">
        <f t="shared" si="130"/>
        <v>1.1938382541720154</v>
      </c>
      <c r="Y205" s="169">
        <f t="shared" si="131"/>
        <v>-0.016880872913992297</v>
      </c>
      <c r="Z205" s="170">
        <f t="shared" si="132"/>
        <v>1.6735618751711419</v>
      </c>
    </row>
    <row r="206" spans="7:26" ht="12.75">
      <c r="G206" s="154">
        <v>16</v>
      </c>
      <c r="H206" s="154">
        <f t="shared" si="116"/>
        <v>0.05852137992615278</v>
      </c>
      <c r="I206" s="154">
        <f t="shared" si="117"/>
        <v>2.312238749522861</v>
      </c>
      <c r="J206" s="154">
        <f t="shared" si="118"/>
        <v>0.7178218456511459</v>
      </c>
      <c r="K206" s="154">
        <f t="shared" si="119"/>
        <v>0.7137802991521747</v>
      </c>
      <c r="L206" s="154">
        <f t="shared" si="120"/>
        <v>0.00045657096939147324</v>
      </c>
      <c r="M206" s="154">
        <f t="shared" si="121"/>
        <v>0.5213675213675214</v>
      </c>
      <c r="N206" s="154">
        <f t="shared" si="133"/>
        <v>1.648921205535776</v>
      </c>
      <c r="O206" s="154">
        <f t="shared" si="122"/>
        <v>0.07325223505585884</v>
      </c>
      <c r="P206" s="154">
        <f t="shared" si="123"/>
        <v>0.1398674734880454</v>
      </c>
      <c r="Q206" s="154">
        <f t="shared" si="124"/>
        <v>0.30115280291139934</v>
      </c>
      <c r="R206" s="154">
        <f t="shared" si="125"/>
        <v>0.06779950800763512</v>
      </c>
      <c r="S206" s="154">
        <f t="shared" si="126"/>
        <v>0.7603833865814694</v>
      </c>
      <c r="T206" s="154">
        <f t="shared" si="134"/>
        <v>1.742970930054625</v>
      </c>
      <c r="U206" s="154">
        <f t="shared" si="127"/>
        <v>0.9709286753230983</v>
      </c>
      <c r="V206" s="154">
        <f t="shared" si="128"/>
        <v>4.43609603795875</v>
      </c>
      <c r="W206" s="154">
        <f t="shared" si="129"/>
        <v>1.648921205535776</v>
      </c>
      <c r="X206" s="171">
        <f t="shared" si="130"/>
        <v>1.2734274711168163</v>
      </c>
      <c r="Y206" s="171">
        <f t="shared" si="131"/>
        <v>-0.01800626444159178</v>
      </c>
      <c r="Z206" s="172">
        <f t="shared" si="132"/>
        <v>1.7635640009729134</v>
      </c>
    </row>
    <row r="207" spans="7:26" ht="12.75">
      <c r="G207" s="153">
        <v>17</v>
      </c>
      <c r="H207" s="153">
        <f t="shared" si="116"/>
        <v>0.062178966171537314</v>
      </c>
      <c r="I207" s="153">
        <f t="shared" si="117"/>
        <v>2.3680129457800057</v>
      </c>
      <c r="J207" s="153">
        <f t="shared" si="118"/>
        <v>0.7625595442508882</v>
      </c>
      <c r="K207" s="153">
        <f t="shared" si="119"/>
        <v>0.758517124865768</v>
      </c>
      <c r="L207" s="153">
        <f t="shared" si="120"/>
        <v>0.00045657096939147324</v>
      </c>
      <c r="M207" s="153">
        <f t="shared" si="121"/>
        <v>0.5213675213675214</v>
      </c>
      <c r="N207" s="153">
        <f t="shared" si="133"/>
        <v>1.671918096600689</v>
      </c>
      <c r="O207" s="153">
        <f t="shared" si="122"/>
        <v>0.07325223505585884</v>
      </c>
      <c r="P207" s="153">
        <f t="shared" si="123"/>
        <v>0.15706080692449148</v>
      </c>
      <c r="Q207" s="153">
        <f t="shared" si="124"/>
        <v>0.32344975119037883</v>
      </c>
      <c r="R207" s="153">
        <f t="shared" si="125"/>
        <v>0.06779950800763512</v>
      </c>
      <c r="S207" s="153">
        <f t="shared" si="126"/>
        <v>0.7603833865814694</v>
      </c>
      <c r="T207" s="153">
        <f t="shared" si="134"/>
        <v>1.759238628049288</v>
      </c>
      <c r="U207" s="153">
        <f t="shared" si="127"/>
        <v>0.9854221676223349</v>
      </c>
      <c r="V207" s="153">
        <f t="shared" si="128"/>
        <v>4.43609603795875</v>
      </c>
      <c r="W207" s="153">
        <f t="shared" si="129"/>
        <v>1.671918096600689</v>
      </c>
      <c r="X207" s="169">
        <f t="shared" si="130"/>
        <v>1.3530166880616175</v>
      </c>
      <c r="Y207" s="169">
        <f t="shared" si="131"/>
        <v>-0.01913165596919127</v>
      </c>
      <c r="Z207" s="170">
        <f t="shared" si="132"/>
        <v>1.8508703115127807</v>
      </c>
    </row>
    <row r="208" spans="7:26" ht="12.75">
      <c r="G208" s="154">
        <v>18</v>
      </c>
      <c r="H208" s="154">
        <f t="shared" si="116"/>
        <v>0.06583655241692185</v>
      </c>
      <c r="I208" s="154">
        <f t="shared" si="117"/>
        <v>2.422169463374966</v>
      </c>
      <c r="J208" s="154">
        <f t="shared" si="118"/>
        <v>0.8072972428506304</v>
      </c>
      <c r="K208" s="154">
        <f t="shared" si="119"/>
        <v>0.8032539505793616</v>
      </c>
      <c r="L208" s="154">
        <f t="shared" si="120"/>
        <v>0.00045657096939147324</v>
      </c>
      <c r="M208" s="154">
        <f t="shared" si="121"/>
        <v>0.5213675213675214</v>
      </c>
      <c r="N208" s="154">
        <f t="shared" si="133"/>
        <v>1.6940303153262746</v>
      </c>
      <c r="O208" s="154">
        <f t="shared" si="122"/>
        <v>0.07325223505585884</v>
      </c>
      <c r="P208" s="154">
        <f t="shared" si="123"/>
        <v>0.1752484481660485</v>
      </c>
      <c r="Q208" s="154">
        <f t="shared" si="124"/>
        <v>0.3457466994693583</v>
      </c>
      <c r="R208" s="154">
        <f t="shared" si="125"/>
        <v>0.06779950800763512</v>
      </c>
      <c r="S208" s="154">
        <f t="shared" si="126"/>
        <v>0.7603833865814694</v>
      </c>
      <c r="T208" s="154">
        <f t="shared" si="134"/>
        <v>1.77495683996829</v>
      </c>
      <c r="U208" s="154">
        <f t="shared" si="127"/>
        <v>0.9994952896642412</v>
      </c>
      <c r="V208" s="154">
        <f t="shared" si="128"/>
        <v>4.43609603795875</v>
      </c>
      <c r="W208" s="154">
        <f t="shared" si="129"/>
        <v>1.6940303153262746</v>
      </c>
      <c r="X208" s="171">
        <f t="shared" si="130"/>
        <v>1.4326059050064186</v>
      </c>
      <c r="Y208" s="171">
        <f t="shared" si="131"/>
        <v>-0.020257047496790758</v>
      </c>
      <c r="Z208" s="172">
        <f t="shared" si="132"/>
        <v>1.9357522660174837</v>
      </c>
    </row>
    <row r="209" spans="7:26" ht="12.75">
      <c r="G209" s="153">
        <v>19</v>
      </c>
      <c r="H209" s="153">
        <f t="shared" si="116"/>
        <v>0.06949413866230642</v>
      </c>
      <c r="I209" s="153">
        <f t="shared" si="117"/>
        <v>2.474841392684668</v>
      </c>
      <c r="J209" s="153">
        <f t="shared" si="118"/>
        <v>0.8520349414503731</v>
      </c>
      <c r="K209" s="153">
        <f t="shared" si="119"/>
        <v>0.8479907762929554</v>
      </c>
      <c r="L209" s="153">
        <f t="shared" si="120"/>
        <v>0.00045657096939147324</v>
      </c>
      <c r="M209" s="153">
        <f t="shared" si="121"/>
        <v>0.5213675213675214</v>
      </c>
      <c r="N209" s="153">
        <f t="shared" si="133"/>
        <v>1.7153383346084476</v>
      </c>
      <c r="O209" s="153">
        <f t="shared" si="122"/>
        <v>0.07325223505585884</v>
      </c>
      <c r="P209" s="153">
        <f t="shared" si="123"/>
        <v>0.1944303972127167</v>
      </c>
      <c r="Q209" s="153">
        <f t="shared" si="124"/>
        <v>0.368043647748338</v>
      </c>
      <c r="R209" s="153">
        <f t="shared" si="125"/>
        <v>0.06779950800763512</v>
      </c>
      <c r="S209" s="153">
        <f t="shared" si="126"/>
        <v>0.7603833865814694</v>
      </c>
      <c r="T209" s="153">
        <f t="shared" si="134"/>
        <v>1.7901702846285779</v>
      </c>
      <c r="U209" s="153">
        <f t="shared" si="127"/>
        <v>1.0131826263372155</v>
      </c>
      <c r="V209" s="153">
        <f t="shared" si="128"/>
        <v>4.43609603795875</v>
      </c>
      <c r="W209" s="153">
        <f t="shared" si="129"/>
        <v>1.7153383346084476</v>
      </c>
      <c r="X209" s="169">
        <f t="shared" si="130"/>
        <v>1.5121951219512195</v>
      </c>
      <c r="Y209" s="169">
        <f t="shared" si="131"/>
        <v>-0.021382439024390243</v>
      </c>
      <c r="Z209" s="170">
        <f t="shared" si="132"/>
        <v>2.018438801253094</v>
      </c>
    </row>
    <row r="210" spans="7:26" ht="12.75">
      <c r="G210" s="154">
        <v>20</v>
      </c>
      <c r="H210" s="154">
        <f t="shared" si="116"/>
        <v>0.07315172490769098</v>
      </c>
      <c r="I210" s="154">
        <f t="shared" si="117"/>
        <v>2.5261445176961663</v>
      </c>
      <c r="J210" s="154">
        <f t="shared" si="118"/>
        <v>0.8967726400501157</v>
      </c>
      <c r="K210" s="154">
        <f t="shared" si="119"/>
        <v>0.8927276020065491</v>
      </c>
      <c r="L210" s="154">
        <f t="shared" si="120"/>
        <v>0.00045657096939147324</v>
      </c>
      <c r="M210" s="154">
        <f t="shared" si="121"/>
        <v>0.5213675213675214</v>
      </c>
      <c r="N210" s="154">
        <f t="shared" si="133"/>
        <v>1.7359115176168256</v>
      </c>
      <c r="O210" s="154">
        <f t="shared" si="122"/>
        <v>0.07325223505585884</v>
      </c>
      <c r="P210" s="154">
        <f t="shared" si="123"/>
        <v>0.21460665406449583</v>
      </c>
      <c r="Q210" s="154">
        <f t="shared" si="124"/>
        <v>0.39034059602731763</v>
      </c>
      <c r="R210" s="154">
        <f t="shared" si="125"/>
        <v>0.06779950800763512</v>
      </c>
      <c r="S210" s="154">
        <f t="shared" si="126"/>
        <v>0.7603833865814694</v>
      </c>
      <c r="T210" s="154">
        <f t="shared" si="134"/>
        <v>1.8049180971669814</v>
      </c>
      <c r="U210" s="154">
        <f t="shared" si="127"/>
        <v>1.026514265288188</v>
      </c>
      <c r="V210" s="154">
        <f t="shared" si="128"/>
        <v>4.43609603795875</v>
      </c>
      <c r="W210" s="154">
        <f t="shared" si="129"/>
        <v>1.7359115176168256</v>
      </c>
      <c r="X210" s="171">
        <f t="shared" si="130"/>
        <v>1.5917843388960204</v>
      </c>
      <c r="Y210" s="171">
        <f t="shared" si="131"/>
        <v>-0.022507830551989728</v>
      </c>
      <c r="Z210" s="172">
        <f t="shared" si="132"/>
        <v>2.099125008758006</v>
      </c>
    </row>
    <row r="211" spans="7:26" ht="12.75">
      <c r="G211" s="153">
        <v>21</v>
      </c>
      <c r="H211" s="153">
        <f t="shared" si="116"/>
        <v>0.07680931115307552</v>
      </c>
      <c r="I211" s="153">
        <f t="shared" si="117"/>
        <v>2.5761803117551567</v>
      </c>
      <c r="J211" s="153">
        <f t="shared" si="118"/>
        <v>0.9415103386498579</v>
      </c>
      <c r="K211" s="153">
        <f t="shared" si="119"/>
        <v>0.9374644277201426</v>
      </c>
      <c r="L211" s="153">
        <f t="shared" si="120"/>
        <v>0.00045657096939147324</v>
      </c>
      <c r="M211" s="153">
        <f t="shared" si="121"/>
        <v>0.5213675213675214</v>
      </c>
      <c r="N211" s="153">
        <f t="shared" si="133"/>
        <v>1.7558101234907113</v>
      </c>
      <c r="O211" s="153">
        <f t="shared" si="122"/>
        <v>0.07325223505585884</v>
      </c>
      <c r="P211" s="153">
        <f t="shared" si="123"/>
        <v>0.23577721872138585</v>
      </c>
      <c r="Q211" s="153">
        <f t="shared" si="124"/>
        <v>0.4126375443062971</v>
      </c>
      <c r="R211" s="153">
        <f t="shared" si="125"/>
        <v>0.06779950800763512</v>
      </c>
      <c r="S211" s="153">
        <f t="shared" si="126"/>
        <v>0.7603833865814694</v>
      </c>
      <c r="T211" s="153">
        <f t="shared" si="134"/>
        <v>1.8192347478873145</v>
      </c>
      <c r="U211" s="153">
        <f t="shared" si="127"/>
        <v>1.0395165753983453</v>
      </c>
      <c r="V211" s="153">
        <f t="shared" si="128"/>
        <v>4.43609603795875</v>
      </c>
      <c r="W211" s="153">
        <f t="shared" si="129"/>
        <v>1.7558101234907113</v>
      </c>
      <c r="X211" s="169">
        <f t="shared" si="130"/>
        <v>1.6713735558408214</v>
      </c>
      <c r="Y211" s="169">
        <f t="shared" si="131"/>
        <v>-0.023633222079589213</v>
      </c>
      <c r="Z211" s="170">
        <f t="shared" si="132"/>
        <v>2.1779786817467865</v>
      </c>
    </row>
    <row r="212" spans="7:26" ht="12.75">
      <c r="G212" s="154">
        <v>22</v>
      </c>
      <c r="H212" s="154">
        <f t="shared" si="116"/>
        <v>0.08046689739846005</v>
      </c>
      <c r="I212" s="154">
        <f t="shared" si="117"/>
        <v>2.6250382978311833</v>
      </c>
      <c r="J212" s="154">
        <f t="shared" si="118"/>
        <v>0.9862480372496004</v>
      </c>
      <c r="K212" s="154">
        <f t="shared" si="119"/>
        <v>0.9822012534337359</v>
      </c>
      <c r="L212" s="154">
        <f t="shared" si="120"/>
        <v>0.00045657096939147324</v>
      </c>
      <c r="M212" s="154">
        <f t="shared" si="121"/>
        <v>0.5213675213675214</v>
      </c>
      <c r="N212" s="154">
        <f t="shared" si="133"/>
        <v>1.7750868736946255</v>
      </c>
      <c r="O212" s="154">
        <f t="shared" si="122"/>
        <v>0.07325223505585884</v>
      </c>
      <c r="P212" s="154">
        <f t="shared" si="123"/>
        <v>0.25794209118338685</v>
      </c>
      <c r="Q212" s="154">
        <f t="shared" si="124"/>
        <v>0.4349344925852765</v>
      </c>
      <c r="R212" s="154">
        <f t="shared" si="125"/>
        <v>0.06779950800763512</v>
      </c>
      <c r="S212" s="154">
        <f t="shared" si="126"/>
        <v>0.7603833865814694</v>
      </c>
      <c r="T212" s="154">
        <f t="shared" si="134"/>
        <v>1.833150776515319</v>
      </c>
      <c r="U212" s="154">
        <f t="shared" si="127"/>
        <v>1.052212820122058</v>
      </c>
      <c r="V212" s="154">
        <f t="shared" si="128"/>
        <v>4.43609603795875</v>
      </c>
      <c r="W212" s="154">
        <f t="shared" si="129"/>
        <v>1.7750868736946255</v>
      </c>
      <c r="X212" s="171">
        <f t="shared" si="130"/>
        <v>1.7509627727856225</v>
      </c>
      <c r="Y212" s="171">
        <f t="shared" si="131"/>
        <v>-0.024758613607188704</v>
      </c>
      <c r="Z212" s="172">
        <f t="shared" si="132"/>
        <v>2.255145333207939</v>
      </c>
    </row>
    <row r="213" spans="7:26" ht="12.75">
      <c r="G213" s="153">
        <v>23</v>
      </c>
      <c r="H213" s="153">
        <f t="shared" si="116"/>
        <v>0.08412448364384462</v>
      </c>
      <c r="I213" s="153">
        <f t="shared" si="117"/>
        <v>2.67279793068264</v>
      </c>
      <c r="J213" s="153">
        <f t="shared" si="118"/>
        <v>1.0309857358493428</v>
      </c>
      <c r="K213" s="153">
        <f t="shared" si="119"/>
        <v>1.0269380791473295</v>
      </c>
      <c r="L213" s="153">
        <f t="shared" si="120"/>
        <v>0.00045657096939147324</v>
      </c>
      <c r="M213" s="153">
        <f t="shared" si="121"/>
        <v>0.5213675213675214</v>
      </c>
      <c r="N213" s="153">
        <f t="shared" si="133"/>
        <v>1.7937881906781428</v>
      </c>
      <c r="O213" s="153">
        <f t="shared" si="122"/>
        <v>0.07325223505585884</v>
      </c>
      <c r="P213" s="153">
        <f t="shared" si="123"/>
        <v>0.281101271450499</v>
      </c>
      <c r="Q213" s="153">
        <f t="shared" si="124"/>
        <v>0.45723144086425616</v>
      </c>
      <c r="R213" s="153">
        <f t="shared" si="125"/>
        <v>0.06779950800763512</v>
      </c>
      <c r="S213" s="153">
        <f t="shared" si="126"/>
        <v>0.7603833865814694</v>
      </c>
      <c r="T213" s="153">
        <f t="shared" si="134"/>
        <v>1.8466933851033995</v>
      </c>
      <c r="U213" s="153">
        <f t="shared" si="127"/>
        <v>1.064623646586604</v>
      </c>
      <c r="V213" s="153">
        <f t="shared" si="128"/>
        <v>4.43609603795875</v>
      </c>
      <c r="W213" s="153">
        <f t="shared" si="129"/>
        <v>1.7937881906781428</v>
      </c>
      <c r="X213" s="169">
        <f t="shared" si="130"/>
        <v>1.8305519897304237</v>
      </c>
      <c r="Y213" s="169">
        <f t="shared" si="131"/>
        <v>-0.02588400513478819</v>
      </c>
      <c r="Z213" s="170">
        <f t="shared" si="132"/>
        <v>2.3307520969376823</v>
      </c>
    </row>
    <row r="214" spans="7:26" ht="12.75">
      <c r="G214" s="154">
        <v>24</v>
      </c>
      <c r="H214" s="154">
        <f t="shared" si="116"/>
        <v>0.08778206988922915</v>
      </c>
      <c r="I214" s="154">
        <f t="shared" si="117"/>
        <v>2.7195301142152304</v>
      </c>
      <c r="J214" s="154">
        <f t="shared" si="118"/>
        <v>1.0757234344490854</v>
      </c>
      <c r="K214" s="154">
        <f t="shared" si="119"/>
        <v>1.0716749048609229</v>
      </c>
      <c r="L214" s="154">
        <f t="shared" si="120"/>
        <v>0.00045657096939147324</v>
      </c>
      <c r="M214" s="154">
        <f t="shared" si="121"/>
        <v>0.5213675213675214</v>
      </c>
      <c r="N214" s="154">
        <f t="shared" si="133"/>
        <v>1.811955188532889</v>
      </c>
      <c r="O214" s="154">
        <f t="shared" si="122"/>
        <v>0.07325223505585884</v>
      </c>
      <c r="P214" s="154">
        <f t="shared" si="123"/>
        <v>0.30525475952272185</v>
      </c>
      <c r="Q214" s="154">
        <f t="shared" si="124"/>
        <v>0.4795283891432357</v>
      </c>
      <c r="R214" s="154">
        <f t="shared" si="125"/>
        <v>0.06779950800763512</v>
      </c>
      <c r="S214" s="154">
        <f t="shared" si="126"/>
        <v>0.7603833865814694</v>
      </c>
      <c r="T214" s="154">
        <f t="shared" si="134"/>
        <v>1.8598869213687483</v>
      </c>
      <c r="U214" s="154">
        <f t="shared" si="127"/>
        <v>1.0767674798931994</v>
      </c>
      <c r="V214" s="154">
        <f t="shared" si="128"/>
        <v>4.43609603795875</v>
      </c>
      <c r="W214" s="154">
        <f t="shared" si="129"/>
        <v>1.811955188532889</v>
      </c>
      <c r="X214" s="171">
        <f t="shared" si="130"/>
        <v>1.9101412066752248</v>
      </c>
      <c r="Y214" s="171">
        <f t="shared" si="131"/>
        <v>-0.027009396662387677</v>
      </c>
      <c r="Z214" s="172">
        <f t="shared" si="132"/>
        <v>2.4049107990480376</v>
      </c>
    </row>
    <row r="215" spans="7:26" ht="12.75">
      <c r="G215" s="153">
        <v>25</v>
      </c>
      <c r="H215" s="153">
        <f t="shared" si="116"/>
        <v>0.0914396561346137</v>
      </c>
      <c r="I215" s="153">
        <f t="shared" si="117"/>
        <v>2.7652984369035765</v>
      </c>
      <c r="J215" s="153">
        <f t="shared" si="118"/>
        <v>1.1204611330488279</v>
      </c>
      <c r="K215" s="153">
        <f t="shared" si="119"/>
        <v>1.1164117305745165</v>
      </c>
      <c r="L215" s="153">
        <f t="shared" si="120"/>
        <v>0.00045657096939147324</v>
      </c>
      <c r="M215" s="153">
        <f t="shared" si="121"/>
        <v>0.5213675213675214</v>
      </c>
      <c r="N215" s="153">
        <f t="shared" si="133"/>
        <v>1.8296244734727711</v>
      </c>
      <c r="O215" s="153">
        <f t="shared" si="122"/>
        <v>0.07325223505585884</v>
      </c>
      <c r="P215" s="153">
        <f t="shared" si="123"/>
        <v>0.33040255540005586</v>
      </c>
      <c r="Q215" s="153">
        <f t="shared" si="124"/>
        <v>0.5018253374222152</v>
      </c>
      <c r="R215" s="153">
        <f t="shared" si="125"/>
        <v>0.06779950800763512</v>
      </c>
      <c r="S215" s="153">
        <f t="shared" si="126"/>
        <v>0.7603833865814694</v>
      </c>
      <c r="T215" s="153">
        <f t="shared" si="134"/>
        <v>1.872753276151593</v>
      </c>
      <c r="U215" s="153">
        <f t="shared" si="127"/>
        <v>1.088660844153873</v>
      </c>
      <c r="V215" s="153">
        <f t="shared" si="128"/>
        <v>4.43609603795875</v>
      </c>
      <c r="W215" s="153">
        <f t="shared" si="129"/>
        <v>1.8296244734727711</v>
      </c>
      <c r="X215" s="169">
        <f t="shared" si="130"/>
        <v>1.9897304236200257</v>
      </c>
      <c r="Y215" s="169">
        <f t="shared" si="131"/>
        <v>-0.028134788189987162</v>
      </c>
      <c r="Z215" s="170">
        <f t="shared" si="132"/>
        <v>2.4777204044043275</v>
      </c>
    </row>
    <row r="216" spans="7:26" ht="12.75">
      <c r="G216" s="154">
        <v>26</v>
      </c>
      <c r="H216" s="154">
        <f t="shared" si="116"/>
        <v>0.09509724237999824</v>
      </c>
      <c r="I216" s="154">
        <f t="shared" si="117"/>
        <v>2.8101601867765145</v>
      </c>
      <c r="J216" s="154">
        <f t="shared" si="118"/>
        <v>1.16519883164857</v>
      </c>
      <c r="K216" s="154">
        <f t="shared" si="119"/>
        <v>1.16114855628811</v>
      </c>
      <c r="L216" s="154">
        <f t="shared" si="120"/>
        <v>0.00045657096939147324</v>
      </c>
      <c r="M216" s="154">
        <f t="shared" si="121"/>
        <v>0.5213675213675214</v>
      </c>
      <c r="N216" s="154">
        <f t="shared" si="133"/>
        <v>1.846828796725164</v>
      </c>
      <c r="O216" s="154">
        <f t="shared" si="122"/>
        <v>0.07325223505585884</v>
      </c>
      <c r="P216" s="154">
        <f t="shared" si="123"/>
        <v>0.3565446590825007</v>
      </c>
      <c r="Q216" s="154">
        <f t="shared" si="124"/>
        <v>0.5241222857011947</v>
      </c>
      <c r="R216" s="154">
        <f t="shared" si="125"/>
        <v>0.06779950800763512</v>
      </c>
      <c r="S216" s="154">
        <f t="shared" si="126"/>
        <v>0.7603833865814694</v>
      </c>
      <c r="T216" s="154">
        <f t="shared" si="134"/>
        <v>1.8853122128703843</v>
      </c>
      <c r="U216" s="154">
        <f t="shared" si="127"/>
        <v>1.1003186262457199</v>
      </c>
      <c r="V216" s="154">
        <f t="shared" si="128"/>
        <v>4.43609603795875</v>
      </c>
      <c r="W216" s="154">
        <f t="shared" si="129"/>
        <v>1.846828796725164</v>
      </c>
      <c r="X216" s="171">
        <f t="shared" si="130"/>
        <v>2.0693196405648266</v>
      </c>
      <c r="Y216" s="171">
        <f t="shared" si="131"/>
        <v>-0.029260179717586647</v>
      </c>
      <c r="Z216" s="172">
        <f t="shared" si="132"/>
        <v>2.5492689857632227</v>
      </c>
    </row>
    <row r="217" spans="7:26" ht="12.75">
      <c r="G217" s="153">
        <v>27</v>
      </c>
      <c r="H217" s="153">
        <f t="shared" si="116"/>
        <v>0.09875482862538279</v>
      </c>
      <c r="I217" s="153">
        <f t="shared" si="117"/>
        <v>2.854167192214012</v>
      </c>
      <c r="J217" s="153">
        <f t="shared" si="118"/>
        <v>1.2099365302483125</v>
      </c>
      <c r="K217" s="153">
        <f t="shared" si="119"/>
        <v>1.2058853820017037</v>
      </c>
      <c r="L217" s="153">
        <f t="shared" si="120"/>
        <v>0.00045657096939147324</v>
      </c>
      <c r="M217" s="153">
        <f t="shared" si="121"/>
        <v>0.5213675213675214</v>
      </c>
      <c r="N217" s="153">
        <f t="shared" si="133"/>
        <v>1.8635975916255165</v>
      </c>
      <c r="O217" s="153">
        <f t="shared" si="122"/>
        <v>0.07325223505585884</v>
      </c>
      <c r="P217" s="153">
        <f t="shared" si="123"/>
        <v>0.3836810705700567</v>
      </c>
      <c r="Q217" s="153">
        <f t="shared" si="124"/>
        <v>0.5464192339801742</v>
      </c>
      <c r="R217" s="153">
        <f t="shared" si="125"/>
        <v>0.06779950800763512</v>
      </c>
      <c r="S217" s="153">
        <f t="shared" si="126"/>
        <v>0.7603833865814694</v>
      </c>
      <c r="T217" s="153">
        <f t="shared" si="134"/>
        <v>1.8975816426229906</v>
      </c>
      <c r="U217" s="153">
        <f t="shared" si="127"/>
        <v>1.1117542943005354</v>
      </c>
      <c r="V217" s="153">
        <f t="shared" si="128"/>
        <v>4.43609603795875</v>
      </c>
      <c r="W217" s="153">
        <f t="shared" si="129"/>
        <v>1.8635975916255165</v>
      </c>
      <c r="X217" s="169">
        <f t="shared" si="130"/>
        <v>2.148908857509628</v>
      </c>
      <c r="Y217" s="169">
        <f t="shared" si="131"/>
        <v>-0.03038557124518614</v>
      </c>
      <c r="Z217" s="170">
        <f t="shared" si="132"/>
        <v>2.6196353240115235</v>
      </c>
    </row>
    <row r="218" spans="7:26" ht="12.75">
      <c r="G218" s="154">
        <v>28</v>
      </c>
      <c r="H218" s="154">
        <f t="shared" si="116"/>
        <v>0.10241241487076735</v>
      </c>
      <c r="I218" s="154">
        <f t="shared" si="117"/>
        <v>2.897366523756082</v>
      </c>
      <c r="J218" s="154">
        <f t="shared" si="118"/>
        <v>1.254674228848055</v>
      </c>
      <c r="K218" s="154">
        <f t="shared" si="119"/>
        <v>1.2506222077152975</v>
      </c>
      <c r="L218" s="154">
        <f t="shared" si="120"/>
        <v>0.00045657096939147324</v>
      </c>
      <c r="M218" s="154">
        <f t="shared" si="121"/>
        <v>0.5213675213675214</v>
      </c>
      <c r="N218" s="154">
        <f t="shared" si="133"/>
        <v>1.8799574189446444</v>
      </c>
      <c r="O218" s="154">
        <f t="shared" si="122"/>
        <v>0.07325223505585884</v>
      </c>
      <c r="P218" s="154">
        <f t="shared" si="123"/>
        <v>0.4118117898627237</v>
      </c>
      <c r="Q218" s="154">
        <f t="shared" si="124"/>
        <v>0.5687161822591539</v>
      </c>
      <c r="R218" s="154">
        <f t="shared" si="125"/>
        <v>0.06779950800763512</v>
      </c>
      <c r="S218" s="154">
        <f t="shared" si="126"/>
        <v>0.7603833865814694</v>
      </c>
      <c r="T218" s="154">
        <f t="shared" si="134"/>
        <v>1.9095778554666492</v>
      </c>
      <c r="U218" s="154">
        <f t="shared" si="127"/>
        <v>1.1229800800769993</v>
      </c>
      <c r="V218" s="154">
        <f t="shared" si="128"/>
        <v>4.43609603795875</v>
      </c>
      <c r="W218" s="154">
        <f t="shared" si="129"/>
        <v>1.8799574189446444</v>
      </c>
      <c r="X218" s="171">
        <f t="shared" si="130"/>
        <v>2.2284980744544285</v>
      </c>
      <c r="Y218" s="171">
        <f t="shared" si="131"/>
        <v>-0.03151096277278562</v>
      </c>
      <c r="Z218" s="172">
        <f t="shared" si="132"/>
        <v>2.688890220110574</v>
      </c>
    </row>
    <row r="219" spans="7:26" ht="12.75">
      <c r="G219" s="153">
        <v>29</v>
      </c>
      <c r="H219" s="153">
        <f t="shared" si="116"/>
        <v>0.10607000111615188</v>
      </c>
      <c r="I219" s="153">
        <f t="shared" si="117"/>
        <v>2.9398010840139874</v>
      </c>
      <c r="J219" s="153">
        <f t="shared" si="118"/>
        <v>1.2994119274477973</v>
      </c>
      <c r="K219" s="153">
        <f t="shared" si="119"/>
        <v>1.2953590334288907</v>
      </c>
      <c r="L219" s="153">
        <f t="shared" si="120"/>
        <v>0.00045657096939147324</v>
      </c>
      <c r="M219" s="153">
        <f t="shared" si="121"/>
        <v>0.5213675213675214</v>
      </c>
      <c r="N219" s="153">
        <f t="shared" si="133"/>
        <v>1.8959323388180684</v>
      </c>
      <c r="O219" s="153">
        <f t="shared" si="122"/>
        <v>0.07325223505585884</v>
      </c>
      <c r="P219" s="153">
        <f t="shared" si="123"/>
        <v>0.4409368169605014</v>
      </c>
      <c r="Q219" s="153">
        <f t="shared" si="124"/>
        <v>0.5910131305381333</v>
      </c>
      <c r="R219" s="153">
        <f t="shared" si="125"/>
        <v>0.06779950800763512</v>
      </c>
      <c r="S219" s="153">
        <f t="shared" si="126"/>
        <v>0.7603833865814694</v>
      </c>
      <c r="T219" s="153">
        <f t="shared" si="134"/>
        <v>1.921315716084977</v>
      </c>
      <c r="U219" s="153">
        <f t="shared" si="127"/>
        <v>1.134007132255105</v>
      </c>
      <c r="V219" s="153">
        <f t="shared" si="128"/>
        <v>4.43609603795875</v>
      </c>
      <c r="W219" s="153">
        <f t="shared" si="129"/>
        <v>1.8959323388180684</v>
      </c>
      <c r="X219" s="169">
        <f t="shared" si="130"/>
        <v>2.30808729139923</v>
      </c>
      <c r="Y219" s="169">
        <f t="shared" si="131"/>
        <v>-0.03263635430038511</v>
      </c>
      <c r="Z219" s="170">
        <f t="shared" si="132"/>
        <v>2.7570975794332955</v>
      </c>
    </row>
    <row r="220" spans="7:26" ht="12.75">
      <c r="G220" s="154">
        <v>30</v>
      </c>
      <c r="H220" s="154">
        <f t="shared" si="116"/>
        <v>0.10972758736153644</v>
      </c>
      <c r="I220" s="154">
        <f t="shared" si="117"/>
        <v>2.981510106746564</v>
      </c>
      <c r="J220" s="154">
        <f t="shared" si="118"/>
        <v>1.34414962604754</v>
      </c>
      <c r="K220" s="154">
        <f t="shared" si="119"/>
        <v>1.3400958591424845</v>
      </c>
      <c r="L220" s="154">
        <f t="shared" si="120"/>
        <v>0.00045657096939147324</v>
      </c>
      <c r="M220" s="154">
        <f t="shared" si="121"/>
        <v>0.5213675213675214</v>
      </c>
      <c r="N220" s="154">
        <f t="shared" si="133"/>
        <v>1.91154422346784</v>
      </c>
      <c r="O220" s="154">
        <f t="shared" si="122"/>
        <v>0.07325223505585884</v>
      </c>
      <c r="P220" s="154">
        <f t="shared" si="123"/>
        <v>0.47105615186339034</v>
      </c>
      <c r="Q220" s="154">
        <f t="shared" si="124"/>
        <v>0.613310078817113</v>
      </c>
      <c r="R220" s="154">
        <f t="shared" si="125"/>
        <v>0.06779950800763512</v>
      </c>
      <c r="S220" s="154">
        <f t="shared" si="126"/>
        <v>0.7603833865814694</v>
      </c>
      <c r="T220" s="154">
        <f t="shared" si="134"/>
        <v>1.9328088302974171</v>
      </c>
      <c r="U220" s="154">
        <f t="shared" si="127"/>
        <v>1.1448456461262186</v>
      </c>
      <c r="V220" s="154">
        <f t="shared" si="128"/>
        <v>4.43609603795875</v>
      </c>
      <c r="W220" s="154">
        <f t="shared" si="129"/>
        <v>1.91154422346784</v>
      </c>
      <c r="X220" s="171">
        <f t="shared" si="130"/>
        <v>2.387676508344031</v>
      </c>
      <c r="Y220" s="171">
        <f t="shared" si="131"/>
        <v>-0.03376174582798459</v>
      </c>
      <c r="Z220" s="172">
        <f t="shared" si="132"/>
        <v>2.8243153147109394</v>
      </c>
    </row>
    <row r="221" spans="7:26" ht="12.75">
      <c r="G221" s="153">
        <v>31</v>
      </c>
      <c r="H221" s="153">
        <f t="shared" si="116"/>
        <v>0.11338517360692099</v>
      </c>
      <c r="I221" s="153">
        <f t="shared" si="117"/>
        <v>3.0225295816332567</v>
      </c>
      <c r="J221" s="153">
        <f t="shared" si="118"/>
        <v>1.3888873246472824</v>
      </c>
      <c r="K221" s="153">
        <f t="shared" si="119"/>
        <v>1.384832684856078</v>
      </c>
      <c r="L221" s="153">
        <f t="shared" si="120"/>
        <v>0.00045657096939147324</v>
      </c>
      <c r="M221" s="153">
        <f t="shared" si="121"/>
        <v>0.5213675213675214</v>
      </c>
      <c r="N221" s="153">
        <f t="shared" si="133"/>
        <v>1.9268130217857062</v>
      </c>
      <c r="O221" s="153">
        <f t="shared" si="122"/>
        <v>0.07325223505585884</v>
      </c>
      <c r="P221" s="153">
        <f t="shared" si="123"/>
        <v>0.5021697945713901</v>
      </c>
      <c r="Q221" s="153">
        <f t="shared" si="124"/>
        <v>0.6356070270960924</v>
      </c>
      <c r="R221" s="153">
        <f t="shared" si="125"/>
        <v>0.06779950800763512</v>
      </c>
      <c r="S221" s="153">
        <f t="shared" si="126"/>
        <v>0.7603833865814694</v>
      </c>
      <c r="T221" s="153">
        <f t="shared" si="134"/>
        <v>1.9440696875310812</v>
      </c>
      <c r="U221" s="153">
        <f t="shared" si="127"/>
        <v>1.1555049739746743</v>
      </c>
      <c r="V221" s="153">
        <f t="shared" si="128"/>
        <v>4.43609603795875</v>
      </c>
      <c r="W221" s="153">
        <f t="shared" si="129"/>
        <v>1.9268130217857062</v>
      </c>
      <c r="X221" s="169">
        <f t="shared" si="130"/>
        <v>2.467265725288832</v>
      </c>
      <c r="Y221" s="169">
        <f t="shared" si="131"/>
        <v>-0.03488713735558408</v>
      </c>
      <c r="Z221" s="170">
        <f t="shared" si="132"/>
        <v>2.8905961031611445</v>
      </c>
    </row>
    <row r="222" spans="7:26" ht="12.75">
      <c r="G222" s="154">
        <v>32</v>
      </c>
      <c r="H222" s="154">
        <f t="shared" si="116"/>
        <v>0.11704275985230556</v>
      </c>
      <c r="I222" s="154">
        <f t="shared" si="117"/>
        <v>3.0628926178332883</v>
      </c>
      <c r="J222" s="154">
        <f t="shared" si="118"/>
        <v>1.4336250232470251</v>
      </c>
      <c r="K222" s="154">
        <f t="shared" si="119"/>
        <v>1.4295695105696717</v>
      </c>
      <c r="L222" s="154">
        <f t="shared" si="120"/>
        <v>0.00045657096939147324</v>
      </c>
      <c r="M222" s="154">
        <f t="shared" si="121"/>
        <v>0.5213675213675214</v>
      </c>
      <c r="N222" s="154">
        <f t="shared" si="133"/>
        <v>1.9417569844894524</v>
      </c>
      <c r="O222" s="154">
        <f t="shared" si="122"/>
        <v>0.07325223505585884</v>
      </c>
      <c r="P222" s="154">
        <f t="shared" si="123"/>
        <v>0.5342777450845011</v>
      </c>
      <c r="Q222" s="154">
        <f t="shared" si="124"/>
        <v>0.6579039753750721</v>
      </c>
      <c r="R222" s="154">
        <f t="shared" si="125"/>
        <v>0.06779950800763512</v>
      </c>
      <c r="S222" s="154">
        <f t="shared" si="126"/>
        <v>0.7603833865814694</v>
      </c>
      <c r="T222" s="154">
        <f t="shared" si="134"/>
        <v>1.9551097833479365</v>
      </c>
      <c r="U222" s="154">
        <f t="shared" si="127"/>
        <v>1.1659937195523216</v>
      </c>
      <c r="V222" s="154">
        <f t="shared" si="128"/>
        <v>4.43609603795875</v>
      </c>
      <c r="W222" s="154">
        <f t="shared" si="129"/>
        <v>1.9417569844894524</v>
      </c>
      <c r="X222" s="171">
        <f t="shared" si="130"/>
        <v>2.5468549422336326</v>
      </c>
      <c r="Y222" s="171">
        <f t="shared" si="131"/>
        <v>-0.03601252888318356</v>
      </c>
      <c r="Z222" s="172">
        <f t="shared" si="132"/>
        <v>2.9559880254448014</v>
      </c>
    </row>
    <row r="223" spans="7:26" ht="12.75">
      <c r="G223" s="153">
        <v>33</v>
      </c>
      <c r="H223" s="153">
        <f aca="true" t="shared" si="135" ref="H223:H254">(((G223/100)*Iout)*(Vout_nom^2)*2.5*Rsense*K_1)/(eff*(Vline^2)*K_FQ)*us</f>
        <v>0.12070034609769009</v>
      </c>
      <c r="I223" s="153">
        <f aca="true" t="shared" si="136" ref="I223:I254">(1*10^-9*(5*10^8*SQRT(fsw*kHz)+(1.09655978*10^10)*SQRT(ftyp)*SQRT(H223)))/SQRT(fsw*kHz)</f>
        <v>3.102629756779454</v>
      </c>
      <c r="J223" s="153">
        <f aca="true" t="shared" si="137" ref="J223:J254">(b_1^3/(27*a_1^3))-(d_1^3/27)+SQRT((ftyp)^2*H223^2/(4*a_1^2*c_1^2*(fsw*kHz)^2))+(b_1^3*(ftyp)*H223/(27*a_1^4*c_1*(fsw*kHz))-(d_1^3*(ftyp)*H223/(27*a_1*c_1*(fsw*kHz)))+(b_1*d_1^2*(ftyp)*H223/(9*a_1^2*c_1*(fsw*kHz)))-(b_1^2*d_1*(ftyp)*H223/(9*a_1^3*c_1*(fsw*kHz))))</f>
        <v>1.4783627218467672</v>
      </c>
      <c r="K223" s="153">
        <f aca="true" t="shared" si="138" ref="K223:K254">(b_1*d_1^2/(9*a_1))-(b_1^2*d_1/(9*a_1^2))+(ftyp*H223/(2*a_1*c_1*fsw*kHz))</f>
        <v>1.4743063362832651</v>
      </c>
      <c r="L223" s="153">
        <f aca="true" t="shared" si="139" ref="L223:L254">(d_1^2/9)+(b_1^2/(9*a_1^2))-(2*b_1*d_1/(9*a_1))</f>
        <v>0.00045657096939147324</v>
      </c>
      <c r="M223" s="153">
        <f aca="true" t="shared" si="140" ref="M223:M254">((b_1*c_1*fsw*kHz)+(2*a_1*c_1*d_1*fsw*kHz))/(3*a_1*c_1*fsw*kHz)</f>
        <v>0.5213675213675214</v>
      </c>
      <c r="N223" s="153">
        <f t="shared" si="133"/>
        <v>1.9563928567666045</v>
      </c>
      <c r="O223" s="153">
        <f aca="true" t="shared" si="141" ref="O223:O254">(b_2^3/(27*a_2^3))-(d_2^3/27)</f>
        <v>0.07325223505585884</v>
      </c>
      <c r="P223" s="153">
        <f aca="true" t="shared" si="142" ref="P223:P254">(ftyp^2*H223^2/(4*a_2^2*c_2^2*(fsw*kHz)^2))+(b_2^3*ftyp*H223/(27*a_2^4*c_2*(fsw*kHz)))-(d_2^3*ftyp*H223/(27*a_2*c_2*(fsw*kHz)))+(b_2*d_2^2*ftyp*H223/(9*a_2^2*c_2*(fsw*kHz)))-(b_2^2*d_2*ftyp*H223/(9*a_2^3*c_2*(fsw*kHz)))</f>
        <v>0.5673800034027229</v>
      </c>
      <c r="Q223" s="153">
        <f aca="true" t="shared" si="143" ref="Q223:Q254">(b_2*d_2^2/(9*a_2))-(b_2^2*d_2/(9*a_2^2))+(ftyp*H223/(2*a_2*c_2*(fsw*kHz)))</f>
        <v>0.6802009236540516</v>
      </c>
      <c r="R223" s="153">
        <f aca="true" t="shared" si="144" ref="R223:R254">(d_2^2/9)+(b_2^2/(9*a_2^2))-(2*b_2*d_2/(9*a_2))</f>
        <v>0.06779950800763512</v>
      </c>
      <c r="S223" s="153">
        <f aca="true" t="shared" si="145" ref="S223:S254">(b_2*c_2*(fsw*kHz)+2*a_2*c_2*d_2*(fsw*kHz))/(3*a_2*c_2*(fsw*kHz))</f>
        <v>0.7603833865814694</v>
      </c>
      <c r="T223" s="153">
        <f t="shared" si="134"/>
        <v>1.9659397253234436</v>
      </c>
      <c r="U223" s="153">
        <f aca="true" t="shared" si="146" ref="U223:U254">c_3+(SQRT(ftyp)*SQRT(H223)/(SQRT(a_3)*SQRT(b_3)*SQRT(fsw*kHz)))</f>
        <v>1.1763198193611766</v>
      </c>
      <c r="V223" s="153">
        <f aca="true" t="shared" si="147" ref="V223:V254">(a_4*(fsw*kHz)*b_4/ftyp)</f>
        <v>4.43609603795875</v>
      </c>
      <c r="W223" s="153">
        <f aca="true" t="shared" si="148" ref="W223:W254">IF(I223&gt;=0.5,IF(I223&lt;1,I223,IF(N223&gt;=1,IF(N223&lt;2,N223,IF(VCOMP3&gt;=2,IF(T223&lt;4.5,T223,IF(U223&gt;=4.5,IF(U223&lt;4.6,U223,V223))))))))</f>
        <v>1.9563928567666045</v>
      </c>
      <c r="X223" s="169">
        <f aca="true" t="shared" si="149" ref="X223:X254">Pin_max*G223/(Vline*100)</f>
        <v>2.6264441591784338</v>
      </c>
      <c r="Y223" s="169">
        <f aca="true" t="shared" si="150" ref="Y223:Y254">-Rsense*X223*1.414</f>
        <v>-0.03713792041078305</v>
      </c>
      <c r="Z223" s="170">
        <f aca="true" t="shared" si="151" ref="Z223:Z254">MIN(6,MAX(0.5,Beta*G*($Y223-Voff_trim)/(MAX(0,MIN(4.5,W223)-Alpha1_A)+MAX(0,MIN(4.5,W223)-Alpha1_B)-Alpha1_C)+Alpha2))</f>
        <v>3.020535108136917</v>
      </c>
    </row>
    <row r="224" spans="7:26" ht="12.75">
      <c r="G224" s="154">
        <v>34</v>
      </c>
      <c r="H224" s="154">
        <f t="shared" si="135"/>
        <v>0.12435793234307463</v>
      </c>
      <c r="I224" s="154">
        <f t="shared" si="136"/>
        <v>3.1417692426106005</v>
      </c>
      <c r="J224" s="154">
        <f t="shared" si="137"/>
        <v>1.5231004204465097</v>
      </c>
      <c r="K224" s="154">
        <f t="shared" si="138"/>
        <v>1.5190431619968585</v>
      </c>
      <c r="L224" s="154">
        <f t="shared" si="139"/>
        <v>0.00045657096939147324</v>
      </c>
      <c r="M224" s="154">
        <f t="shared" si="140"/>
        <v>0.5213675213675214</v>
      </c>
      <c r="N224" s="154">
        <f t="shared" si="133"/>
        <v>1.970736043935862</v>
      </c>
      <c r="O224" s="154">
        <f t="shared" si="141"/>
        <v>0.07325223505585884</v>
      </c>
      <c r="P224" s="154">
        <f t="shared" si="142"/>
        <v>0.6014765695260555</v>
      </c>
      <c r="Q224" s="154">
        <f t="shared" si="143"/>
        <v>0.702497871933031</v>
      </c>
      <c r="R224" s="154">
        <f t="shared" si="144"/>
        <v>0.06779950800763512</v>
      </c>
      <c r="S224" s="154">
        <f t="shared" si="145"/>
        <v>0.7603833865814694</v>
      </c>
      <c r="T224" s="154">
        <f t="shared" si="134"/>
        <v>1.9765693249494247</v>
      </c>
      <c r="U224" s="154">
        <f t="shared" si="146"/>
        <v>1.186490612928052</v>
      </c>
      <c r="V224" s="154">
        <f t="shared" si="147"/>
        <v>4.43609603795875</v>
      </c>
      <c r="W224" s="154">
        <f t="shared" si="148"/>
        <v>1.970736043935862</v>
      </c>
      <c r="X224" s="171">
        <f t="shared" si="149"/>
        <v>2.706033376123235</v>
      </c>
      <c r="Y224" s="171">
        <f t="shared" si="150"/>
        <v>-0.03826331193838254</v>
      </c>
      <c r="Z224" s="172">
        <f t="shared" si="151"/>
        <v>3.084277786864776</v>
      </c>
    </row>
    <row r="225" spans="7:26" ht="12.75">
      <c r="G225" s="153">
        <v>35</v>
      </c>
      <c r="H225" s="153">
        <f t="shared" si="135"/>
        <v>0.1280155185884592</v>
      </c>
      <c r="I225" s="153">
        <f t="shared" si="136"/>
        <v>3.180337257050482</v>
      </c>
      <c r="J225" s="153">
        <f t="shared" si="137"/>
        <v>1.5678381190462523</v>
      </c>
      <c r="K225" s="153">
        <f t="shared" si="138"/>
        <v>1.5637799877104521</v>
      </c>
      <c r="L225" s="153">
        <f t="shared" si="139"/>
        <v>0.00045657096939147324</v>
      </c>
      <c r="M225" s="153">
        <f t="shared" si="140"/>
        <v>0.5213675213675214</v>
      </c>
      <c r="N225" s="153">
        <f t="shared" si="133"/>
        <v>1.9848007545820492</v>
      </c>
      <c r="O225" s="153">
        <f t="shared" si="141"/>
        <v>0.07325223505585884</v>
      </c>
      <c r="P225" s="153">
        <f t="shared" si="142"/>
        <v>0.6365674434544993</v>
      </c>
      <c r="Q225" s="153">
        <f t="shared" si="143"/>
        <v>0.7247948202120106</v>
      </c>
      <c r="R225" s="153">
        <f t="shared" si="144"/>
        <v>0.06779950800763512</v>
      </c>
      <c r="S225" s="153">
        <f t="shared" si="145"/>
        <v>0.7603833865814694</v>
      </c>
      <c r="T225" s="153">
        <f t="shared" si="134"/>
        <v>1.9870076777425099</v>
      </c>
      <c r="U225" s="153">
        <f t="shared" si="146"/>
        <v>1.1965129038402162</v>
      </c>
      <c r="V225" s="153">
        <f t="shared" si="147"/>
        <v>4.43609603795875</v>
      </c>
      <c r="W225" s="153">
        <f t="shared" si="148"/>
        <v>1.9848007545820492</v>
      </c>
      <c r="X225" s="169">
        <f t="shared" si="149"/>
        <v>2.7856225930680356</v>
      </c>
      <c r="Y225" s="169">
        <f t="shared" si="150"/>
        <v>-0.03938870346598202</v>
      </c>
      <c r="Z225" s="170">
        <f t="shared" si="151"/>
        <v>3.1472533037898063</v>
      </c>
    </row>
    <row r="226" spans="7:26" ht="12.75">
      <c r="G226" s="155">
        <v>36</v>
      </c>
      <c r="H226" s="154">
        <f t="shared" si="135"/>
        <v>0.1316731048338437</v>
      </c>
      <c r="I226" s="154">
        <f t="shared" si="136"/>
        <v>3.218358124284291</v>
      </c>
      <c r="J226" s="154">
        <f t="shared" si="137"/>
        <v>1.6125758176459941</v>
      </c>
      <c r="K226" s="154">
        <f t="shared" si="138"/>
        <v>1.6085168134240455</v>
      </c>
      <c r="L226" s="154">
        <f t="shared" si="139"/>
        <v>0.00045657096939147324</v>
      </c>
      <c r="M226" s="154">
        <f t="shared" si="140"/>
        <v>0.5213675213675214</v>
      </c>
      <c r="N226" s="154">
        <f t="shared" si="133"/>
        <v>1.9986001247791396</v>
      </c>
      <c r="O226" s="154">
        <f t="shared" si="141"/>
        <v>0.07325223505585884</v>
      </c>
      <c r="P226" s="154">
        <f t="shared" si="142"/>
        <v>0.6726526251880536</v>
      </c>
      <c r="Q226" s="154">
        <f t="shared" si="143"/>
        <v>0.74709176849099</v>
      </c>
      <c r="R226" s="154">
        <f t="shared" si="144"/>
        <v>0.06779950800763512</v>
      </c>
      <c r="S226" s="154">
        <f t="shared" si="145"/>
        <v>0.7603833865814694</v>
      </c>
      <c r="T226" s="154">
        <f t="shared" si="134"/>
        <v>1.997263233349316</v>
      </c>
      <c r="U226" s="154">
        <f t="shared" si="146"/>
        <v>1.2063930129846474</v>
      </c>
      <c r="V226" s="154">
        <f t="shared" si="147"/>
        <v>4.43609603795875</v>
      </c>
      <c r="W226" s="154">
        <f t="shared" si="148"/>
        <v>1.9986001247791396</v>
      </c>
      <c r="X226" s="171">
        <f t="shared" si="149"/>
        <v>2.865211810012837</v>
      </c>
      <c r="Y226" s="171">
        <f t="shared" si="150"/>
        <v>-0.040514094993581516</v>
      </c>
      <c r="Z226" s="172">
        <f t="shared" si="151"/>
        <v>3.2094960504183323</v>
      </c>
    </row>
    <row r="227" spans="7:26" ht="12.75">
      <c r="G227" s="153">
        <v>37</v>
      </c>
      <c r="H227" s="153">
        <f t="shared" si="135"/>
        <v>0.13533069107922824</v>
      </c>
      <c r="I227" s="153">
        <f t="shared" si="136"/>
        <v>3.2558544903880393</v>
      </c>
      <c r="J227" s="153">
        <f t="shared" si="137"/>
        <v>1.6573135162457364</v>
      </c>
      <c r="K227" s="153">
        <f t="shared" si="138"/>
        <v>1.6532536391376387</v>
      </c>
      <c r="L227" s="153">
        <f t="shared" si="139"/>
        <v>0.00045657096939147324</v>
      </c>
      <c r="M227" s="153">
        <f t="shared" si="140"/>
        <v>0.5213675213675214</v>
      </c>
      <c r="N227" s="153">
        <f t="shared" si="133"/>
        <v>2.0121463263523025</v>
      </c>
      <c r="O227" s="153">
        <f t="shared" si="141"/>
        <v>0.07325223505585884</v>
      </c>
      <c r="P227" s="153">
        <f t="shared" si="142"/>
        <v>0.7097321147267193</v>
      </c>
      <c r="Q227" s="153">
        <f t="shared" si="143"/>
        <v>0.7693887167699694</v>
      </c>
      <c r="R227" s="153">
        <f t="shared" si="144"/>
        <v>0.06779950800763512</v>
      </c>
      <c r="S227" s="153">
        <f t="shared" si="145"/>
        <v>0.7603833865814694</v>
      </c>
      <c r="T227" s="153">
        <f t="shared" si="134"/>
        <v>2.007343857127533</v>
      </c>
      <c r="U227" s="153">
        <f t="shared" si="146"/>
        <v>1.2161368251745794</v>
      </c>
      <c r="V227" s="153">
        <f t="shared" si="147"/>
        <v>4.43609603795875</v>
      </c>
      <c r="W227" s="153">
        <f t="shared" si="148"/>
        <v>2.007343857127533</v>
      </c>
      <c r="X227" s="169">
        <f t="shared" si="149"/>
        <v>2.944801026957638</v>
      </c>
      <c r="Y227" s="169">
        <f t="shared" si="150"/>
        <v>-0.041639486521181</v>
      </c>
      <c r="Z227" s="170">
        <f t="shared" si="151"/>
        <v>3.266188435011838</v>
      </c>
    </row>
    <row r="228" spans="7:26" ht="12.75">
      <c r="G228" s="154">
        <v>38</v>
      </c>
      <c r="H228" s="154">
        <f t="shared" si="135"/>
        <v>0.13898827732461283</v>
      </c>
      <c r="I228" s="154">
        <f t="shared" si="136"/>
        <v>3.2928474810704276</v>
      </c>
      <c r="J228" s="154">
        <f t="shared" si="137"/>
        <v>1.7020512148454794</v>
      </c>
      <c r="K228" s="154">
        <f t="shared" si="138"/>
        <v>1.6979904648512332</v>
      </c>
      <c r="L228" s="154">
        <f t="shared" si="139"/>
        <v>0.00045657096939147324</v>
      </c>
      <c r="M228" s="154">
        <f t="shared" si="140"/>
        <v>0.5213675213675214</v>
      </c>
      <c r="N228" s="154">
        <f t="shared" si="133"/>
        <v>2.0254506616026817</v>
      </c>
      <c r="O228" s="154">
        <f t="shared" si="141"/>
        <v>0.07325223505585884</v>
      </c>
      <c r="P228" s="154">
        <f t="shared" si="142"/>
        <v>0.7478059120704964</v>
      </c>
      <c r="Q228" s="154">
        <f t="shared" si="143"/>
        <v>0.7916856650489493</v>
      </c>
      <c r="R228" s="154">
        <f t="shared" si="144"/>
        <v>0.06779950800763512</v>
      </c>
      <c r="S228" s="154">
        <f t="shared" si="145"/>
        <v>0.7603833865814694</v>
      </c>
      <c r="T228" s="154">
        <f t="shared" si="134"/>
        <v>2.0172568844310543</v>
      </c>
      <c r="U228" s="154">
        <f t="shared" si="146"/>
        <v>1.2257498301403347</v>
      </c>
      <c r="V228" s="154">
        <f t="shared" si="147"/>
        <v>4.43609603795875</v>
      </c>
      <c r="W228" s="154">
        <f t="shared" si="148"/>
        <v>2.0172568844310543</v>
      </c>
      <c r="X228" s="171">
        <f t="shared" si="149"/>
        <v>3.024390243902439</v>
      </c>
      <c r="Y228" s="171">
        <f t="shared" si="150"/>
        <v>-0.042764878048780486</v>
      </c>
      <c r="Z228" s="172">
        <f t="shared" si="151"/>
        <v>3.3144723866173416</v>
      </c>
    </row>
    <row r="229" spans="7:26" ht="12.75">
      <c r="G229" s="153">
        <v>39</v>
      </c>
      <c r="H229" s="153">
        <f t="shared" si="135"/>
        <v>0.1426458635699974</v>
      </c>
      <c r="I229" s="153">
        <f t="shared" si="136"/>
        <v>3.3293568408475713</v>
      </c>
      <c r="J229" s="153">
        <f t="shared" si="137"/>
        <v>1.7467889134452221</v>
      </c>
      <c r="K229" s="153">
        <f t="shared" si="138"/>
        <v>1.7427272905648268</v>
      </c>
      <c r="L229" s="153">
        <f t="shared" si="139"/>
        <v>0.00045657096939147324</v>
      </c>
      <c r="M229" s="153">
        <f t="shared" si="140"/>
        <v>0.5213675213675214</v>
      </c>
      <c r="N229" s="153">
        <f t="shared" si="133"/>
        <v>2.0385236464968806</v>
      </c>
      <c r="O229" s="153">
        <f t="shared" si="141"/>
        <v>0.07325223505585884</v>
      </c>
      <c r="P229" s="153">
        <f t="shared" si="142"/>
        <v>0.7868740172193842</v>
      </c>
      <c r="Q229" s="153">
        <f t="shared" si="143"/>
        <v>0.8139826133279289</v>
      </c>
      <c r="R229" s="153">
        <f t="shared" si="144"/>
        <v>0.06779950800763512</v>
      </c>
      <c r="S229" s="153">
        <f t="shared" si="145"/>
        <v>0.7603833865814694</v>
      </c>
      <c r="T229" s="153">
        <f t="shared" si="134"/>
        <v>2.027009168624094</v>
      </c>
      <c r="U229" s="153">
        <f t="shared" si="146"/>
        <v>1.2352371586952897</v>
      </c>
      <c r="V229" s="153">
        <f t="shared" si="147"/>
        <v>4.43609603795875</v>
      </c>
      <c r="W229" s="153">
        <f t="shared" si="148"/>
        <v>2.027009168624094</v>
      </c>
      <c r="X229" s="169">
        <f t="shared" si="149"/>
        <v>3.10397946084724</v>
      </c>
      <c r="Y229" s="169">
        <f t="shared" si="150"/>
        <v>-0.043890269576379974</v>
      </c>
      <c r="Z229" s="170">
        <f t="shared" si="151"/>
        <v>3.3620897531861047</v>
      </c>
    </row>
    <row r="230" spans="7:26" ht="12.75">
      <c r="G230" s="154">
        <v>40</v>
      </c>
      <c r="H230" s="154">
        <f t="shared" si="135"/>
        <v>0.14630344981538196</v>
      </c>
      <c r="I230" s="154">
        <f t="shared" si="136"/>
        <v>3.3654010562538113</v>
      </c>
      <c r="J230" s="154">
        <f t="shared" si="137"/>
        <v>1.7915266120449647</v>
      </c>
      <c r="K230" s="154">
        <f t="shared" si="138"/>
        <v>1.7874641162784206</v>
      </c>
      <c r="L230" s="154">
        <f t="shared" si="139"/>
        <v>0.00045657096939147324</v>
      </c>
      <c r="M230" s="154">
        <f t="shared" si="140"/>
        <v>0.5213675213675214</v>
      </c>
      <c r="N230" s="154">
        <f t="shared" si="133"/>
        <v>2.051375083983659</v>
      </c>
      <c r="O230" s="154">
        <f t="shared" si="141"/>
        <v>0.07325223505585884</v>
      </c>
      <c r="P230" s="154">
        <f t="shared" si="142"/>
        <v>0.8269364301733828</v>
      </c>
      <c r="Q230" s="154">
        <f t="shared" si="143"/>
        <v>0.8362795616069086</v>
      </c>
      <c r="R230" s="154">
        <f t="shared" si="144"/>
        <v>0.06779950800763512</v>
      </c>
      <c r="S230" s="154">
        <f t="shared" si="145"/>
        <v>0.7603833865814694</v>
      </c>
      <c r="T230" s="154">
        <f t="shared" si="134"/>
        <v>2.0366071236837646</v>
      </c>
      <c r="U230" s="154">
        <f t="shared" si="146"/>
        <v>1.2446036147534612</v>
      </c>
      <c r="V230" s="154">
        <f t="shared" si="147"/>
        <v>4.43609603795875</v>
      </c>
      <c r="W230" s="154">
        <f t="shared" si="148"/>
        <v>2.0366071236837646</v>
      </c>
      <c r="X230" s="171">
        <f t="shared" si="149"/>
        <v>3.183568677792041</v>
      </c>
      <c r="Y230" s="171">
        <f t="shared" si="150"/>
        <v>-0.045015661103979455</v>
      </c>
      <c r="Z230" s="172">
        <f t="shared" si="151"/>
        <v>3.4090720511371027</v>
      </c>
    </row>
    <row r="231" spans="7:26" ht="12.75">
      <c r="G231" s="153">
        <v>41</v>
      </c>
      <c r="H231" s="153">
        <f t="shared" si="135"/>
        <v>0.14996103606076647</v>
      </c>
      <c r="I231" s="153">
        <f t="shared" si="136"/>
        <v>3.400997465271207</v>
      </c>
      <c r="J231" s="153">
        <f t="shared" si="137"/>
        <v>1.8362643106447067</v>
      </c>
      <c r="K231" s="153">
        <f t="shared" si="138"/>
        <v>1.8322009419920136</v>
      </c>
      <c r="L231" s="153">
        <f t="shared" si="139"/>
        <v>0.00045657096939147324</v>
      </c>
      <c r="M231" s="153">
        <f t="shared" si="140"/>
        <v>0.5213675213675214</v>
      </c>
      <c r="N231" s="153">
        <f t="shared" si="133"/>
        <v>2.064014128825418</v>
      </c>
      <c r="O231" s="153">
        <f t="shared" si="141"/>
        <v>0.07325223505585884</v>
      </c>
      <c r="P231" s="153">
        <f t="shared" si="142"/>
        <v>0.867993150932492</v>
      </c>
      <c r="Q231" s="153">
        <f t="shared" si="143"/>
        <v>0.8585765098858879</v>
      </c>
      <c r="R231" s="153">
        <f t="shared" si="144"/>
        <v>0.06779950800763512</v>
      </c>
      <c r="S231" s="153">
        <f t="shared" si="145"/>
        <v>0.7603833865814694</v>
      </c>
      <c r="T231" s="153">
        <f t="shared" si="134"/>
        <v>2.0460567621151573</v>
      </c>
      <c r="U231" s="153">
        <f t="shared" si="146"/>
        <v>1.253853703765869</v>
      </c>
      <c r="V231" s="153">
        <f t="shared" si="147"/>
        <v>4.43609603795875</v>
      </c>
      <c r="W231" s="153">
        <f t="shared" si="148"/>
        <v>2.0460567621151573</v>
      </c>
      <c r="X231" s="169">
        <f t="shared" si="149"/>
        <v>3.2631578947368425</v>
      </c>
      <c r="Y231" s="169">
        <f t="shared" si="150"/>
        <v>-0.04614105263157896</v>
      </c>
      <c r="Z231" s="170">
        <f t="shared" si="151"/>
        <v>3.455448397392117</v>
      </c>
    </row>
    <row r="232" spans="7:26" ht="12.75">
      <c r="G232" s="154">
        <v>42</v>
      </c>
      <c r="H232" s="154">
        <f t="shared" si="135"/>
        <v>0.15361862230615103</v>
      </c>
      <c r="I232" s="154">
        <f t="shared" si="136"/>
        <v>3.4361623548161435</v>
      </c>
      <c r="J232" s="154">
        <f t="shared" si="137"/>
        <v>1.881002009244449</v>
      </c>
      <c r="K232" s="154">
        <f t="shared" si="138"/>
        <v>1.8769377677056076</v>
      </c>
      <c r="L232" s="154">
        <f t="shared" si="139"/>
        <v>0.00045657096939147324</v>
      </c>
      <c r="M232" s="154">
        <f t="shared" si="140"/>
        <v>0.5213675213675214</v>
      </c>
      <c r="N232" s="154">
        <f t="shared" si="133"/>
        <v>2.0764493451081685</v>
      </c>
      <c r="O232" s="154">
        <f t="shared" si="141"/>
        <v>0.07325223505585884</v>
      </c>
      <c r="P232" s="154">
        <f t="shared" si="142"/>
        <v>0.9100441794967129</v>
      </c>
      <c r="Q232" s="154">
        <f t="shared" si="143"/>
        <v>0.8808734581648676</v>
      </c>
      <c r="R232" s="154">
        <f t="shared" si="144"/>
        <v>0.06779950800763512</v>
      </c>
      <c r="S232" s="154">
        <f t="shared" si="145"/>
        <v>0.7603833865814694</v>
      </c>
      <c r="T232" s="154">
        <f t="shared" si="134"/>
        <v>2.055363728791511</v>
      </c>
      <c r="U232" s="154">
        <f t="shared" si="146"/>
        <v>1.2629916580534264</v>
      </c>
      <c r="V232" s="154">
        <f t="shared" si="147"/>
        <v>4.43609603795875</v>
      </c>
      <c r="W232" s="154">
        <f t="shared" si="148"/>
        <v>2.055363728791511</v>
      </c>
      <c r="X232" s="171">
        <f t="shared" si="149"/>
        <v>3.3427471116816427</v>
      </c>
      <c r="Y232" s="171">
        <f t="shared" si="150"/>
        <v>-0.047266444159178425</v>
      </c>
      <c r="Z232" s="172">
        <f t="shared" si="151"/>
        <v>3.501245754040574</v>
      </c>
    </row>
    <row r="233" spans="7:26" ht="12.75">
      <c r="G233" s="153">
        <v>43</v>
      </c>
      <c r="H233" s="153">
        <f t="shared" si="135"/>
        <v>0.15727620855153554</v>
      </c>
      <c r="I233" s="153">
        <f t="shared" si="136"/>
        <v>3.470911047838523</v>
      </c>
      <c r="J233" s="153">
        <f t="shared" si="137"/>
        <v>1.9257397078441911</v>
      </c>
      <c r="K233" s="153">
        <f t="shared" si="138"/>
        <v>1.9216745934192005</v>
      </c>
      <c r="L233" s="153">
        <f t="shared" si="139"/>
        <v>0.00045657096939147324</v>
      </c>
      <c r="M233" s="153">
        <f t="shared" si="140"/>
        <v>0.5213675213675214</v>
      </c>
      <c r="N233" s="153">
        <f t="shared" si="133"/>
        <v>2.088688757410321</v>
      </c>
      <c r="O233" s="153">
        <f t="shared" si="141"/>
        <v>0.07325223505585884</v>
      </c>
      <c r="P233" s="153">
        <f t="shared" si="142"/>
        <v>0.953089515866044</v>
      </c>
      <c r="Q233" s="153">
        <f t="shared" si="143"/>
        <v>0.9031704064438468</v>
      </c>
      <c r="R233" s="153">
        <f t="shared" si="144"/>
        <v>0.06779950800763512</v>
      </c>
      <c r="S233" s="153">
        <f t="shared" si="145"/>
        <v>0.7603833865814694</v>
      </c>
      <c r="T233" s="153">
        <f t="shared" si="134"/>
        <v>2.0645333312399257</v>
      </c>
      <c r="U233" s="153">
        <f t="shared" si="146"/>
        <v>1.2720214594405486</v>
      </c>
      <c r="V233" s="153">
        <f t="shared" si="147"/>
        <v>4.43609603795875</v>
      </c>
      <c r="W233" s="153">
        <f t="shared" si="148"/>
        <v>2.0645333312399257</v>
      </c>
      <c r="X233" s="169">
        <f t="shared" si="149"/>
        <v>3.4223363286264443</v>
      </c>
      <c r="Y233" s="169">
        <f t="shared" si="150"/>
        <v>-0.04839183568677792</v>
      </c>
      <c r="Z233" s="170">
        <f t="shared" si="151"/>
        <v>3.546489142281073</v>
      </c>
    </row>
    <row r="234" spans="7:26" ht="12.75">
      <c r="G234" s="154">
        <v>44</v>
      </c>
      <c r="H234" s="154">
        <f t="shared" si="135"/>
        <v>0.1609337947969201</v>
      </c>
      <c r="I234" s="154">
        <f t="shared" si="136"/>
        <v>3.5052579813550957</v>
      </c>
      <c r="J234" s="154">
        <f t="shared" si="137"/>
        <v>1.970477406443934</v>
      </c>
      <c r="K234" s="154">
        <f t="shared" si="138"/>
        <v>1.9664114191327942</v>
      </c>
      <c r="L234" s="154">
        <f t="shared" si="139"/>
        <v>0.00045657096939147324</v>
      </c>
      <c r="M234" s="154">
        <f t="shared" si="140"/>
        <v>0.5213675213675214</v>
      </c>
      <c r="N234" s="154">
        <f t="shared" si="133"/>
        <v>2.1007398964597948</v>
      </c>
      <c r="O234" s="154">
        <f t="shared" si="141"/>
        <v>0.07325223505585884</v>
      </c>
      <c r="P234" s="154">
        <f t="shared" si="142"/>
        <v>0.9971291600404867</v>
      </c>
      <c r="Q234" s="154">
        <f t="shared" si="143"/>
        <v>0.9254673547228264</v>
      </c>
      <c r="R234" s="154">
        <f t="shared" si="144"/>
        <v>0.06779950800763512</v>
      </c>
      <c r="S234" s="154">
        <f t="shared" si="145"/>
        <v>0.7603833865814694</v>
      </c>
      <c r="T234" s="154">
        <f t="shared" si="134"/>
        <v>2.0735705668165125</v>
      </c>
      <c r="U234" s="154">
        <f t="shared" si="146"/>
        <v>1.2809468595329085</v>
      </c>
      <c r="V234" s="154">
        <f t="shared" si="147"/>
        <v>4.43609603795875</v>
      </c>
      <c r="W234" s="154">
        <f t="shared" si="148"/>
        <v>2.0735705668165125</v>
      </c>
      <c r="X234" s="171">
        <f t="shared" si="149"/>
        <v>3.501925545571245</v>
      </c>
      <c r="Y234" s="171">
        <f t="shared" si="150"/>
        <v>-0.04951722721437741</v>
      </c>
      <c r="Z234" s="172">
        <f t="shared" si="151"/>
        <v>3.591201830169737</v>
      </c>
    </row>
    <row r="235" spans="7:26" ht="12.75">
      <c r="G235" s="153">
        <v>45</v>
      </c>
      <c r="H235" s="153">
        <f t="shared" si="135"/>
        <v>0.16459138104230467</v>
      </c>
      <c r="I235" s="153">
        <f t="shared" si="136"/>
        <v>3.539216776544249</v>
      </c>
      <c r="J235" s="153">
        <f t="shared" si="137"/>
        <v>2.0152151050436764</v>
      </c>
      <c r="K235" s="153">
        <f t="shared" si="138"/>
        <v>2.0111482448463884</v>
      </c>
      <c r="L235" s="153">
        <f t="shared" si="139"/>
        <v>0.00045657096939147324</v>
      </c>
      <c r="M235" s="153">
        <f t="shared" si="140"/>
        <v>0.5213675213675214</v>
      </c>
      <c r="N235" s="153">
        <f t="shared" si="133"/>
        <v>2.1126098399841204</v>
      </c>
      <c r="O235" s="153">
        <f t="shared" si="141"/>
        <v>0.07325223505585884</v>
      </c>
      <c r="P235" s="153">
        <f t="shared" si="142"/>
        <v>1.0421631120200403</v>
      </c>
      <c r="Q235" s="153">
        <f t="shared" si="143"/>
        <v>0.947764303001806</v>
      </c>
      <c r="R235" s="153">
        <f t="shared" si="144"/>
        <v>0.06779950800763512</v>
      </c>
      <c r="S235" s="153">
        <f t="shared" si="145"/>
        <v>0.7603833865814694</v>
      </c>
      <c r="T235" s="153">
        <f t="shared" si="134"/>
        <v>2.082480147151006</v>
      </c>
      <c r="U235" s="153">
        <f t="shared" si="146"/>
        <v>1.2897713979322818</v>
      </c>
      <c r="V235" s="153">
        <f t="shared" si="147"/>
        <v>4.43609603795875</v>
      </c>
      <c r="W235" s="153">
        <f t="shared" si="148"/>
        <v>2.082480147151006</v>
      </c>
      <c r="X235" s="169">
        <f t="shared" si="149"/>
        <v>3.581514762516046</v>
      </c>
      <c r="Y235" s="169">
        <f t="shared" si="150"/>
        <v>-0.05064261874197689</v>
      </c>
      <c r="Z235" s="170">
        <f t="shared" si="151"/>
        <v>3.6354054979449058</v>
      </c>
    </row>
    <row r="236" spans="7:26" ht="12.75">
      <c r="G236" s="154">
        <v>46</v>
      </c>
      <c r="H236" s="154">
        <f t="shared" si="135"/>
        <v>0.16824896728768923</v>
      </c>
      <c r="I236" s="154">
        <f t="shared" si="136"/>
        <v>3.5728003018675856</v>
      </c>
      <c r="J236" s="154">
        <f t="shared" si="137"/>
        <v>2.059952803643419</v>
      </c>
      <c r="K236" s="154">
        <f t="shared" si="138"/>
        <v>2.055885070559982</v>
      </c>
      <c r="L236" s="154">
        <f t="shared" si="139"/>
        <v>0.00045657096939147324</v>
      </c>
      <c r="M236" s="154">
        <f t="shared" si="140"/>
        <v>0.5213675213675214</v>
      </c>
      <c r="N236" s="154">
        <f t="shared" si="133"/>
        <v>2.124305249354589</v>
      </c>
      <c r="O236" s="154">
        <f t="shared" si="141"/>
        <v>0.07325223505585884</v>
      </c>
      <c r="P236" s="154">
        <f t="shared" si="142"/>
        <v>1.0881913718047052</v>
      </c>
      <c r="Q236" s="154">
        <f t="shared" si="143"/>
        <v>0.9700612512807857</v>
      </c>
      <c r="R236" s="154">
        <f t="shared" si="144"/>
        <v>0.06779950800763512</v>
      </c>
      <c r="S236" s="154">
        <f t="shared" si="145"/>
        <v>0.7603833865814694</v>
      </c>
      <c r="T236" s="154">
        <f t="shared" si="134"/>
        <v>2.0912665201873475</v>
      </c>
      <c r="U236" s="154">
        <f t="shared" si="146"/>
        <v>1.2984984186393287</v>
      </c>
      <c r="V236" s="154">
        <f t="shared" si="147"/>
        <v>4.43609603795875</v>
      </c>
      <c r="W236" s="154">
        <f t="shared" si="148"/>
        <v>2.0912665201873475</v>
      </c>
      <c r="X236" s="171">
        <f t="shared" si="149"/>
        <v>3.6611039794608473</v>
      </c>
      <c r="Y236" s="171">
        <f t="shared" si="150"/>
        <v>-0.05176801026957638</v>
      </c>
      <c r="Z236" s="172">
        <f t="shared" si="151"/>
        <v>3.6791203840793445</v>
      </c>
    </row>
    <row r="237" spans="7:26" ht="12.75">
      <c r="G237" s="153">
        <v>47</v>
      </c>
      <c r="H237" s="153">
        <f t="shared" si="135"/>
        <v>0.17190655353307374</v>
      </c>
      <c r="I237" s="153">
        <f t="shared" si="136"/>
        <v>3.6060207300478595</v>
      </c>
      <c r="J237" s="153">
        <f t="shared" si="137"/>
        <v>2.1046905022431615</v>
      </c>
      <c r="K237" s="153">
        <f t="shared" si="138"/>
        <v>2.100621896273575</v>
      </c>
      <c r="L237" s="153">
        <f t="shared" si="139"/>
        <v>0.00045657096939147324</v>
      </c>
      <c r="M237" s="153">
        <f t="shared" si="140"/>
        <v>0.5213675213675214</v>
      </c>
      <c r="N237" s="153">
        <f t="shared" si="133"/>
        <v>2.1358324025389566</v>
      </c>
      <c r="O237" s="153">
        <f t="shared" si="141"/>
        <v>0.07325223505585884</v>
      </c>
      <c r="P237" s="153">
        <f t="shared" si="142"/>
        <v>1.13521393939448</v>
      </c>
      <c r="Q237" s="153">
        <f t="shared" si="143"/>
        <v>0.9923581995597651</v>
      </c>
      <c r="R237" s="153">
        <f t="shared" si="144"/>
        <v>0.06779950800763512</v>
      </c>
      <c r="S237" s="153">
        <f t="shared" si="145"/>
        <v>0.7603833865814694</v>
      </c>
      <c r="T237" s="153">
        <f t="shared" si="134"/>
        <v>2.099933890101731</v>
      </c>
      <c r="U237" s="153">
        <f t="shared" si="146"/>
        <v>1.3071310848598923</v>
      </c>
      <c r="V237" s="153">
        <f t="shared" si="147"/>
        <v>4.43609603795875</v>
      </c>
      <c r="W237" s="153">
        <f t="shared" si="148"/>
        <v>2.099933890101731</v>
      </c>
      <c r="X237" s="169">
        <f t="shared" si="149"/>
        <v>3.740693196405648</v>
      </c>
      <c r="Y237" s="169">
        <f t="shared" si="150"/>
        <v>-0.05289340179717586</v>
      </c>
      <c r="Z237" s="170">
        <f t="shared" si="151"/>
        <v>3.722365414705965</v>
      </c>
    </row>
    <row r="238" spans="7:26" ht="12.75">
      <c r="G238" s="154">
        <v>48</v>
      </c>
      <c r="H238" s="154">
        <f t="shared" si="135"/>
        <v>0.1755641397784583</v>
      </c>
      <c r="I238" s="154">
        <f t="shared" si="136"/>
        <v>3.638889589618684</v>
      </c>
      <c r="J238" s="154">
        <f t="shared" si="137"/>
        <v>2.149428200842904</v>
      </c>
      <c r="K238" s="154">
        <f t="shared" si="138"/>
        <v>2.1453587219871686</v>
      </c>
      <c r="L238" s="154">
        <f t="shared" si="139"/>
        <v>0.00045657096939147324</v>
      </c>
      <c r="M238" s="154">
        <f t="shared" si="140"/>
        <v>0.5213675213675214</v>
      </c>
      <c r="N238" s="154">
        <f t="shared" si="133"/>
        <v>2.1471972238047474</v>
      </c>
      <c r="O238" s="154">
        <f t="shared" si="141"/>
        <v>0.07325223505585884</v>
      </c>
      <c r="P238" s="154">
        <f t="shared" si="142"/>
        <v>1.1832308147893666</v>
      </c>
      <c r="Q238" s="154">
        <f t="shared" si="143"/>
        <v>1.0146551478387449</v>
      </c>
      <c r="R238" s="154">
        <f t="shared" si="144"/>
        <v>0.06779950800763512</v>
      </c>
      <c r="S238" s="154">
        <f t="shared" si="145"/>
        <v>0.7603833865814694</v>
      </c>
      <c r="T238" s="154">
        <f t="shared" si="134"/>
        <v>2.1084862353415663</v>
      </c>
      <c r="U238" s="154">
        <f t="shared" si="146"/>
        <v>1.315672392400714</v>
      </c>
      <c r="V238" s="154">
        <f t="shared" si="147"/>
        <v>4.43609603795875</v>
      </c>
      <c r="W238" s="154">
        <f t="shared" si="148"/>
        <v>2.1084862353415663</v>
      </c>
      <c r="X238" s="171">
        <f t="shared" si="149"/>
        <v>3.8202824133504496</v>
      </c>
      <c r="Y238" s="171">
        <f t="shared" si="150"/>
        <v>-0.054018793324775355</v>
      </c>
      <c r="Z238" s="172">
        <f t="shared" si="151"/>
        <v>3.7651583186484014</v>
      </c>
    </row>
    <row r="239" spans="7:26" ht="12.75">
      <c r="G239" s="153">
        <v>49</v>
      </c>
      <c r="H239" s="153">
        <f t="shared" si="135"/>
        <v>0.17922172602384287</v>
      </c>
      <c r="I239" s="153">
        <f t="shared" si="136"/>
        <v>3.671417811665007</v>
      </c>
      <c r="J239" s="153">
        <f t="shared" si="137"/>
        <v>2.194165899442646</v>
      </c>
      <c r="K239" s="153">
        <f t="shared" si="138"/>
        <v>2.190095547700763</v>
      </c>
      <c r="L239" s="153">
        <f t="shared" si="139"/>
        <v>0.00045657096939147324</v>
      </c>
      <c r="M239" s="153">
        <f t="shared" si="140"/>
        <v>0.5213675213675214</v>
      </c>
      <c r="N239" s="153">
        <f t="shared" si="133"/>
        <v>2.1584053105542043</v>
      </c>
      <c r="O239" s="153">
        <f t="shared" si="141"/>
        <v>0.07325223505585884</v>
      </c>
      <c r="P239" s="153">
        <f t="shared" si="142"/>
        <v>1.2322419979893644</v>
      </c>
      <c r="Q239" s="153">
        <f t="shared" si="143"/>
        <v>1.0369520961177245</v>
      </c>
      <c r="R239" s="153">
        <f t="shared" si="144"/>
        <v>0.06779950800763512</v>
      </c>
      <c r="S239" s="153">
        <f t="shared" si="145"/>
        <v>0.7603833865814694</v>
      </c>
      <c r="T239" s="153">
        <f t="shared" si="134"/>
        <v>2.1169273249965905</v>
      </c>
      <c r="U239" s="153">
        <f t="shared" si="146"/>
        <v>1.3241251818154223</v>
      </c>
      <c r="V239" s="153">
        <f t="shared" si="147"/>
        <v>4.43609603795875</v>
      </c>
      <c r="W239" s="153">
        <f t="shared" si="148"/>
        <v>2.1169273249965905</v>
      </c>
      <c r="X239" s="169">
        <f t="shared" si="149"/>
        <v>3.89987163029525</v>
      </c>
      <c r="Y239" s="169">
        <f t="shared" si="150"/>
        <v>-0.05514418485237483</v>
      </c>
      <c r="Z239" s="170">
        <f t="shared" si="151"/>
        <v>3.8075157299455524</v>
      </c>
    </row>
    <row r="240" spans="7:26" ht="12.75">
      <c r="G240" s="155">
        <v>50</v>
      </c>
      <c r="H240" s="155">
        <f t="shared" si="135"/>
        <v>0.1828793122692274</v>
      </c>
      <c r="I240" s="155">
        <f t="shared" si="136"/>
        <v>3.7036157722916103</v>
      </c>
      <c r="J240" s="155">
        <f t="shared" si="137"/>
        <v>2.238903598042389</v>
      </c>
      <c r="K240" s="155">
        <f t="shared" si="138"/>
        <v>2.234832373414356</v>
      </c>
      <c r="L240" s="155">
        <f t="shared" si="139"/>
        <v>0.00045657096939147324</v>
      </c>
      <c r="M240" s="155">
        <f t="shared" si="140"/>
        <v>0.5213675213675214</v>
      </c>
      <c r="N240" s="155">
        <f t="shared" si="133"/>
        <v>2.169461957620421</v>
      </c>
      <c r="O240" s="155">
        <f t="shared" si="141"/>
        <v>0.07325223505585884</v>
      </c>
      <c r="P240" s="155">
        <f t="shared" si="142"/>
        <v>1.2822474889944728</v>
      </c>
      <c r="Q240" s="155">
        <f t="shared" si="143"/>
        <v>1.059249044396704</v>
      </c>
      <c r="R240" s="155">
        <f t="shared" si="144"/>
        <v>0.06779950800763512</v>
      </c>
      <c r="S240" s="155">
        <f t="shared" si="145"/>
        <v>0.7603833865814694</v>
      </c>
      <c r="T240" s="155">
        <f t="shared" si="134"/>
        <v>2.1252607336859497</v>
      </c>
      <c r="U240" s="155">
        <f t="shared" si="146"/>
        <v>1.332492149440402</v>
      </c>
      <c r="V240" s="155">
        <f t="shared" si="147"/>
        <v>4.43609603795875</v>
      </c>
      <c r="W240" s="155">
        <f t="shared" si="148"/>
        <v>2.1252607336859497</v>
      </c>
      <c r="X240" s="171">
        <f t="shared" si="149"/>
        <v>3.9794608472400514</v>
      </c>
      <c r="Y240" s="171">
        <f t="shared" si="150"/>
        <v>-0.056269576379974325</v>
      </c>
      <c r="Z240" s="172">
        <f t="shared" si="151"/>
        <v>3.8494532794758105</v>
      </c>
    </row>
    <row r="241" spans="7:26" ht="12.75">
      <c r="G241" s="153">
        <v>51</v>
      </c>
      <c r="H241" s="153">
        <f t="shared" si="135"/>
        <v>0.18653689851461197</v>
      </c>
      <c r="I241" s="153">
        <f t="shared" si="136"/>
        <v>3.735493331287376</v>
      </c>
      <c r="J241" s="153">
        <f t="shared" si="137"/>
        <v>2.283641296642131</v>
      </c>
      <c r="K241" s="153">
        <f t="shared" si="138"/>
        <v>2.27956919912795</v>
      </c>
      <c r="L241" s="153">
        <f t="shared" si="139"/>
        <v>0.00045657096939147324</v>
      </c>
      <c r="M241" s="153">
        <f t="shared" si="140"/>
        <v>0.5213675213675214</v>
      </c>
      <c r="N241" s="153">
        <f t="shared" si="133"/>
        <v>2.180372179310549</v>
      </c>
      <c r="O241" s="153">
        <f t="shared" si="141"/>
        <v>0.07325223505585884</v>
      </c>
      <c r="P241" s="153">
        <f t="shared" si="142"/>
        <v>1.3332472878046924</v>
      </c>
      <c r="Q241" s="153">
        <f t="shared" si="143"/>
        <v>1.0815459926756836</v>
      </c>
      <c r="R241" s="153">
        <f t="shared" si="144"/>
        <v>0.06779950800763512</v>
      </c>
      <c r="S241" s="153">
        <f t="shared" si="145"/>
        <v>0.7603833865814694</v>
      </c>
      <c r="T241" s="153">
        <f t="shared" si="134"/>
        <v>2.133489855121664</v>
      </c>
      <c r="U241" s="153">
        <f t="shared" si="146"/>
        <v>1.3407758574421003</v>
      </c>
      <c r="V241" s="153">
        <f t="shared" si="147"/>
        <v>4.43609603795875</v>
      </c>
      <c r="W241" s="153">
        <f t="shared" si="148"/>
        <v>2.133489855121664</v>
      </c>
      <c r="X241" s="169">
        <f t="shared" si="149"/>
        <v>4.059050064184852</v>
      </c>
      <c r="Y241" s="169">
        <f t="shared" si="150"/>
        <v>-0.057394967907573806</v>
      </c>
      <c r="Z241" s="170">
        <f t="shared" si="151"/>
        <v>3.8909856770507067</v>
      </c>
    </row>
    <row r="242" spans="7:26" ht="12.75">
      <c r="G242" s="154">
        <v>52</v>
      </c>
      <c r="H242" s="154">
        <f t="shared" si="135"/>
        <v>0.19019448475999648</v>
      </c>
      <c r="I242" s="154">
        <f t="shared" si="136"/>
        <v>3.7670598673937077</v>
      </c>
      <c r="J242" s="154">
        <f t="shared" si="137"/>
        <v>2.328378995241873</v>
      </c>
      <c r="K242" s="154">
        <f t="shared" si="138"/>
        <v>2.324306024841543</v>
      </c>
      <c r="L242" s="154">
        <f t="shared" si="139"/>
        <v>0.00045657096939147324</v>
      </c>
      <c r="M242" s="154">
        <f t="shared" si="140"/>
        <v>0.5213675213675214</v>
      </c>
      <c r="N242" s="154">
        <f t="shared" si="133"/>
        <v>2.191140729444811</v>
      </c>
      <c r="O242" s="154">
        <f t="shared" si="141"/>
        <v>0.07325223505585884</v>
      </c>
      <c r="P242" s="154">
        <f t="shared" si="142"/>
        <v>1.3852413944200221</v>
      </c>
      <c r="Q242" s="154">
        <f t="shared" si="143"/>
        <v>1.1038429409546628</v>
      </c>
      <c r="R242" s="154">
        <f t="shared" si="144"/>
        <v>0.06779950800763512</v>
      </c>
      <c r="S242" s="154">
        <f t="shared" si="145"/>
        <v>0.7603833865814694</v>
      </c>
      <c r="T242" s="154">
        <f t="shared" si="134"/>
        <v>2.141617914488857</v>
      </c>
      <c r="U242" s="154">
        <f t="shared" si="146"/>
        <v>1.348978742981882</v>
      </c>
      <c r="V242" s="154">
        <f t="shared" si="147"/>
        <v>4.43609603795875</v>
      </c>
      <c r="W242" s="154">
        <f t="shared" si="148"/>
        <v>2.141617914488857</v>
      </c>
      <c r="X242" s="171">
        <f t="shared" si="149"/>
        <v>4.138639281129653</v>
      </c>
      <c r="Y242" s="171">
        <f t="shared" si="150"/>
        <v>-0.058520359435173294</v>
      </c>
      <c r="Z242" s="172">
        <f t="shared" si="151"/>
        <v>3.9321267851507264</v>
      </c>
    </row>
    <row r="243" spans="7:26" ht="12.75">
      <c r="G243" s="153">
        <v>53</v>
      </c>
      <c r="H243" s="153">
        <f t="shared" si="135"/>
        <v>0.19385207100538104</v>
      </c>
      <c r="I243" s="153">
        <f t="shared" si="136"/>
        <v>3.7983243105346856</v>
      </c>
      <c r="J243" s="153">
        <f t="shared" si="137"/>
        <v>2.373116693841616</v>
      </c>
      <c r="K243" s="153">
        <f t="shared" si="138"/>
        <v>2.3690428505551364</v>
      </c>
      <c r="L243" s="153">
        <f t="shared" si="139"/>
        <v>0.00045657096939147324</v>
      </c>
      <c r="M243" s="153">
        <f t="shared" si="140"/>
        <v>0.5213675213675214</v>
      </c>
      <c r="N243" s="153">
        <f t="shared" si="133"/>
        <v>2.20177211960839</v>
      </c>
      <c r="O243" s="153">
        <f t="shared" si="141"/>
        <v>0.07325223505585884</v>
      </c>
      <c r="P243" s="153">
        <f t="shared" si="142"/>
        <v>1.4382298088404637</v>
      </c>
      <c r="Q243" s="153">
        <f t="shared" si="143"/>
        <v>1.1261398892336425</v>
      </c>
      <c r="R243" s="153">
        <f t="shared" si="144"/>
        <v>0.06779950800763512</v>
      </c>
      <c r="S243" s="153">
        <f t="shared" si="145"/>
        <v>0.7603833865814694</v>
      </c>
      <c r="T243" s="153">
        <f t="shared" si="134"/>
        <v>2.149647979765923</v>
      </c>
      <c r="U243" s="153">
        <f t="shared" si="146"/>
        <v>1.3571031265913658</v>
      </c>
      <c r="V243" s="153">
        <f t="shared" si="147"/>
        <v>4.43609603795875</v>
      </c>
      <c r="W243" s="153">
        <f t="shared" si="148"/>
        <v>2.149647979765923</v>
      </c>
      <c r="X243" s="169">
        <f t="shared" si="149"/>
        <v>4.218228498074454</v>
      </c>
      <c r="Y243" s="169">
        <f t="shared" si="150"/>
        <v>-0.05964575096277279</v>
      </c>
      <c r="Z243" s="170">
        <f t="shared" si="151"/>
        <v>3.9728896853105815</v>
      </c>
    </row>
    <row r="244" spans="7:26" ht="12.75">
      <c r="G244" s="154">
        <v>54</v>
      </c>
      <c r="H244" s="154">
        <f t="shared" si="135"/>
        <v>0.19750965725076558</v>
      </c>
      <c r="I244" s="154">
        <f t="shared" si="136"/>
        <v>3.8292951713228454</v>
      </c>
      <c r="J244" s="154">
        <f t="shared" si="137"/>
        <v>2.4178543924413582</v>
      </c>
      <c r="K244" s="154">
        <f t="shared" si="138"/>
        <v>2.4137796762687302</v>
      </c>
      <c r="L244" s="154">
        <f t="shared" si="139"/>
        <v>0.00045657096939147324</v>
      </c>
      <c r="M244" s="154">
        <f t="shared" si="140"/>
        <v>0.5213675213675214</v>
      </c>
      <c r="N244" s="154">
        <f t="shared" si="133"/>
        <v>2.212270635806088</v>
      </c>
      <c r="O244" s="154">
        <f t="shared" si="141"/>
        <v>0.07325223505585884</v>
      </c>
      <c r="P244" s="154">
        <f t="shared" si="142"/>
        <v>1.492212531066016</v>
      </c>
      <c r="Q244" s="154">
        <f t="shared" si="143"/>
        <v>1.148436837512622</v>
      </c>
      <c r="R244" s="154">
        <f t="shared" si="144"/>
        <v>0.06779950800763512</v>
      </c>
      <c r="S244" s="154">
        <f t="shared" si="145"/>
        <v>0.7603833865814694</v>
      </c>
      <c r="T244" s="154">
        <f t="shared" si="134"/>
        <v>2.157582972092979</v>
      </c>
      <c r="U244" s="154">
        <f t="shared" si="146"/>
        <v>1.3651512198397993</v>
      </c>
      <c r="V244" s="154">
        <f t="shared" si="147"/>
        <v>4.43609603795875</v>
      </c>
      <c r="W244" s="154">
        <f t="shared" si="148"/>
        <v>2.157582972092979</v>
      </c>
      <c r="X244" s="171">
        <f t="shared" si="149"/>
        <v>4.297817715019256</v>
      </c>
      <c r="Y244" s="171">
        <f t="shared" si="150"/>
        <v>-0.06077114249037228</v>
      </c>
      <c r="Z244" s="172">
        <f t="shared" si="151"/>
        <v>4.013286738022112</v>
      </c>
    </row>
    <row r="245" spans="7:26" ht="12.75">
      <c r="G245" s="153">
        <v>55</v>
      </c>
      <c r="H245" s="153">
        <f t="shared" si="135"/>
        <v>0.20116724349615012</v>
      </c>
      <c r="I245" s="153">
        <f t="shared" si="136"/>
        <v>3.8599805681168937</v>
      </c>
      <c r="J245" s="153">
        <f t="shared" si="137"/>
        <v>2.4625920910411008</v>
      </c>
      <c r="K245" s="153">
        <f t="shared" si="138"/>
        <v>2.4585165019823236</v>
      </c>
      <c r="L245" s="153">
        <f t="shared" si="139"/>
        <v>0.00045657096939147324</v>
      </c>
      <c r="M245" s="153">
        <f t="shared" si="140"/>
        <v>0.5213675213675214</v>
      </c>
      <c r="N245" s="153">
        <f t="shared" si="133"/>
        <v>2.2226403536863786</v>
      </c>
      <c r="O245" s="153">
        <f t="shared" si="141"/>
        <v>0.07325223505585884</v>
      </c>
      <c r="P245" s="153">
        <f t="shared" si="142"/>
        <v>1.5471895610966788</v>
      </c>
      <c r="Q245" s="153">
        <f t="shared" si="143"/>
        <v>1.1707337857916014</v>
      </c>
      <c r="R245" s="153">
        <f t="shared" si="144"/>
        <v>0.06779950800763512</v>
      </c>
      <c r="S245" s="153">
        <f t="shared" si="145"/>
        <v>0.7603833865814694</v>
      </c>
      <c r="T245" s="153">
        <f t="shared" si="134"/>
        <v>2.1654256752841463</v>
      </c>
      <c r="U245" s="153">
        <f t="shared" si="146"/>
        <v>1.3731251323652818</v>
      </c>
      <c r="V245" s="153">
        <f t="shared" si="147"/>
        <v>4.43609603795875</v>
      </c>
      <c r="W245" s="153">
        <f t="shared" si="148"/>
        <v>2.1654256752841463</v>
      </c>
      <c r="X245" s="169">
        <f t="shared" si="149"/>
        <v>4.377406931964057</v>
      </c>
      <c r="Y245" s="169">
        <f t="shared" si="150"/>
        <v>-0.06189653401797176</v>
      </c>
      <c r="Z245" s="170">
        <f t="shared" si="151"/>
        <v>4.053329636905293</v>
      </c>
    </row>
    <row r="246" spans="7:26" ht="12.75">
      <c r="G246" s="154">
        <v>56</v>
      </c>
      <c r="H246" s="154">
        <f t="shared" si="135"/>
        <v>0.2048248297415347</v>
      </c>
      <c r="I246" s="154">
        <f t="shared" si="136"/>
        <v>3.8903882518750916</v>
      </c>
      <c r="J246" s="154">
        <f t="shared" si="137"/>
        <v>2.5073297896408433</v>
      </c>
      <c r="K246" s="154">
        <f t="shared" si="138"/>
        <v>2.503253327695918</v>
      </c>
      <c r="L246" s="154">
        <f t="shared" si="139"/>
        <v>0.00045657096939147324</v>
      </c>
      <c r="M246" s="154">
        <f t="shared" si="140"/>
        <v>0.5213675213675214</v>
      </c>
      <c r="N246" s="154">
        <f t="shared" si="133"/>
        <v>2.2328851524813764</v>
      </c>
      <c r="O246" s="154">
        <f t="shared" si="141"/>
        <v>0.07325223505585884</v>
      </c>
      <c r="P246" s="154">
        <f t="shared" si="142"/>
        <v>1.603160898932454</v>
      </c>
      <c r="Q246" s="154">
        <f t="shared" si="143"/>
        <v>1.1930307340705812</v>
      </c>
      <c r="R246" s="154">
        <f t="shared" si="144"/>
        <v>0.06779950800763512</v>
      </c>
      <c r="S246" s="154">
        <f t="shared" si="145"/>
        <v>0.7603833865814694</v>
      </c>
      <c r="T246" s="154">
        <f t="shared" si="134"/>
        <v>2.1731787445680957</v>
      </c>
      <c r="U246" s="154">
        <f t="shared" si="146"/>
        <v>1.3810268783331692</v>
      </c>
      <c r="V246" s="154">
        <f t="shared" si="147"/>
        <v>4.43609603795875</v>
      </c>
      <c r="W246" s="154">
        <f t="shared" si="148"/>
        <v>2.1731787445680957</v>
      </c>
      <c r="X246" s="171">
        <f t="shared" si="149"/>
        <v>4.456996148908857</v>
      </c>
      <c r="Y246" s="171">
        <f t="shared" si="150"/>
        <v>-0.06302192554557123</v>
      </c>
      <c r="Z246" s="172">
        <f t="shared" si="151"/>
        <v>4.093029457798107</v>
      </c>
    </row>
    <row r="247" spans="7:26" ht="12.75">
      <c r="G247" s="153">
        <v>57</v>
      </c>
      <c r="H247" s="153">
        <f t="shared" si="135"/>
        <v>0.20848241598691922</v>
      </c>
      <c r="I247" s="153">
        <f t="shared" si="136"/>
        <v>3.9205256290199246</v>
      </c>
      <c r="J247" s="153">
        <f t="shared" si="137"/>
        <v>2.5520674882405854</v>
      </c>
      <c r="K247" s="153">
        <f t="shared" si="138"/>
        <v>2.547990153409511</v>
      </c>
      <c r="L247" s="153">
        <f t="shared" si="139"/>
        <v>0.00045657096939147324</v>
      </c>
      <c r="M247" s="153">
        <f t="shared" si="140"/>
        <v>0.5213675213675214</v>
      </c>
      <c r="N247" s="153">
        <f t="shared" si="133"/>
        <v>2.243008727791905</v>
      </c>
      <c r="O247" s="153">
        <f t="shared" si="141"/>
        <v>0.07325223505585884</v>
      </c>
      <c r="P247" s="153">
        <f t="shared" si="142"/>
        <v>1.6601265445733386</v>
      </c>
      <c r="Q247" s="153">
        <f t="shared" si="143"/>
        <v>1.2153276823495605</v>
      </c>
      <c r="R247" s="153">
        <f t="shared" si="144"/>
        <v>0.06779950800763512</v>
      </c>
      <c r="S247" s="153">
        <f t="shared" si="145"/>
        <v>0.7603833865814694</v>
      </c>
      <c r="T247" s="153">
        <f t="shared" si="134"/>
        <v>2.1808447146316703</v>
      </c>
      <c r="U247" s="153">
        <f t="shared" si="146"/>
        <v>1.3888583823776917</v>
      </c>
      <c r="V247" s="153">
        <f t="shared" si="147"/>
        <v>4.43609603795875</v>
      </c>
      <c r="W247" s="153">
        <f t="shared" si="148"/>
        <v>2.1808447146316703</v>
      </c>
      <c r="X247" s="169">
        <f t="shared" si="149"/>
        <v>4.536585365853658</v>
      </c>
      <c r="Y247" s="169">
        <f t="shared" si="150"/>
        <v>-0.06414731707317073</v>
      </c>
      <c r="Z247" s="170">
        <f t="shared" si="151"/>
        <v>4.132396703331138</v>
      </c>
    </row>
    <row r="248" spans="7:26" ht="12.75">
      <c r="G248" s="154">
        <v>58</v>
      </c>
      <c r="H248" s="154">
        <f t="shared" si="135"/>
        <v>0.21214000223230375</v>
      </c>
      <c r="I248" s="154">
        <f t="shared" si="136"/>
        <v>3.9503997825051607</v>
      </c>
      <c r="J248" s="154">
        <f t="shared" si="137"/>
        <v>2.596805186840328</v>
      </c>
      <c r="K248" s="154">
        <f t="shared" si="138"/>
        <v>2.5927269791231042</v>
      </c>
      <c r="L248" s="154">
        <f t="shared" si="139"/>
        <v>0.00045657096939147324</v>
      </c>
      <c r="M248" s="154">
        <f t="shared" si="140"/>
        <v>0.5213675213675214</v>
      </c>
      <c r="N248" s="154">
        <f t="shared" si="133"/>
        <v>2.253014603331836</v>
      </c>
      <c r="O248" s="154">
        <f t="shared" si="141"/>
        <v>0.07325223505585884</v>
      </c>
      <c r="P248" s="154">
        <f t="shared" si="142"/>
        <v>1.7180864980193347</v>
      </c>
      <c r="Q248" s="154">
        <f t="shared" si="143"/>
        <v>1.2376246306285401</v>
      </c>
      <c r="R248" s="154">
        <f t="shared" si="144"/>
        <v>0.06779950800763512</v>
      </c>
      <c r="S248" s="154">
        <f t="shared" si="145"/>
        <v>0.7603833865814694</v>
      </c>
      <c r="T248" s="154">
        <f t="shared" si="134"/>
        <v>2.188426007032994</v>
      </c>
      <c r="U248" s="154">
        <f t="shared" si="146"/>
        <v>1.3966214850764422</v>
      </c>
      <c r="V248" s="154">
        <f t="shared" si="147"/>
        <v>4.43609603795875</v>
      </c>
      <c r="W248" s="154">
        <f t="shared" si="148"/>
        <v>2.188426007032994</v>
      </c>
      <c r="X248" s="171">
        <f t="shared" si="149"/>
        <v>4.61617458279846</v>
      </c>
      <c r="Y248" s="171">
        <f t="shared" si="150"/>
        <v>-0.06527270860077022</v>
      </c>
      <c r="Z248" s="172">
        <f t="shared" si="151"/>
        <v>4.171441343480334</v>
      </c>
    </row>
    <row r="249" spans="7:26" ht="12.75">
      <c r="G249" s="153">
        <v>59</v>
      </c>
      <c r="H249" s="153">
        <f t="shared" si="135"/>
        <v>0.21579758847768832</v>
      </c>
      <c r="I249" s="153">
        <f t="shared" si="136"/>
        <v>3.9800174912550617</v>
      </c>
      <c r="J249" s="153">
        <f t="shared" si="137"/>
        <v>2.6415428854400704</v>
      </c>
      <c r="K249" s="153">
        <f t="shared" si="138"/>
        <v>2.637463804836698</v>
      </c>
      <c r="L249" s="153">
        <f t="shared" si="139"/>
        <v>0.00045657096939147324</v>
      </c>
      <c r="M249" s="153">
        <f t="shared" si="140"/>
        <v>0.5213675213675214</v>
      </c>
      <c r="N249" s="153">
        <f t="shared" si="133"/>
        <v>2.262906141732799</v>
      </c>
      <c r="O249" s="153">
        <f t="shared" si="141"/>
        <v>0.07325223505585884</v>
      </c>
      <c r="P249" s="153">
        <f t="shared" si="142"/>
        <v>1.777040759270442</v>
      </c>
      <c r="Q249" s="153">
        <f t="shared" si="143"/>
        <v>1.2599215789075198</v>
      </c>
      <c r="R249" s="153">
        <f t="shared" si="144"/>
        <v>0.06779950800763512</v>
      </c>
      <c r="S249" s="153">
        <f t="shared" si="145"/>
        <v>0.7603833865814694</v>
      </c>
      <c r="T249" s="153">
        <f t="shared" si="134"/>
        <v>2.1959249370431437</v>
      </c>
      <c r="U249" s="153">
        <f t="shared" si="146"/>
        <v>1.4043179480018533</v>
      </c>
      <c r="V249" s="153">
        <f t="shared" si="147"/>
        <v>4.43609603795875</v>
      </c>
      <c r="W249" s="153">
        <f t="shared" si="148"/>
        <v>2.1959249370431437</v>
      </c>
      <c r="X249" s="169">
        <f t="shared" si="149"/>
        <v>4.69576379974326</v>
      </c>
      <c r="Y249" s="169">
        <f t="shared" si="150"/>
        <v>-0.0663981001283697</v>
      </c>
      <c r="Z249" s="170">
        <f t="shared" si="151"/>
        <v>4.210172852529371</v>
      </c>
    </row>
    <row r="250" spans="7:26" ht="12.75">
      <c r="G250" s="154">
        <v>60</v>
      </c>
      <c r="H250" s="154">
        <f t="shared" si="135"/>
        <v>0.21945517472307288</v>
      </c>
      <c r="I250" s="154">
        <f t="shared" si="136"/>
        <v>4.009385248126898</v>
      </c>
      <c r="J250" s="154">
        <f t="shared" si="137"/>
        <v>2.6862805840398134</v>
      </c>
      <c r="K250" s="154">
        <f t="shared" si="138"/>
        <v>2.682200630550292</v>
      </c>
      <c r="L250" s="154">
        <f t="shared" si="139"/>
        <v>0.00045657096939147324</v>
      </c>
      <c r="M250" s="154">
        <f t="shared" si="140"/>
        <v>0.5213675213675214</v>
      </c>
      <c r="N250" s="154">
        <f t="shared" si="133"/>
        <v>2.272686554499023</v>
      </c>
      <c r="O250" s="154">
        <f t="shared" si="141"/>
        <v>0.07325223505585884</v>
      </c>
      <c r="P250" s="154">
        <f t="shared" si="142"/>
        <v>1.8369893283266607</v>
      </c>
      <c r="Q250" s="154">
        <f t="shared" si="143"/>
        <v>1.2822185271864994</v>
      </c>
      <c r="R250" s="154">
        <f t="shared" si="144"/>
        <v>0.06779950800763512</v>
      </c>
      <c r="S250" s="154">
        <f t="shared" si="145"/>
        <v>0.7603833865814694</v>
      </c>
      <c r="T250" s="154">
        <f t="shared" si="134"/>
        <v>2.20334371996907</v>
      </c>
      <c r="U250" s="154">
        <f t="shared" si="146"/>
        <v>1.4119494583889398</v>
      </c>
      <c r="V250" s="154">
        <f t="shared" si="147"/>
        <v>4.43609603795875</v>
      </c>
      <c r="W250" s="154">
        <f t="shared" si="148"/>
        <v>2.20334371996907</v>
      </c>
      <c r="X250" s="171">
        <f t="shared" si="149"/>
        <v>4.775353016688062</v>
      </c>
      <c r="Y250" s="171">
        <f t="shared" si="150"/>
        <v>-0.06752349165596919</v>
      </c>
      <c r="Z250" s="172">
        <f t="shared" si="151"/>
        <v>4.248600242819755</v>
      </c>
    </row>
    <row r="251" spans="7:26" ht="12.75">
      <c r="G251" s="153">
        <v>61</v>
      </c>
      <c r="H251" s="153">
        <f t="shared" si="135"/>
        <v>0.2231127609684574</v>
      </c>
      <c r="I251" s="153">
        <f t="shared" si="136"/>
        <v>4.038509276531601</v>
      </c>
      <c r="J251" s="153">
        <f t="shared" si="137"/>
        <v>2.7310182826395546</v>
      </c>
      <c r="K251" s="153">
        <f t="shared" si="138"/>
        <v>2.726937456263885</v>
      </c>
      <c r="L251" s="153">
        <f t="shared" si="139"/>
        <v>0.00045657096939147324</v>
      </c>
      <c r="M251" s="153">
        <f t="shared" si="140"/>
        <v>0.5213675213675214</v>
      </c>
      <c r="N251" s="153">
        <f t="shared" si="133"/>
        <v>2.282358911192136</v>
      </c>
      <c r="O251" s="153">
        <f t="shared" si="141"/>
        <v>0.07325223505585884</v>
      </c>
      <c r="P251" s="153">
        <f t="shared" si="142"/>
        <v>1.8979322051879888</v>
      </c>
      <c r="Q251" s="153">
        <f t="shared" si="143"/>
        <v>1.3045154754654786</v>
      </c>
      <c r="R251" s="153">
        <f t="shared" si="144"/>
        <v>0.06779950800763512</v>
      </c>
      <c r="S251" s="153">
        <f t="shared" si="145"/>
        <v>0.7603833865814694</v>
      </c>
      <c r="T251" s="153">
        <f t="shared" si="134"/>
        <v>2.2106844770047935</v>
      </c>
      <c r="U251" s="153">
        <f t="shared" si="146"/>
        <v>1.4195176334543447</v>
      </c>
      <c r="V251" s="153">
        <f t="shared" si="147"/>
        <v>4.43609603795875</v>
      </c>
      <c r="W251" s="153">
        <f t="shared" si="148"/>
        <v>2.2106844770047935</v>
      </c>
      <c r="X251" s="169">
        <f t="shared" si="149"/>
        <v>4.854942233632863</v>
      </c>
      <c r="Y251" s="169">
        <f t="shared" si="150"/>
        <v>-0.06864888318356867</v>
      </c>
      <c r="Z251" s="170">
        <f t="shared" si="151"/>
        <v>4.286732095621</v>
      </c>
    </row>
    <row r="252" spans="7:26" ht="12.75">
      <c r="G252" s="154">
        <v>62</v>
      </c>
      <c r="H252" s="154">
        <f t="shared" si="135"/>
        <v>0.22677034721384198</v>
      </c>
      <c r="I252" s="154">
        <f t="shared" si="136"/>
        <v>4.067395545833081</v>
      </c>
      <c r="J252" s="154">
        <f t="shared" si="137"/>
        <v>2.775755981239298</v>
      </c>
      <c r="K252" s="154">
        <f t="shared" si="138"/>
        <v>2.7716742819774787</v>
      </c>
      <c r="L252" s="154">
        <f t="shared" si="139"/>
        <v>0.00045657096939147324</v>
      </c>
      <c r="M252" s="154">
        <f t="shared" si="140"/>
        <v>0.5213675213675214</v>
      </c>
      <c r="N252" s="154">
        <f t="shared" si="133"/>
        <v>2.291926147917072</v>
      </c>
      <c r="O252" s="154">
        <f t="shared" si="141"/>
        <v>0.07325223505585884</v>
      </c>
      <c r="P252" s="154">
        <f t="shared" si="142"/>
        <v>1.9598693898544297</v>
      </c>
      <c r="Q252" s="154">
        <f t="shared" si="143"/>
        <v>1.3268124237444583</v>
      </c>
      <c r="R252" s="154">
        <f t="shared" si="144"/>
        <v>0.06779950800763512</v>
      </c>
      <c r="S252" s="154">
        <f t="shared" si="145"/>
        <v>0.7603833865814694</v>
      </c>
      <c r="T252" s="154">
        <f t="shared" si="134"/>
        <v>2.2179492406529975</v>
      </c>
      <c r="U252" s="154">
        <f t="shared" si="146"/>
        <v>1.427024024398007</v>
      </c>
      <c r="V252" s="154">
        <f t="shared" si="147"/>
        <v>4.43609603795875</v>
      </c>
      <c r="W252" s="154">
        <f t="shared" si="148"/>
        <v>2.2179492406529975</v>
      </c>
      <c r="X252" s="171">
        <f t="shared" si="149"/>
        <v>4.934531450577664</v>
      </c>
      <c r="Y252" s="171">
        <f t="shared" si="150"/>
        <v>-0.06977427471116816</v>
      </c>
      <c r="Z252" s="172">
        <f t="shared" si="151"/>
        <v>4.324576589413562</v>
      </c>
    </row>
    <row r="253" spans="7:26" ht="12.75">
      <c r="G253" s="153">
        <v>63</v>
      </c>
      <c r="H253" s="153">
        <f t="shared" si="135"/>
        <v>0.23042793345922652</v>
      </c>
      <c r="I253" s="153">
        <f t="shared" si="136"/>
        <v>4.096049785634123</v>
      </c>
      <c r="J253" s="153">
        <f t="shared" si="137"/>
        <v>2.8204936798390405</v>
      </c>
      <c r="K253" s="153">
        <f t="shared" si="138"/>
        <v>2.8164111076910725</v>
      </c>
      <c r="L253" s="153">
        <f t="shared" si="139"/>
        <v>0.00045657096939147324</v>
      </c>
      <c r="M253" s="153">
        <f t="shared" si="140"/>
        <v>0.5213675213675214</v>
      </c>
      <c r="N253" s="153">
        <f t="shared" si="133"/>
        <v>2.3013910751726345</v>
      </c>
      <c r="O253" s="153">
        <f t="shared" si="141"/>
        <v>0.07325223505585884</v>
      </c>
      <c r="P253" s="153">
        <f t="shared" si="142"/>
        <v>2.0228008823259804</v>
      </c>
      <c r="Q253" s="153">
        <f t="shared" si="143"/>
        <v>1.349109372023438</v>
      </c>
      <c r="R253" s="153">
        <f t="shared" si="144"/>
        <v>0.06779950800763512</v>
      </c>
      <c r="S253" s="153">
        <f t="shared" si="145"/>
        <v>0.7603833865814694</v>
      </c>
      <c r="T253" s="153">
        <f t="shared" si="134"/>
        <v>2.225139959754749</v>
      </c>
      <c r="U253" s="153">
        <f t="shared" si="146"/>
        <v>1.4344701201154988</v>
      </c>
      <c r="V253" s="153">
        <f t="shared" si="147"/>
        <v>4.43609603795875</v>
      </c>
      <c r="W253" s="153">
        <f t="shared" si="148"/>
        <v>2.225139959754749</v>
      </c>
      <c r="X253" s="169">
        <f t="shared" si="149"/>
        <v>5.014120667522464</v>
      </c>
      <c r="Y253" s="169">
        <f t="shared" si="150"/>
        <v>-0.07089966623876764</v>
      </c>
      <c r="Z253" s="170">
        <f t="shared" si="151"/>
        <v>4.362141525842961</v>
      </c>
    </row>
    <row r="254" spans="7:26" ht="12.75">
      <c r="G254" s="154">
        <v>64</v>
      </c>
      <c r="H254" s="154">
        <f t="shared" si="135"/>
        <v>0.2340855197046111</v>
      </c>
      <c r="I254" s="154">
        <f t="shared" si="136"/>
        <v>4.124477499045722</v>
      </c>
      <c r="J254" s="154">
        <f t="shared" si="137"/>
        <v>2.8652313784387835</v>
      </c>
      <c r="K254" s="154">
        <f t="shared" si="138"/>
        <v>2.8611479334046663</v>
      </c>
      <c r="L254" s="154">
        <f t="shared" si="139"/>
        <v>0.00045657096939147324</v>
      </c>
      <c r="M254" s="154">
        <f t="shared" si="140"/>
        <v>0.5213675213675214</v>
      </c>
      <c r="N254" s="154">
        <f t="shared" si="133"/>
        <v>2.310756385123562</v>
      </c>
      <c r="O254" s="154">
        <f t="shared" si="141"/>
        <v>0.07325223505585884</v>
      </c>
      <c r="P254" s="154">
        <f t="shared" si="142"/>
        <v>2.086726682602644</v>
      </c>
      <c r="Q254" s="154">
        <f t="shared" si="143"/>
        <v>1.3714063203024176</v>
      </c>
      <c r="R254" s="154">
        <f t="shared" si="144"/>
        <v>0.06779950800763512</v>
      </c>
      <c r="S254" s="154">
        <f t="shared" si="145"/>
        <v>0.7603833865814694</v>
      </c>
      <c r="T254" s="154">
        <f t="shared" si="134"/>
        <v>2.2322585041612584</v>
      </c>
      <c r="U254" s="154">
        <f t="shared" si="146"/>
        <v>1.4418573506461967</v>
      </c>
      <c r="V254" s="154">
        <f t="shared" si="147"/>
        <v>4.43609603795875</v>
      </c>
      <c r="W254" s="154">
        <f t="shared" si="148"/>
        <v>2.2322585041612584</v>
      </c>
      <c r="X254" s="171">
        <f t="shared" si="149"/>
        <v>5.093709884467265</v>
      </c>
      <c r="Y254" s="171">
        <f t="shared" si="150"/>
        <v>-0.07202505776636713</v>
      </c>
      <c r="Z254" s="172">
        <f t="shared" si="151"/>
        <v>4.399434353573756</v>
      </c>
    </row>
    <row r="255" spans="7:26" ht="12.75">
      <c r="G255" s="153">
        <v>65</v>
      </c>
      <c r="H255" s="153">
        <f aca="true" t="shared" si="152" ref="H255:H286">(((G255/100)*Iout)*(Vout_nom^2)*2.5*Rsense*K_1)/(eff*(Vline^2)*K_FQ)*us</f>
        <v>0.2377431059499956</v>
      </c>
      <c r="I255" s="153">
        <f aca="true" t="shared" si="153" ref="I255:I286">(1*10^-9*(5*10^8*SQRT(fsw*kHz)+(1.09655978*10^10)*SQRT(ftyp)*SQRT(H255)))/SQRT(fsw*kHz)</f>
        <v>4.15268397502689</v>
      </c>
      <c r="J255" s="153">
        <f aca="true" t="shared" si="154" ref="J255:J290">(b_1^3/(27*a_1^3))-(d_1^3/27)+SQRT((ftyp)^2*H255^2/(4*a_1^2*c_1^2*(fsw*kHz)^2))+(b_1^3*(ftyp)*H255/(27*a_1^4*c_1*(fsw*kHz))-(d_1^3*(ftyp)*H255/(27*a_1*c_1*(fsw*kHz)))+(b_1*d_1^2*(ftyp)*H255/(9*a_1^2*c_1*(fsw*kHz)))-(b_1^2*d_1*(ftyp)*H255/(9*a_1^3*c_1*(fsw*kHz))))</f>
        <v>2.909969077038525</v>
      </c>
      <c r="K255" s="153">
        <f aca="true" t="shared" si="155" ref="K255:K290">(b_1*d_1^2/(9*a_1))-(b_1^2*d_1/(9*a_1^2))+(ftyp*H255/(2*a_1*c_1*fsw*kHz))</f>
        <v>2.9058847591182593</v>
      </c>
      <c r="L255" s="153">
        <f aca="true" t="shared" si="156" ref="L255:L290">(d_1^2/9)+(b_1^2/(9*a_1^2))-(2*b_1*d_1/(9*a_1))</f>
        <v>0.00045657096939147324</v>
      </c>
      <c r="M255" s="153">
        <f aca="true" t="shared" si="157" ref="M255:M290">((b_1*c_1*fsw*kHz)+(2*a_1*c_1*d_1*fsw*kHz))/(3*a_1*c_1*fsw*kHz)</f>
        <v>0.5213675213675214</v>
      </c>
      <c r="N255" s="153">
        <f t="shared" si="133"/>
        <v>2.3200246583450603</v>
      </c>
      <c r="O255" s="153">
        <f aca="true" t="shared" si="158" ref="O255:O290">(b_2^3/(27*a_2^3))-(d_2^3/27)</f>
        <v>0.07325223505585884</v>
      </c>
      <c r="P255" s="153">
        <f aca="true" t="shared" si="159" ref="P255:P290">(ftyp^2*H255^2/(4*a_2^2*c_2^2*(fsw*kHz)^2))+(b_2^3*ftyp*H255/(27*a_2^4*c_2*(fsw*kHz)))-(d_2^3*ftyp*H255/(27*a_2*c_2*(fsw*kHz)))+(b_2*d_2^2*ftyp*H255/(9*a_2^2*c_2*(fsw*kHz)))-(b_2^2*d_2*ftyp*H255/(9*a_2^3*c_2*(fsw*kHz)))</f>
        <v>2.1516467906844152</v>
      </c>
      <c r="Q255" s="153">
        <f aca="true" t="shared" si="160" ref="Q255:Q290">(b_2*d_2^2/(9*a_2))-(b_2^2*d_2/(9*a_2^2))+(ftyp*H255/(2*a_2*c_2*(fsw*kHz)))</f>
        <v>1.3937032685813968</v>
      </c>
      <c r="R255" s="153">
        <f aca="true" t="shared" si="161" ref="R255:R290">(d_2^2/9)+(b_2^2/(9*a_2^2))-(2*b_2*d_2/(9*a_2))</f>
        <v>0.06779950800763512</v>
      </c>
      <c r="S255" s="153">
        <f aca="true" t="shared" si="162" ref="S255:S290">(b_2*c_2*(fsw*kHz)+2*a_2*c_2*d_2*(fsw*kHz))/(3*a_2*c_2*(fsw*kHz))</f>
        <v>0.7603833865814694</v>
      </c>
      <c r="T255" s="153">
        <f t="shared" si="134"/>
        <v>2.2393066690781716</v>
      </c>
      <c r="U255" s="153">
        <f aca="true" t="shared" si="163" ref="U255:U290">c_3+(SQRT(ftyp)*SQRT(H255)/(SQRT(a_3)*SQRT(b_3)*SQRT(fsw*kHz)))</f>
        <v>1.4491870903799056</v>
      </c>
      <c r="V255" s="153">
        <f aca="true" t="shared" si="164" ref="V255:V290">(a_4*(fsw*kHz)*b_4/ftyp)</f>
        <v>4.43609603795875</v>
      </c>
      <c r="W255" s="153">
        <f aca="true" t="shared" si="165" ref="W255:W286">IF(I255&gt;=0.5,IF(I255&lt;1,I255,IF(N255&gt;=1,IF(N255&lt;2,N255,IF(VCOMP3&gt;=2,IF(T255&lt;4.5,T255,IF(U255&gt;=4.5,IF(U255&lt;4.6,U255,V255))))))))</f>
        <v>2.2393066690781716</v>
      </c>
      <c r="X255" s="169">
        <f aca="true" t="shared" si="166" ref="X255:X290">Pin_max*G255/(Vline*100)</f>
        <v>5.173299101412067</v>
      </c>
      <c r="Y255" s="169">
        <f aca="true" t="shared" si="167" ref="Y255:Y286">-Rsense*X255*1.414</f>
        <v>-0.07315044929396664</v>
      </c>
      <c r="Z255" s="170">
        <f aca="true" t="shared" si="168" ref="Z255:Z290">MIN(6,MAX(0.5,Beta*G*($Y255-Voff_trim)/(MAX(0,MIN(4.5,W255)-Alpha1_A)+MAX(0,MIN(4.5,W255)-Alpha1_B)-Alpha1_C)+Alpha2))</f>
        <v>4.436462190246104</v>
      </c>
    </row>
    <row r="256" spans="7:26" ht="12.75">
      <c r="G256" s="154">
        <v>66</v>
      </c>
      <c r="H256" s="154">
        <f t="shared" si="152"/>
        <v>0.24140069219538018</v>
      </c>
      <c r="I256" s="154">
        <f t="shared" si="153"/>
        <v>4.180674299873294</v>
      </c>
      <c r="J256" s="154">
        <f t="shared" si="154"/>
        <v>2.9547067756382677</v>
      </c>
      <c r="K256" s="154">
        <f t="shared" si="155"/>
        <v>2.950621584831853</v>
      </c>
      <c r="L256" s="154">
        <f t="shared" si="156"/>
        <v>0.00045657096939147324</v>
      </c>
      <c r="M256" s="154">
        <f t="shared" si="157"/>
        <v>0.5213675213675214</v>
      </c>
      <c r="N256" s="154">
        <f aca="true" t="shared" si="169" ref="N256:N290">(J256+K256)^(1/3)+(L256/(J256^(1/3)))+M256</f>
        <v>2.329198370085557</v>
      </c>
      <c r="O256" s="154">
        <f t="shared" si="158"/>
        <v>0.07325223505585884</v>
      </c>
      <c r="P256" s="154">
        <f t="shared" si="159"/>
        <v>2.2175612065713</v>
      </c>
      <c r="Q256" s="154">
        <f t="shared" si="160"/>
        <v>1.4160002168603767</v>
      </c>
      <c r="R256" s="154">
        <f t="shared" si="161"/>
        <v>0.06779950800763512</v>
      </c>
      <c r="S256" s="154">
        <f t="shared" si="162"/>
        <v>0.7603833865814694</v>
      </c>
      <c r="T256" s="154">
        <f aca="true" t="shared" si="170" ref="T256:T290">((O256+SQRT(P256)+Q256)^(1/3))+(R256/((O256+SQRT(P256)+Q256)^(1/3)))+S256</f>
        <v>2.246286179109886</v>
      </c>
      <c r="U256" s="154">
        <f t="shared" si="163"/>
        <v>1.4564606610422977</v>
      </c>
      <c r="V256" s="154">
        <f t="shared" si="164"/>
        <v>4.43609603795875</v>
      </c>
      <c r="W256" s="154">
        <f t="shared" si="165"/>
        <v>2.246286179109886</v>
      </c>
      <c r="X256" s="171">
        <f t="shared" si="166"/>
        <v>5.2528883183568675</v>
      </c>
      <c r="Y256" s="171">
        <f t="shared" si="167"/>
        <v>-0.0742758408215661</v>
      </c>
      <c r="Z256" s="172">
        <f t="shared" si="168"/>
        <v>4.473231842715077</v>
      </c>
    </row>
    <row r="257" spans="7:26" ht="12.75">
      <c r="G257" s="153">
        <v>67</v>
      </c>
      <c r="H257" s="153">
        <f t="shared" si="152"/>
        <v>0.24505827844076472</v>
      </c>
      <c r="I257" s="153">
        <f t="shared" si="153"/>
        <v>4.2084533679254035</v>
      </c>
      <c r="J257" s="153">
        <f t="shared" si="154"/>
        <v>2.9994444742380098</v>
      </c>
      <c r="K257" s="153">
        <f t="shared" si="155"/>
        <v>2.995358410545447</v>
      </c>
      <c r="L257" s="153">
        <f t="shared" si="156"/>
        <v>0.00045657096939147324</v>
      </c>
      <c r="M257" s="153">
        <f t="shared" si="157"/>
        <v>0.5213675213675214</v>
      </c>
      <c r="N257" s="153">
        <f t="shared" si="169"/>
        <v>2.338279896088843</v>
      </c>
      <c r="O257" s="153">
        <f t="shared" si="158"/>
        <v>0.07325223505585884</v>
      </c>
      <c r="P257" s="153">
        <f t="shared" si="159"/>
        <v>2.284469930263295</v>
      </c>
      <c r="Q257" s="153">
        <f t="shared" si="160"/>
        <v>1.4382971651393561</v>
      </c>
      <c r="R257" s="153">
        <f t="shared" si="161"/>
        <v>0.06779950800763512</v>
      </c>
      <c r="S257" s="153">
        <f t="shared" si="162"/>
        <v>0.7603833865814694</v>
      </c>
      <c r="T257" s="153">
        <f t="shared" si="170"/>
        <v>2.2531986920286955</v>
      </c>
      <c r="U257" s="153">
        <f t="shared" si="163"/>
        <v>1.463679334477536</v>
      </c>
      <c r="V257" s="153">
        <f t="shared" si="164"/>
        <v>4.43609603795875</v>
      </c>
      <c r="W257" s="153">
        <f t="shared" si="165"/>
        <v>2.2531986920286955</v>
      </c>
      <c r="X257" s="169">
        <f t="shared" si="166"/>
        <v>5.332477535301669</v>
      </c>
      <c r="Y257" s="169">
        <f t="shared" si="167"/>
        <v>-0.0754012323491656</v>
      </c>
      <c r="Z257" s="170">
        <f t="shared" si="168"/>
        <v>4.5097498257331585</v>
      </c>
    </row>
    <row r="258" spans="7:26" ht="12.75">
      <c r="G258" s="154">
        <v>68</v>
      </c>
      <c r="H258" s="154">
        <f t="shared" si="152"/>
        <v>0.24871586468614926</v>
      </c>
      <c r="I258" s="154">
        <f t="shared" si="153"/>
        <v>4.236025891560011</v>
      </c>
      <c r="J258" s="154">
        <f t="shared" si="154"/>
        <v>3.0441821728377527</v>
      </c>
      <c r="K258" s="154">
        <f t="shared" si="155"/>
        <v>3.04009523625904</v>
      </c>
      <c r="L258" s="154">
        <f t="shared" si="156"/>
        <v>0.00045657096939147324</v>
      </c>
      <c r="M258" s="154">
        <f t="shared" si="157"/>
        <v>0.5213675213675214</v>
      </c>
      <c r="N258" s="154">
        <f t="shared" si="169"/>
        <v>2.3472715180126777</v>
      </c>
      <c r="O258" s="154">
        <f t="shared" si="158"/>
        <v>0.07325223505585884</v>
      </c>
      <c r="P258" s="154">
        <f t="shared" si="159"/>
        <v>2.352372961760401</v>
      </c>
      <c r="Q258" s="154">
        <f t="shared" si="160"/>
        <v>1.4605941134183356</v>
      </c>
      <c r="R258" s="154">
        <f t="shared" si="161"/>
        <v>0.06779950800763512</v>
      </c>
      <c r="S258" s="154">
        <f t="shared" si="162"/>
        <v>0.7603833865814694</v>
      </c>
      <c r="T258" s="154">
        <f t="shared" si="170"/>
        <v>2.260045802291196</v>
      </c>
      <c r="U258" s="154">
        <f t="shared" si="163"/>
        <v>1.4708443352446698</v>
      </c>
      <c r="V258" s="154">
        <f t="shared" si="164"/>
        <v>4.43609603795875</v>
      </c>
      <c r="W258" s="154">
        <f t="shared" si="165"/>
        <v>2.260045802291196</v>
      </c>
      <c r="X258" s="171">
        <f t="shared" si="166"/>
        <v>5.41206675224647</v>
      </c>
      <c r="Y258" s="171">
        <f t="shared" si="167"/>
        <v>-0.07652662387676508</v>
      </c>
      <c r="Z258" s="172">
        <f t="shared" si="168"/>
        <v>4.546022379218981</v>
      </c>
    </row>
    <row r="259" spans="7:26" ht="12.75">
      <c r="G259" s="153">
        <v>69</v>
      </c>
      <c r="H259" s="153">
        <f t="shared" si="152"/>
        <v>0.2523734509315338</v>
      </c>
      <c r="I259" s="153">
        <f t="shared" si="153"/>
        <v>4.263396410522852</v>
      </c>
      <c r="J259" s="153">
        <f t="shared" si="154"/>
        <v>3.0889198714374944</v>
      </c>
      <c r="K259" s="153">
        <f t="shared" si="155"/>
        <v>3.0848320619726333</v>
      </c>
      <c r="L259" s="153">
        <f t="shared" si="156"/>
        <v>0.00045657096939147324</v>
      </c>
      <c r="M259" s="153">
        <f t="shared" si="157"/>
        <v>0.5213675213675214</v>
      </c>
      <c r="N259" s="153">
        <f t="shared" si="169"/>
        <v>2.3561754284773357</v>
      </c>
      <c r="O259" s="153">
        <f t="shared" si="158"/>
        <v>0.07325223505585884</v>
      </c>
      <c r="P259" s="153">
        <f t="shared" si="159"/>
        <v>2.4212703010626173</v>
      </c>
      <c r="Q259" s="153">
        <f t="shared" si="160"/>
        <v>1.482891061697315</v>
      </c>
      <c r="R259" s="153">
        <f t="shared" si="161"/>
        <v>0.06779950800763512</v>
      </c>
      <c r="S259" s="153">
        <f t="shared" si="162"/>
        <v>0.7603833865814694</v>
      </c>
      <c r="T259" s="153">
        <f t="shared" si="170"/>
        <v>2.2668290443222534</v>
      </c>
      <c r="U259" s="153">
        <f t="shared" si="163"/>
        <v>1.4779568430428118</v>
      </c>
      <c r="V259" s="153">
        <f t="shared" si="164"/>
        <v>4.43609603795875</v>
      </c>
      <c r="W259" s="153">
        <f t="shared" si="165"/>
        <v>2.2668290443222534</v>
      </c>
      <c r="X259" s="169">
        <f t="shared" si="166"/>
        <v>5.491655969191271</v>
      </c>
      <c r="Y259" s="169">
        <f t="shared" si="167"/>
        <v>-0.07765201540436457</v>
      </c>
      <c r="Z259" s="170">
        <f t="shared" si="168"/>
        <v>4.582055484240252</v>
      </c>
    </row>
    <row r="260" spans="7:26" ht="12.75">
      <c r="G260" s="154">
        <v>70</v>
      </c>
      <c r="H260" s="154">
        <f t="shared" si="152"/>
        <v>0.2560310371769184</v>
      </c>
      <c r="I260" s="154">
        <f t="shared" si="153"/>
        <v>4.290569300654692</v>
      </c>
      <c r="J260" s="154">
        <f t="shared" si="154"/>
        <v>3.1336575700372378</v>
      </c>
      <c r="K260" s="154">
        <f t="shared" si="155"/>
        <v>3.129568887686227</v>
      </c>
      <c r="L260" s="154">
        <f t="shared" si="156"/>
        <v>0.00045657096939147324</v>
      </c>
      <c r="M260" s="154">
        <f t="shared" si="157"/>
        <v>0.5213675213675214</v>
      </c>
      <c r="N260" s="154">
        <f t="shared" si="169"/>
        <v>2.36499373577433</v>
      </c>
      <c r="O260" s="154">
        <f t="shared" si="158"/>
        <v>0.07325223505585884</v>
      </c>
      <c r="P260" s="154">
        <f t="shared" si="159"/>
        <v>2.491161948169946</v>
      </c>
      <c r="Q260" s="154">
        <f t="shared" si="160"/>
        <v>1.5051880099762946</v>
      </c>
      <c r="R260" s="154">
        <f t="shared" si="161"/>
        <v>0.06779950800763512</v>
      </c>
      <c r="S260" s="154">
        <f t="shared" si="162"/>
        <v>0.7603833865814694</v>
      </c>
      <c r="T260" s="154">
        <f t="shared" si="170"/>
        <v>2.2735498955849534</v>
      </c>
      <c r="U260" s="154">
        <f t="shared" si="163"/>
        <v>1.4850179949787015</v>
      </c>
      <c r="V260" s="154">
        <f t="shared" si="164"/>
        <v>4.43609603795875</v>
      </c>
      <c r="W260" s="154">
        <f t="shared" si="165"/>
        <v>2.2735498955849534</v>
      </c>
      <c r="X260" s="171">
        <f t="shared" si="166"/>
        <v>5.571245186136071</v>
      </c>
      <c r="Y260" s="171">
        <f t="shared" si="167"/>
        <v>-0.07877740693196404</v>
      </c>
      <c r="Z260" s="172">
        <f t="shared" si="168"/>
        <v>4.617854877825328</v>
      </c>
    </row>
    <row r="261" spans="7:26" ht="12.75">
      <c r="G261" s="153">
        <v>71</v>
      </c>
      <c r="H261" s="153">
        <f t="shared" si="152"/>
        <v>0.2596886234223029</v>
      </c>
      <c r="I261" s="153">
        <f t="shared" si="153"/>
        <v>4.317548782058366</v>
      </c>
      <c r="J261" s="153">
        <f t="shared" si="154"/>
        <v>3.17839526863698</v>
      </c>
      <c r="K261" s="153">
        <f t="shared" si="155"/>
        <v>3.1743057133998214</v>
      </c>
      <c r="L261" s="153">
        <f t="shared" si="156"/>
        <v>0.00045657096939147324</v>
      </c>
      <c r="M261" s="153">
        <f t="shared" si="157"/>
        <v>0.5213675213675214</v>
      </c>
      <c r="N261" s="153">
        <f t="shared" si="169"/>
        <v>2.373728468262698</v>
      </c>
      <c r="O261" s="153">
        <f t="shared" si="158"/>
        <v>0.07325223505585884</v>
      </c>
      <c r="P261" s="153">
        <f t="shared" si="159"/>
        <v>2.562047903082385</v>
      </c>
      <c r="Q261" s="153">
        <f t="shared" si="160"/>
        <v>1.5274849582552745</v>
      </c>
      <c r="R261" s="153">
        <f t="shared" si="161"/>
        <v>0.06779950800763512</v>
      </c>
      <c r="S261" s="153">
        <f t="shared" si="162"/>
        <v>0.7603833865814694</v>
      </c>
      <c r="T261" s="153">
        <f t="shared" si="170"/>
        <v>2.280209779453245</v>
      </c>
      <c r="U261" s="153">
        <f t="shared" si="163"/>
        <v>1.492028887688992</v>
      </c>
      <c r="V261" s="153">
        <f t="shared" si="164"/>
        <v>4.43609603795875</v>
      </c>
      <c r="W261" s="153">
        <f t="shared" si="165"/>
        <v>2.280209779453245</v>
      </c>
      <c r="X261" s="169">
        <f t="shared" si="166"/>
        <v>5.650834403080873</v>
      </c>
      <c r="Y261" s="169">
        <f t="shared" si="167"/>
        <v>-0.07990279845956354</v>
      </c>
      <c r="Z261" s="170">
        <f t="shared" si="168"/>
        <v>4.653426066706223</v>
      </c>
    </row>
    <row r="262" spans="7:26" ht="12.75">
      <c r="G262" s="154">
        <v>72</v>
      </c>
      <c r="H262" s="154">
        <f t="shared" si="152"/>
        <v>0.2633462096676874</v>
      </c>
      <c r="I262" s="154">
        <f t="shared" si="153"/>
        <v>4.344338926749932</v>
      </c>
      <c r="J262" s="154">
        <f t="shared" si="154"/>
        <v>3.2231329672367215</v>
      </c>
      <c r="K262" s="154">
        <f t="shared" si="155"/>
        <v>3.219042539113414</v>
      </c>
      <c r="L262" s="154">
        <f t="shared" si="156"/>
        <v>0.00045657096939147324</v>
      </c>
      <c r="M262" s="154">
        <f t="shared" si="157"/>
        <v>0.5213675213675214</v>
      </c>
      <c r="N262" s="154">
        <f t="shared" si="169"/>
        <v>2.382381578477675</v>
      </c>
      <c r="O262" s="154">
        <f t="shared" si="158"/>
        <v>0.07325223505585884</v>
      </c>
      <c r="P262" s="154">
        <f t="shared" si="159"/>
        <v>2.6339281657999334</v>
      </c>
      <c r="Q262" s="154">
        <f t="shared" si="160"/>
        <v>1.5497819065342535</v>
      </c>
      <c r="R262" s="154">
        <f t="shared" si="161"/>
        <v>0.06779950800763512</v>
      </c>
      <c r="S262" s="154">
        <f t="shared" si="162"/>
        <v>0.7603833865814694</v>
      </c>
      <c r="T262" s="154">
        <f t="shared" si="170"/>
        <v>2.2868100679024868</v>
      </c>
      <c r="U262" s="154">
        <f t="shared" si="163"/>
        <v>1.4989905793284823</v>
      </c>
      <c r="V262" s="154">
        <f t="shared" si="164"/>
        <v>4.43609603795875</v>
      </c>
      <c r="W262" s="154">
        <f t="shared" si="165"/>
        <v>2.2868100679024868</v>
      </c>
      <c r="X262" s="171">
        <f t="shared" si="166"/>
        <v>5.730423620025674</v>
      </c>
      <c r="Y262" s="171">
        <f t="shared" si="167"/>
        <v>-0.08102818998716303</v>
      </c>
      <c r="Z262" s="172">
        <f t="shared" si="168"/>
        <v>4.688774340085284</v>
      </c>
    </row>
    <row r="263" spans="7:26" ht="12.75">
      <c r="G263" s="153">
        <v>73</v>
      </c>
      <c r="H263" s="153">
        <f t="shared" si="152"/>
        <v>0.267003795913072</v>
      </c>
      <c r="I263" s="153">
        <f t="shared" si="153"/>
        <v>4.370943665833221</v>
      </c>
      <c r="J263" s="153">
        <f t="shared" si="154"/>
        <v>3.267870665836465</v>
      </c>
      <c r="K263" s="153">
        <f t="shared" si="155"/>
        <v>3.2637793648270077</v>
      </c>
      <c r="L263" s="153">
        <f t="shared" si="156"/>
        <v>0.00045657096939147324</v>
      </c>
      <c r="M263" s="153">
        <f t="shared" si="157"/>
        <v>0.5213675213675214</v>
      </c>
      <c r="N263" s="153">
        <f t="shared" si="169"/>
        <v>2.3909549469742855</v>
      </c>
      <c r="O263" s="153">
        <f t="shared" si="158"/>
        <v>0.07325223505585884</v>
      </c>
      <c r="P263" s="153">
        <f t="shared" si="159"/>
        <v>2.7068027363225955</v>
      </c>
      <c r="Q263" s="153">
        <f t="shared" si="160"/>
        <v>1.5720788548132334</v>
      </c>
      <c r="R263" s="153">
        <f t="shared" si="161"/>
        <v>0.06779950800763512</v>
      </c>
      <c r="S263" s="153">
        <f t="shared" si="162"/>
        <v>0.7603833865814694</v>
      </c>
      <c r="T263" s="153">
        <f t="shared" si="170"/>
        <v>2.293352084031734</v>
      </c>
      <c r="U263" s="153">
        <f t="shared" si="163"/>
        <v>1.5059040914344939</v>
      </c>
      <c r="V263" s="153">
        <f t="shared" si="164"/>
        <v>4.43609603795875</v>
      </c>
      <c r="W263" s="153">
        <f t="shared" si="165"/>
        <v>2.293352084031734</v>
      </c>
      <c r="X263" s="169">
        <f t="shared" si="166"/>
        <v>5.810012836970475</v>
      </c>
      <c r="Y263" s="169">
        <f t="shared" si="167"/>
        <v>-0.08215358151476251</v>
      </c>
      <c r="Z263" s="170">
        <f t="shared" si="168"/>
        <v>4.723904781508635</v>
      </c>
    </row>
    <row r="264" spans="7:26" ht="12.75">
      <c r="G264" s="154">
        <v>74</v>
      </c>
      <c r="H264" s="154">
        <f t="shared" si="152"/>
        <v>0.2706613821584565</v>
      </c>
      <c r="I264" s="154">
        <f t="shared" si="153"/>
        <v>4.39736679623356</v>
      </c>
      <c r="J264" s="154">
        <f t="shared" si="154"/>
        <v>3.312608364436206</v>
      </c>
      <c r="K264" s="154">
        <f t="shared" si="155"/>
        <v>3.3085161905406</v>
      </c>
      <c r="L264" s="154">
        <f t="shared" si="156"/>
        <v>0.00045657096939147324</v>
      </c>
      <c r="M264" s="154">
        <f t="shared" si="157"/>
        <v>0.5213675213675214</v>
      </c>
      <c r="N264" s="154">
        <f t="shared" si="169"/>
        <v>2.399450385926327</v>
      </c>
      <c r="O264" s="154">
        <f t="shared" si="158"/>
        <v>0.07325223505585884</v>
      </c>
      <c r="P264" s="154">
        <f t="shared" si="159"/>
        <v>2.7806716146503656</v>
      </c>
      <c r="Q264" s="154">
        <f t="shared" si="160"/>
        <v>1.5943758030922124</v>
      </c>
      <c r="R264" s="154">
        <f t="shared" si="161"/>
        <v>0.06779950800763512</v>
      </c>
      <c r="S264" s="154">
        <f t="shared" si="162"/>
        <v>0.7603833865814694</v>
      </c>
      <c r="T264" s="154">
        <f t="shared" si="170"/>
        <v>2.299837104430384</v>
      </c>
      <c r="U264" s="154">
        <f t="shared" si="163"/>
        <v>1.5127704106767004</v>
      </c>
      <c r="V264" s="154">
        <f t="shared" si="164"/>
        <v>4.43609603795875</v>
      </c>
      <c r="W264" s="154">
        <f t="shared" si="165"/>
        <v>2.299837104430384</v>
      </c>
      <c r="X264" s="171">
        <f t="shared" si="166"/>
        <v>5.889602053915276</v>
      </c>
      <c r="Y264" s="171">
        <f t="shared" si="167"/>
        <v>-0.083278973042362</v>
      </c>
      <c r="Z264" s="172">
        <f t="shared" si="168"/>
        <v>4.758822279921296</v>
      </c>
    </row>
    <row r="265" spans="7:26" ht="12.75">
      <c r="G265" s="153">
        <v>75</v>
      </c>
      <c r="H265" s="153">
        <f t="shared" si="152"/>
        <v>0.27431896840384107</v>
      </c>
      <c r="I265" s="153">
        <f t="shared" si="153"/>
        <v>4.423611987023355</v>
      </c>
      <c r="J265" s="153">
        <f t="shared" si="154"/>
        <v>3.3573460630359495</v>
      </c>
      <c r="K265" s="153">
        <f t="shared" si="155"/>
        <v>3.353253016254195</v>
      </c>
      <c r="L265" s="153">
        <f t="shared" si="156"/>
        <v>0.00045657096939147324</v>
      </c>
      <c r="M265" s="153">
        <f t="shared" si="157"/>
        <v>0.5213675213675214</v>
      </c>
      <c r="N265" s="153">
        <f t="shared" si="169"/>
        <v>2.4078696424994193</v>
      </c>
      <c r="O265" s="153">
        <f t="shared" si="158"/>
        <v>0.07325223505585884</v>
      </c>
      <c r="P265" s="153">
        <f t="shared" si="159"/>
        <v>2.8555348007832504</v>
      </c>
      <c r="Q265" s="153">
        <f t="shared" si="160"/>
        <v>1.6166727513711925</v>
      </c>
      <c r="R265" s="153">
        <f t="shared" si="161"/>
        <v>0.06779950800763512</v>
      </c>
      <c r="S265" s="153">
        <f t="shared" si="162"/>
        <v>0.7603833865814694</v>
      </c>
      <c r="T265" s="153">
        <f t="shared" si="170"/>
        <v>2.3062663614007057</v>
      </c>
      <c r="U265" s="153">
        <f t="shared" si="163"/>
        <v>1.5195904905008926</v>
      </c>
      <c r="V265" s="153">
        <f t="shared" si="164"/>
        <v>4.43609603795875</v>
      </c>
      <c r="W265" s="153">
        <f t="shared" si="165"/>
        <v>2.3062663614007057</v>
      </c>
      <c r="X265" s="169">
        <f t="shared" si="166"/>
        <v>5.969191270860077</v>
      </c>
      <c r="Y265" s="169">
        <f t="shared" si="167"/>
        <v>-0.08440436456996148</v>
      </c>
      <c r="Z265" s="170">
        <f t="shared" si="168"/>
        <v>4.793531539971527</v>
      </c>
    </row>
    <row r="266" spans="7:26" ht="12.75">
      <c r="G266" s="154">
        <v>76</v>
      </c>
      <c r="H266" s="154">
        <f t="shared" si="152"/>
        <v>0.27797655464922566</v>
      </c>
      <c r="I266" s="154">
        <f t="shared" si="153"/>
        <v>4.449682785369336</v>
      </c>
      <c r="J266" s="154">
        <f t="shared" si="154"/>
        <v>3.402083761635692</v>
      </c>
      <c r="K266" s="154">
        <f t="shared" si="155"/>
        <v>3.397989841967789</v>
      </c>
      <c r="L266" s="154">
        <f t="shared" si="156"/>
        <v>0.00045657096939147324</v>
      </c>
      <c r="M266" s="154">
        <f t="shared" si="157"/>
        <v>0.5213675213675214</v>
      </c>
      <c r="N266" s="154">
        <f t="shared" si="169"/>
        <v>2.4162144020150835</v>
      </c>
      <c r="O266" s="154">
        <f t="shared" si="158"/>
        <v>0.07325223505585884</v>
      </c>
      <c r="P266" s="154">
        <f t="shared" si="159"/>
        <v>2.931392294721244</v>
      </c>
      <c r="Q266" s="154">
        <f t="shared" si="160"/>
        <v>1.6389696996501721</v>
      </c>
      <c r="R266" s="154">
        <f t="shared" si="161"/>
        <v>0.06779950800763512</v>
      </c>
      <c r="S266" s="154">
        <f t="shared" si="162"/>
        <v>0.7603833865814694</v>
      </c>
      <c r="T266" s="154">
        <f t="shared" si="170"/>
        <v>2.3126410450467767</v>
      </c>
      <c r="U266" s="154">
        <f t="shared" si="163"/>
        <v>1.5263652526744311</v>
      </c>
      <c r="V266" s="154">
        <f t="shared" si="164"/>
        <v>4.43609603795875</v>
      </c>
      <c r="W266" s="154">
        <f t="shared" si="165"/>
        <v>2.3126410450467767</v>
      </c>
      <c r="X266" s="171">
        <f t="shared" si="166"/>
        <v>6.048780487804878</v>
      </c>
      <c r="Y266" s="171">
        <f t="shared" si="167"/>
        <v>-0.08552975609756097</v>
      </c>
      <c r="Z266" s="172">
        <f t="shared" si="168"/>
        <v>4.828037091625588</v>
      </c>
    </row>
    <row r="267" spans="7:26" ht="12.75">
      <c r="G267" s="153">
        <v>77</v>
      </c>
      <c r="H267" s="153">
        <f t="shared" si="152"/>
        <v>0.2816341408946102</v>
      </c>
      <c r="I267" s="153">
        <f t="shared" si="153"/>
        <v>4.475582622128784</v>
      </c>
      <c r="J267" s="153">
        <f t="shared" si="154"/>
        <v>3.446821460235434</v>
      </c>
      <c r="K267" s="153">
        <f t="shared" si="155"/>
        <v>3.442726667681382</v>
      </c>
      <c r="L267" s="153">
        <f t="shared" si="156"/>
        <v>0.00045657096939147324</v>
      </c>
      <c r="M267" s="153">
        <f t="shared" si="157"/>
        <v>0.5213675213675214</v>
      </c>
      <c r="N267" s="153">
        <f t="shared" si="169"/>
        <v>2.4244862909213922</v>
      </c>
      <c r="O267" s="153">
        <f t="shared" si="158"/>
        <v>0.07325223505585884</v>
      </c>
      <c r="P267" s="153">
        <f t="shared" si="159"/>
        <v>3.0082440964643493</v>
      </c>
      <c r="Q267" s="153">
        <f t="shared" si="160"/>
        <v>1.6612666479291516</v>
      </c>
      <c r="R267" s="153">
        <f t="shared" si="161"/>
        <v>0.06779950800763512</v>
      </c>
      <c r="S267" s="153">
        <f t="shared" si="162"/>
        <v>0.7603833865814694</v>
      </c>
      <c r="T267" s="153">
        <f t="shared" si="170"/>
        <v>2.318962305239466</v>
      </c>
      <c r="U267" s="153">
        <f t="shared" si="163"/>
        <v>1.5330955887404838</v>
      </c>
      <c r="V267" s="153">
        <f t="shared" si="164"/>
        <v>4.43609603795875</v>
      </c>
      <c r="W267" s="153">
        <f t="shared" si="165"/>
        <v>2.318962305239466</v>
      </c>
      <c r="X267" s="169">
        <f t="shared" si="166"/>
        <v>6.128369704749679</v>
      </c>
      <c r="Y267" s="169">
        <f t="shared" si="167"/>
        <v>-0.08665514762516047</v>
      </c>
      <c r="Z267" s="170">
        <f t="shared" si="168"/>
        <v>4.862343299148253</v>
      </c>
    </row>
    <row r="268" spans="7:26" ht="12.75">
      <c r="G268" s="154">
        <v>78</v>
      </c>
      <c r="H268" s="154">
        <f t="shared" si="152"/>
        <v>0.2852917271399948</v>
      </c>
      <c r="I268" s="154">
        <f t="shared" si="153"/>
        <v>4.50131481711973</v>
      </c>
      <c r="J268" s="154">
        <f t="shared" si="154"/>
        <v>3.4915591588351775</v>
      </c>
      <c r="K268" s="154">
        <f t="shared" si="155"/>
        <v>3.4874634933949764</v>
      </c>
      <c r="L268" s="154">
        <f t="shared" si="156"/>
        <v>0.00045657096939147324</v>
      </c>
      <c r="M268" s="154">
        <f t="shared" si="157"/>
        <v>0.5213675213675214</v>
      </c>
      <c r="N268" s="154">
        <f t="shared" si="169"/>
        <v>2.4326868795843497</v>
      </c>
      <c r="O268" s="154">
        <f t="shared" si="158"/>
        <v>0.07325223505585884</v>
      </c>
      <c r="P268" s="154">
        <f t="shared" si="159"/>
        <v>3.0860902060125657</v>
      </c>
      <c r="Q268" s="154">
        <f t="shared" si="160"/>
        <v>1.6835635962081312</v>
      </c>
      <c r="R268" s="154">
        <f t="shared" si="161"/>
        <v>0.06779950800763512</v>
      </c>
      <c r="S268" s="154">
        <f t="shared" si="162"/>
        <v>0.7603833865814694</v>
      </c>
      <c r="T268" s="154">
        <f t="shared" si="170"/>
        <v>2.325231253466288</v>
      </c>
      <c r="U268" s="154">
        <f t="shared" si="163"/>
        <v>1.5397823613875383</v>
      </c>
      <c r="V268" s="154">
        <f t="shared" si="164"/>
        <v>4.43609603795875</v>
      </c>
      <c r="W268" s="154">
        <f t="shared" si="165"/>
        <v>2.325231253466288</v>
      </c>
      <c r="X268" s="171">
        <f t="shared" si="166"/>
        <v>6.20795892169448</v>
      </c>
      <c r="Y268" s="171">
        <f t="shared" si="167"/>
        <v>-0.08778053915275995</v>
      </c>
      <c r="Z268" s="172">
        <f t="shared" si="168"/>
        <v>4.896454369499297</v>
      </c>
    </row>
    <row r="269" spans="7:26" ht="12.75">
      <c r="G269" s="153">
        <v>79</v>
      </c>
      <c r="H269" s="153">
        <f t="shared" si="152"/>
        <v>0.28894931338537927</v>
      </c>
      <c r="I269" s="153">
        <f t="shared" si="153"/>
        <v>4.526882584088019</v>
      </c>
      <c r="J269" s="153">
        <f t="shared" si="154"/>
        <v>3.536296857434919</v>
      </c>
      <c r="K269" s="153">
        <f t="shared" si="155"/>
        <v>3.532200319108569</v>
      </c>
      <c r="L269" s="153">
        <f t="shared" si="156"/>
        <v>0.00045657096939147324</v>
      </c>
      <c r="M269" s="153">
        <f t="shared" si="157"/>
        <v>0.5213675213675214</v>
      </c>
      <c r="N269" s="153">
        <f t="shared" si="169"/>
        <v>2.4408176849129712</v>
      </c>
      <c r="O269" s="153">
        <f t="shared" si="158"/>
        <v>0.07325223505585884</v>
      </c>
      <c r="P269" s="153">
        <f t="shared" si="159"/>
        <v>3.1649306233658914</v>
      </c>
      <c r="Q269" s="153">
        <f t="shared" si="160"/>
        <v>1.7058605444871104</v>
      </c>
      <c r="R269" s="153">
        <f t="shared" si="161"/>
        <v>0.06779950800763512</v>
      </c>
      <c r="S269" s="153">
        <f t="shared" si="162"/>
        <v>0.7603833865814694</v>
      </c>
      <c r="T269" s="153">
        <f t="shared" si="170"/>
        <v>2.3314489645742236</v>
      </c>
      <c r="U269" s="153">
        <f t="shared" si="163"/>
        <v>1.5464264057401471</v>
      </c>
      <c r="V269" s="153">
        <f t="shared" si="164"/>
        <v>4.43609603795875</v>
      </c>
      <c r="W269" s="153">
        <f t="shared" si="165"/>
        <v>2.3314489645742236</v>
      </c>
      <c r="X269" s="169">
        <f t="shared" si="166"/>
        <v>6.2875481386392815</v>
      </c>
      <c r="Y269" s="169">
        <f t="shared" si="167"/>
        <v>-0.08890593068035944</v>
      </c>
      <c r="Z269" s="170">
        <f t="shared" si="168"/>
        <v>4.930374360191555</v>
      </c>
    </row>
    <row r="270" spans="7:26" ht="12.75">
      <c r="G270" s="154">
        <v>80</v>
      </c>
      <c r="H270" s="154">
        <f t="shared" si="152"/>
        <v>0.2926068996307639</v>
      </c>
      <c r="I270" s="154">
        <f t="shared" si="153"/>
        <v>4.552289035392333</v>
      </c>
      <c r="J270" s="154">
        <f t="shared" si="154"/>
        <v>3.5810345560346626</v>
      </c>
      <c r="K270" s="154">
        <f t="shared" si="155"/>
        <v>3.576937144822164</v>
      </c>
      <c r="L270" s="154">
        <f t="shared" si="156"/>
        <v>0.00045657096939147324</v>
      </c>
      <c r="M270" s="154">
        <f t="shared" si="157"/>
        <v>0.5213675213675214</v>
      </c>
      <c r="N270" s="154">
        <f t="shared" si="169"/>
        <v>2.4488801728299534</v>
      </c>
      <c r="O270" s="154">
        <f t="shared" si="158"/>
        <v>0.07325223505585884</v>
      </c>
      <c r="P270" s="154">
        <f t="shared" si="159"/>
        <v>3.24476534852433</v>
      </c>
      <c r="Q270" s="154">
        <f t="shared" si="160"/>
        <v>1.7281574927660908</v>
      </c>
      <c r="R270" s="154">
        <f t="shared" si="161"/>
        <v>0.06779950800763512</v>
      </c>
      <c r="S270" s="154">
        <f t="shared" si="162"/>
        <v>0.7603833865814694</v>
      </c>
      <c r="T270" s="154">
        <f t="shared" si="170"/>
        <v>2.337616478412946</v>
      </c>
      <c r="U270" s="154">
        <f t="shared" si="163"/>
        <v>1.5530285305763758</v>
      </c>
      <c r="V270" s="154">
        <f t="shared" si="164"/>
        <v>4.43609603795875</v>
      </c>
      <c r="W270" s="154">
        <f t="shared" si="165"/>
        <v>2.337616478412946</v>
      </c>
      <c r="X270" s="171">
        <f t="shared" si="166"/>
        <v>6.367137355584082</v>
      </c>
      <c r="Y270" s="171">
        <f t="shared" si="167"/>
        <v>-0.09003132220795891</v>
      </c>
      <c r="Z270" s="172">
        <f t="shared" si="168"/>
        <v>4.964107186652005</v>
      </c>
    </row>
    <row r="271" spans="7:26" ht="12.75">
      <c r="G271" s="153">
        <v>81</v>
      </c>
      <c r="H271" s="153">
        <f t="shared" si="152"/>
        <v>0.2962644858761484</v>
      </c>
      <c r="I271" s="153">
        <f t="shared" si="153"/>
        <v>4.577537186426437</v>
      </c>
      <c r="J271" s="153">
        <f t="shared" si="154"/>
        <v>3.6257722546344042</v>
      </c>
      <c r="K271" s="153">
        <f t="shared" si="155"/>
        <v>3.6216739705357566</v>
      </c>
      <c r="L271" s="153">
        <f t="shared" si="156"/>
        <v>0.00045657096939147324</v>
      </c>
      <c r="M271" s="153">
        <f t="shared" si="157"/>
        <v>0.5213675213675214</v>
      </c>
      <c r="N271" s="153">
        <f t="shared" si="169"/>
        <v>2.4568757605988067</v>
      </c>
      <c r="O271" s="153">
        <f t="shared" si="158"/>
        <v>0.07325223505585884</v>
      </c>
      <c r="P271" s="153">
        <f t="shared" si="159"/>
        <v>3.325594381487878</v>
      </c>
      <c r="Q271" s="153">
        <f t="shared" si="160"/>
        <v>1.7504544410450698</v>
      </c>
      <c r="R271" s="153">
        <f t="shared" si="161"/>
        <v>0.06779950800763512</v>
      </c>
      <c r="S271" s="153">
        <f t="shared" si="162"/>
        <v>0.7603833865814694</v>
      </c>
      <c r="T271" s="153">
        <f t="shared" si="170"/>
        <v>2.343734801385277</v>
      </c>
      <c r="U271" s="153">
        <f t="shared" si="163"/>
        <v>1.5595895194769713</v>
      </c>
      <c r="V271" s="153">
        <f t="shared" si="164"/>
        <v>4.43609603795875</v>
      </c>
      <c r="W271" s="153">
        <f t="shared" si="165"/>
        <v>2.343734801385277</v>
      </c>
      <c r="X271" s="169">
        <f t="shared" si="166"/>
        <v>6.446726572528883</v>
      </c>
      <c r="Y271" s="169">
        <f t="shared" si="167"/>
        <v>-0.09115671373555839</v>
      </c>
      <c r="Z271" s="170">
        <f t="shared" si="168"/>
        <v>4.997656629123679</v>
      </c>
    </row>
    <row r="272" spans="7:26" ht="12.75">
      <c r="G272" s="154">
        <v>82</v>
      </c>
      <c r="H272" s="154">
        <f t="shared" si="152"/>
        <v>0.29992207212153293</v>
      </c>
      <c r="I272" s="154">
        <f t="shared" si="153"/>
        <v>4.602629959796513</v>
      </c>
      <c r="J272" s="154">
        <f t="shared" si="154"/>
        <v>3.6705099532341467</v>
      </c>
      <c r="K272" s="154">
        <f t="shared" si="155"/>
        <v>3.66641079624935</v>
      </c>
      <c r="L272" s="154">
        <f t="shared" si="156"/>
        <v>0.00045657096939147324</v>
      </c>
      <c r="M272" s="154">
        <f t="shared" si="157"/>
        <v>0.5213675213675214</v>
      </c>
      <c r="N272" s="154">
        <f t="shared" si="169"/>
        <v>2.464805819017474</v>
      </c>
      <c r="O272" s="154">
        <f t="shared" si="158"/>
        <v>0.07325223505585884</v>
      </c>
      <c r="P272" s="154">
        <f t="shared" si="159"/>
        <v>3.407417722256538</v>
      </c>
      <c r="Q272" s="154">
        <f t="shared" si="160"/>
        <v>1.7727513893240492</v>
      </c>
      <c r="R272" s="154">
        <f t="shared" si="161"/>
        <v>0.06779950800763512</v>
      </c>
      <c r="S272" s="154">
        <f t="shared" si="162"/>
        <v>0.7603833865814694</v>
      </c>
      <c r="T272" s="154">
        <f t="shared" si="170"/>
        <v>2.349804907911174</v>
      </c>
      <c r="U272" s="154">
        <f t="shared" si="163"/>
        <v>1.5661101319108814</v>
      </c>
      <c r="V272" s="154">
        <f t="shared" si="164"/>
        <v>4.43609603795875</v>
      </c>
      <c r="W272" s="154">
        <f t="shared" si="165"/>
        <v>2.349804907911174</v>
      </c>
      <c r="X272" s="171">
        <f t="shared" si="166"/>
        <v>6.526315789473685</v>
      </c>
      <c r="Y272" s="171">
        <f t="shared" si="167"/>
        <v>-0.09228210526315792</v>
      </c>
      <c r="Z272" s="172">
        <f t="shared" si="168"/>
        <v>5.031026339142755</v>
      </c>
    </row>
    <row r="273" spans="7:26" ht="12.75">
      <c r="G273" s="153">
        <v>83</v>
      </c>
      <c r="H273" s="153">
        <f t="shared" si="152"/>
        <v>0.30357965836691736</v>
      </c>
      <c r="I273" s="153">
        <f t="shared" si="153"/>
        <v>4.6275701892698855</v>
      </c>
      <c r="J273" s="153">
        <f t="shared" si="154"/>
        <v>3.7152476518338875</v>
      </c>
      <c r="K273" s="153">
        <f t="shared" si="155"/>
        <v>3.711147621962942</v>
      </c>
      <c r="L273" s="153">
        <f t="shared" si="156"/>
        <v>0.00045657096939147324</v>
      </c>
      <c r="M273" s="153">
        <f t="shared" si="157"/>
        <v>0.5213675213675214</v>
      </c>
      <c r="N273" s="153">
        <f t="shared" si="169"/>
        <v>2.4726716744876063</v>
      </c>
      <c r="O273" s="153">
        <f t="shared" si="158"/>
        <v>0.07325223505585884</v>
      </c>
      <c r="P273" s="153">
        <f t="shared" si="159"/>
        <v>3.4902353708303053</v>
      </c>
      <c r="Q273" s="153">
        <f t="shared" si="160"/>
        <v>1.795048337603028</v>
      </c>
      <c r="R273" s="153">
        <f t="shared" si="161"/>
        <v>0.06779950800763512</v>
      </c>
      <c r="S273" s="153">
        <f t="shared" si="162"/>
        <v>0.7603833865814694</v>
      </c>
      <c r="T273" s="153">
        <f t="shared" si="170"/>
        <v>2.355827741811029</v>
      </c>
      <c r="U273" s="153">
        <f t="shared" si="163"/>
        <v>1.5725911042613745</v>
      </c>
      <c r="V273" s="153">
        <f t="shared" si="164"/>
        <v>4.43609603795875</v>
      </c>
      <c r="W273" s="153">
        <f t="shared" si="165"/>
        <v>2.355827741811029</v>
      </c>
      <c r="X273" s="169">
        <f t="shared" si="166"/>
        <v>6.605905006418484</v>
      </c>
      <c r="Y273" s="169">
        <f t="shared" si="167"/>
        <v>-0.09340749679075737</v>
      </c>
      <c r="Z273" s="170">
        <f t="shared" si="168"/>
        <v>5.064219845622335</v>
      </c>
    </row>
    <row r="274" spans="7:26" ht="12.75">
      <c r="G274" s="154">
        <v>84</v>
      </c>
      <c r="H274" s="154">
        <f t="shared" si="152"/>
        <v>0.30723724461230206</v>
      </c>
      <c r="I274" s="154">
        <f t="shared" si="153"/>
        <v>4.652360623510313</v>
      </c>
      <c r="J274" s="154">
        <f t="shared" si="154"/>
        <v>3.7599853504336314</v>
      </c>
      <c r="K274" s="154">
        <f t="shared" si="155"/>
        <v>3.755884447676538</v>
      </c>
      <c r="L274" s="154">
        <f t="shared" si="156"/>
        <v>0.00045657096939147324</v>
      </c>
      <c r="M274" s="154">
        <f t="shared" si="157"/>
        <v>0.5213675213675214</v>
      </c>
      <c r="N274" s="154">
        <f t="shared" si="169"/>
        <v>2.480474610967964</v>
      </c>
      <c r="O274" s="154">
        <f t="shared" si="158"/>
        <v>0.07325223505585884</v>
      </c>
      <c r="P274" s="154">
        <f t="shared" si="159"/>
        <v>3.57404732720919</v>
      </c>
      <c r="Q274" s="154">
        <f t="shared" si="160"/>
        <v>1.8173452858820087</v>
      </c>
      <c r="R274" s="154">
        <f t="shared" si="161"/>
        <v>0.06779950800763512</v>
      </c>
      <c r="S274" s="154">
        <f t="shared" si="162"/>
        <v>0.7603833865814694</v>
      </c>
      <c r="T274" s="154">
        <f t="shared" si="170"/>
        <v>2.361804217613624</v>
      </c>
      <c r="U274" s="154">
        <f t="shared" si="163"/>
        <v>1.5790331507966904</v>
      </c>
      <c r="V274" s="154">
        <f t="shared" si="164"/>
        <v>4.43609603795875</v>
      </c>
      <c r="W274" s="154">
        <f t="shared" si="165"/>
        <v>2.361804217613624</v>
      </c>
      <c r="X274" s="171">
        <f t="shared" si="166"/>
        <v>6.6854942233632855</v>
      </c>
      <c r="Y274" s="171">
        <f t="shared" si="167"/>
        <v>-0.09453288831835685</v>
      </c>
      <c r="Z274" s="172">
        <f t="shared" si="168"/>
        <v>5.0972405605716125</v>
      </c>
    </row>
    <row r="275" spans="7:26" ht="12.75">
      <c r="G275" s="153">
        <v>85</v>
      </c>
      <c r="H275" s="153">
        <f t="shared" si="152"/>
        <v>0.3108948308576865</v>
      </c>
      <c r="I275" s="153">
        <f t="shared" si="153"/>
        <v>4.677003929613721</v>
      </c>
      <c r="J275" s="153">
        <f t="shared" si="154"/>
        <v>3.804723049033373</v>
      </c>
      <c r="K275" s="153">
        <f t="shared" si="155"/>
        <v>3.8006212733901297</v>
      </c>
      <c r="L275" s="153">
        <f t="shared" si="156"/>
        <v>0.00045657096939147324</v>
      </c>
      <c r="M275" s="153">
        <f t="shared" si="157"/>
        <v>0.5213675213675214</v>
      </c>
      <c r="N275" s="153">
        <f t="shared" si="169"/>
        <v>2.4882158718197176</v>
      </c>
      <c r="O275" s="153">
        <f t="shared" si="158"/>
        <v>0.07325223505585884</v>
      </c>
      <c r="P275" s="153">
        <f t="shared" si="159"/>
        <v>3.658853591393181</v>
      </c>
      <c r="Q275" s="153">
        <f t="shared" si="160"/>
        <v>1.8396422341609875</v>
      </c>
      <c r="R275" s="153">
        <f t="shared" si="161"/>
        <v>0.06779950800763512</v>
      </c>
      <c r="S275" s="153">
        <f t="shared" si="162"/>
        <v>0.7603833865814694</v>
      </c>
      <c r="T275" s="153">
        <f t="shared" si="170"/>
        <v>2.367735221793676</v>
      </c>
      <c r="U275" s="153">
        <f t="shared" si="163"/>
        <v>1.5854369645888382</v>
      </c>
      <c r="V275" s="153">
        <f t="shared" si="164"/>
        <v>4.43609603795875</v>
      </c>
      <c r="W275" s="153">
        <f t="shared" si="165"/>
        <v>2.367735221793676</v>
      </c>
      <c r="X275" s="169">
        <f t="shared" si="166"/>
        <v>6.7650834403080875</v>
      </c>
      <c r="Y275" s="169">
        <f t="shared" si="167"/>
        <v>-0.09565827984595636</v>
      </c>
      <c r="Z275" s="170">
        <f t="shared" si="168"/>
        <v>5.1300917844766785</v>
      </c>
    </row>
    <row r="276" spans="7:26" ht="12.75">
      <c r="G276" s="154">
        <v>86</v>
      </c>
      <c r="H276" s="154">
        <f t="shared" si="152"/>
        <v>0.3145524171030711</v>
      </c>
      <c r="I276" s="154">
        <f t="shared" si="153"/>
        <v>4.701502696457302</v>
      </c>
      <c r="J276" s="154">
        <f t="shared" si="154"/>
        <v>3.8494607476331155</v>
      </c>
      <c r="K276" s="154">
        <f t="shared" si="155"/>
        <v>3.845358099103724</v>
      </c>
      <c r="L276" s="154">
        <f t="shared" si="156"/>
        <v>0.00045657096939147324</v>
      </c>
      <c r="M276" s="154">
        <f t="shared" si="157"/>
        <v>0.5213675213675214</v>
      </c>
      <c r="N276" s="154">
        <f t="shared" si="169"/>
        <v>2.495896661550842</v>
      </c>
      <c r="O276" s="154">
        <f t="shared" si="158"/>
        <v>0.07325223505585884</v>
      </c>
      <c r="P276" s="154">
        <f t="shared" si="159"/>
        <v>3.7446541633822843</v>
      </c>
      <c r="Q276" s="154">
        <f t="shared" si="160"/>
        <v>1.8619391824399671</v>
      </c>
      <c r="R276" s="154">
        <f t="shared" si="161"/>
        <v>0.06779950800763512</v>
      </c>
      <c r="S276" s="154">
        <f t="shared" si="162"/>
        <v>0.7603833865814694</v>
      </c>
      <c r="T276" s="154">
        <f t="shared" si="170"/>
        <v>2.373621613943524</v>
      </c>
      <c r="U276" s="154">
        <f t="shared" si="163"/>
        <v>1.591803218383894</v>
      </c>
      <c r="V276" s="154">
        <f t="shared" si="164"/>
        <v>4.43609603795875</v>
      </c>
      <c r="W276" s="154">
        <f t="shared" si="165"/>
        <v>2.373621613943524</v>
      </c>
      <c r="X276" s="171">
        <f t="shared" si="166"/>
        <v>6.844672657252889</v>
      </c>
      <c r="Y276" s="171">
        <f t="shared" si="167"/>
        <v>-0.09678367137355584</v>
      </c>
      <c r="Z276" s="172">
        <f t="shared" si="168"/>
        <v>5.162776711367108</v>
      </c>
    </row>
    <row r="277" spans="7:26" ht="12.75">
      <c r="G277" s="153">
        <v>87</v>
      </c>
      <c r="H277" s="153">
        <f t="shared" si="152"/>
        <v>0.3182100033484556</v>
      </c>
      <c r="I277" s="153">
        <f t="shared" si="153"/>
        <v>4.72585943787385</v>
      </c>
      <c r="J277" s="153">
        <f t="shared" si="154"/>
        <v>3.894198446232858</v>
      </c>
      <c r="K277" s="153">
        <f t="shared" si="155"/>
        <v>3.890094924817317</v>
      </c>
      <c r="L277" s="153">
        <f t="shared" si="156"/>
        <v>0.00045657096939147324</v>
      </c>
      <c r="M277" s="153">
        <f t="shared" si="157"/>
        <v>0.5213675213675214</v>
      </c>
      <c r="N277" s="153">
        <f t="shared" si="169"/>
        <v>2.5035181474662127</v>
      </c>
      <c r="O277" s="153">
        <f t="shared" si="158"/>
        <v>0.07325223505585884</v>
      </c>
      <c r="P277" s="153">
        <f t="shared" si="159"/>
        <v>3.831449043176499</v>
      </c>
      <c r="Q277" s="153">
        <f t="shared" si="160"/>
        <v>1.8842361307189466</v>
      </c>
      <c r="R277" s="153">
        <f t="shared" si="161"/>
        <v>0.06779950800763512</v>
      </c>
      <c r="S277" s="153">
        <f t="shared" si="162"/>
        <v>0.7603833865814694</v>
      </c>
      <c r="T277" s="153">
        <f t="shared" si="170"/>
        <v>2.379464227883165</v>
      </c>
      <c r="U277" s="153">
        <f t="shared" si="163"/>
        <v>1.5981325654268825</v>
      </c>
      <c r="V277" s="153">
        <f t="shared" si="164"/>
        <v>4.43609603795875</v>
      </c>
      <c r="W277" s="153">
        <f t="shared" si="165"/>
        <v>2.379464227883165</v>
      </c>
      <c r="X277" s="169">
        <f t="shared" si="166"/>
        <v>6.92426187419769</v>
      </c>
      <c r="Y277" s="169">
        <f t="shared" si="167"/>
        <v>-0.09790906290115534</v>
      </c>
      <c r="Z277" s="170">
        <f t="shared" si="168"/>
        <v>5.195298433590396</v>
      </c>
    </row>
    <row r="278" spans="7:26" ht="12.75">
      <c r="G278" s="154">
        <v>88</v>
      </c>
      <c r="H278" s="154">
        <f t="shared" si="152"/>
        <v>0.3218675895938402</v>
      </c>
      <c r="I278" s="154">
        <f t="shared" si="153"/>
        <v>4.7500765956623665</v>
      </c>
      <c r="J278" s="154">
        <f t="shared" si="154"/>
        <v>3.9389361448326015</v>
      </c>
      <c r="K278" s="154">
        <f t="shared" si="155"/>
        <v>3.934831750530911</v>
      </c>
      <c r="L278" s="154">
        <f t="shared" si="156"/>
        <v>0.00045657096939147324</v>
      </c>
      <c r="M278" s="154">
        <f t="shared" si="157"/>
        <v>0.5213675213675214</v>
      </c>
      <c r="N278" s="154">
        <f t="shared" si="169"/>
        <v>2.5110814612295296</v>
      </c>
      <c r="O278" s="154">
        <f t="shared" si="158"/>
        <v>0.07325223505585884</v>
      </c>
      <c r="P278" s="154">
        <f t="shared" si="159"/>
        <v>3.919238230775826</v>
      </c>
      <c r="Q278" s="154">
        <f t="shared" si="160"/>
        <v>1.9065330789979262</v>
      </c>
      <c r="R278" s="154">
        <f t="shared" si="161"/>
        <v>0.06779950800763512</v>
      </c>
      <c r="S278" s="154">
        <f t="shared" si="162"/>
        <v>0.7603833865814694</v>
      </c>
      <c r="T278" s="154">
        <f t="shared" si="170"/>
        <v>2.3852638727125406</v>
      </c>
      <c r="U278" s="154">
        <f t="shared" si="163"/>
        <v>1.604425640244116</v>
      </c>
      <c r="V278" s="154">
        <f t="shared" si="164"/>
        <v>4.43609603795875</v>
      </c>
      <c r="W278" s="154">
        <f t="shared" si="165"/>
        <v>2.3852638727125406</v>
      </c>
      <c r="X278" s="171">
        <f t="shared" si="166"/>
        <v>7.00385109114249</v>
      </c>
      <c r="Y278" s="171">
        <f t="shared" si="167"/>
        <v>-0.09903445442875482</v>
      </c>
      <c r="Z278" s="172">
        <f t="shared" si="168"/>
        <v>5.227659946314518</v>
      </c>
    </row>
    <row r="279" spans="7:26" ht="12.75">
      <c r="G279" s="153">
        <v>89</v>
      </c>
      <c r="H279" s="153">
        <f t="shared" si="152"/>
        <v>0.3255251758392248</v>
      </c>
      <c r="I279" s="153">
        <f t="shared" si="153"/>
        <v>4.774156542445131</v>
      </c>
      <c r="J279" s="153">
        <f t="shared" si="154"/>
        <v>3.983673843432344</v>
      </c>
      <c r="K279" s="153">
        <f t="shared" si="155"/>
        <v>3.979568576244506</v>
      </c>
      <c r="L279" s="153">
        <f t="shared" si="156"/>
        <v>0.00045657096939147324</v>
      </c>
      <c r="M279" s="153">
        <f t="shared" si="157"/>
        <v>0.5213675213675214</v>
      </c>
      <c r="N279" s="153">
        <f t="shared" si="169"/>
        <v>2.518587700342728</v>
      </c>
      <c r="O279" s="153">
        <f t="shared" si="158"/>
        <v>0.07325223505585884</v>
      </c>
      <c r="P279" s="153">
        <f t="shared" si="159"/>
        <v>4.008021726180263</v>
      </c>
      <c r="Q279" s="153">
        <f t="shared" si="160"/>
        <v>1.9288300272769063</v>
      </c>
      <c r="R279" s="153">
        <f t="shared" si="161"/>
        <v>0.06779950800763512</v>
      </c>
      <c r="S279" s="153">
        <f t="shared" si="162"/>
        <v>0.7603833865814694</v>
      </c>
      <c r="T279" s="153">
        <f t="shared" si="170"/>
        <v>2.391021333809688</v>
      </c>
      <c r="U279" s="153">
        <f t="shared" si="163"/>
        <v>1.61068305938563</v>
      </c>
      <c r="V279" s="153">
        <f t="shared" si="164"/>
        <v>4.43609603795875</v>
      </c>
      <c r="W279" s="153">
        <f t="shared" si="165"/>
        <v>2.391021333809688</v>
      </c>
      <c r="X279" s="169">
        <f t="shared" si="166"/>
        <v>7.083440308087291</v>
      </c>
      <c r="Y279" s="169">
        <f t="shared" si="167"/>
        <v>-0.10015984595635428</v>
      </c>
      <c r="Z279" s="170">
        <f t="shared" si="168"/>
        <v>5.259864151777283</v>
      </c>
    </row>
    <row r="280" spans="7:26" ht="12.75">
      <c r="G280" s="154">
        <v>90</v>
      </c>
      <c r="H280" s="154">
        <f t="shared" si="152"/>
        <v>0.32918276208460934</v>
      </c>
      <c r="I280" s="154">
        <f t="shared" si="153"/>
        <v>4.798101584380717</v>
      </c>
      <c r="J280" s="154">
        <f t="shared" si="154"/>
        <v>4.028411542032086</v>
      </c>
      <c r="K280" s="154">
        <f t="shared" si="155"/>
        <v>4.024305401958099</v>
      </c>
      <c r="L280" s="154">
        <f t="shared" si="156"/>
        <v>0.00045657096939147324</v>
      </c>
      <c r="M280" s="154">
        <f t="shared" si="157"/>
        <v>0.5213675213675214</v>
      </c>
      <c r="N280" s="154">
        <f t="shared" si="169"/>
        <v>2.526037929548104</v>
      </c>
      <c r="O280" s="154">
        <f t="shared" si="158"/>
        <v>0.07325223505585884</v>
      </c>
      <c r="P280" s="154">
        <f t="shared" si="159"/>
        <v>4.09779952938981</v>
      </c>
      <c r="Q280" s="154">
        <f t="shared" si="160"/>
        <v>1.9511269755558855</v>
      </c>
      <c r="R280" s="154">
        <f t="shared" si="161"/>
        <v>0.06779950800763512</v>
      </c>
      <c r="S280" s="154">
        <f t="shared" si="162"/>
        <v>0.7603833865814694</v>
      </c>
      <c r="T280" s="154">
        <f t="shared" si="170"/>
        <v>2.396737373778098</v>
      </c>
      <c r="U280" s="154">
        <f t="shared" si="163"/>
        <v>1.6169054221301915</v>
      </c>
      <c r="V280" s="154">
        <f t="shared" si="164"/>
        <v>4.43609603795875</v>
      </c>
      <c r="W280" s="154">
        <f t="shared" si="165"/>
        <v>2.396737373778098</v>
      </c>
      <c r="X280" s="171">
        <f t="shared" si="166"/>
        <v>7.163029525032092</v>
      </c>
      <c r="Y280" s="171">
        <f t="shared" si="167"/>
        <v>-0.10128523748395378</v>
      </c>
      <c r="Z280" s="172">
        <f t="shared" si="168"/>
        <v>5.291913863299608</v>
      </c>
    </row>
    <row r="281" spans="7:26" ht="12.75">
      <c r="G281" s="153">
        <v>91</v>
      </c>
      <c r="H281" s="153">
        <f t="shared" si="152"/>
        <v>0.3328403483299939</v>
      </c>
      <c r="I281" s="153">
        <f t="shared" si="153"/>
        <v>4.8219139637417054</v>
      </c>
      <c r="J281" s="153">
        <f t="shared" si="154"/>
        <v>4.073149240631828</v>
      </c>
      <c r="K281" s="153">
        <f t="shared" si="155"/>
        <v>4.069042227671692</v>
      </c>
      <c r="L281" s="153">
        <f t="shared" si="156"/>
        <v>0.00045657096939147324</v>
      </c>
      <c r="M281" s="153">
        <f t="shared" si="157"/>
        <v>0.5213675213675214</v>
      </c>
      <c r="N281" s="153">
        <f t="shared" si="169"/>
        <v>2.5334331821580087</v>
      </c>
      <c r="O281" s="153">
        <f t="shared" si="158"/>
        <v>0.07325223505585884</v>
      </c>
      <c r="P281" s="153">
        <f t="shared" si="159"/>
        <v>4.188571640404469</v>
      </c>
      <c r="Q281" s="153">
        <f t="shared" si="160"/>
        <v>1.9734239238348652</v>
      </c>
      <c r="R281" s="153">
        <f t="shared" si="161"/>
        <v>0.06779950800763512</v>
      </c>
      <c r="S281" s="153">
        <f t="shared" si="162"/>
        <v>0.7603833865814694</v>
      </c>
      <c r="T281" s="153">
        <f t="shared" si="170"/>
        <v>2.402412733346388</v>
      </c>
      <c r="U281" s="153">
        <f t="shared" si="163"/>
        <v>1.623093311155141</v>
      </c>
      <c r="V281" s="153">
        <f t="shared" si="164"/>
        <v>4.43609603795875</v>
      </c>
      <c r="W281" s="153">
        <f t="shared" si="165"/>
        <v>2.402412733346388</v>
      </c>
      <c r="X281" s="169">
        <f t="shared" si="166"/>
        <v>7.2426187419768935</v>
      </c>
      <c r="Y281" s="169">
        <f t="shared" si="167"/>
        <v>-0.10241062901155326</v>
      </c>
      <c r="Z281" s="170">
        <f t="shared" si="168"/>
        <v>5.323811809078542</v>
      </c>
    </row>
    <row r="282" spans="7:26" ht="12.75">
      <c r="G282" s="154">
        <v>92</v>
      </c>
      <c r="H282" s="154">
        <f t="shared" si="152"/>
        <v>0.33649793457537847</v>
      </c>
      <c r="I282" s="154">
        <f t="shared" si="153"/>
        <v>4.84559586136528</v>
      </c>
      <c r="J282" s="154">
        <f t="shared" si="154"/>
        <v>4.117886939231571</v>
      </c>
      <c r="K282" s="154">
        <f t="shared" si="155"/>
        <v>4.113779053385286</v>
      </c>
      <c r="L282" s="154">
        <f t="shared" si="156"/>
        <v>0.00045657096939147324</v>
      </c>
      <c r="M282" s="154">
        <f t="shared" si="157"/>
        <v>0.5213675213675214</v>
      </c>
      <c r="N282" s="154">
        <f t="shared" si="169"/>
        <v>2.540774461316596</v>
      </c>
      <c r="O282" s="154">
        <f t="shared" si="158"/>
        <v>0.07325223505585884</v>
      </c>
      <c r="P282" s="154">
        <f t="shared" si="159"/>
        <v>4.280338059224239</v>
      </c>
      <c r="Q282" s="154">
        <f t="shared" si="160"/>
        <v>1.9957208721138449</v>
      </c>
      <c r="R282" s="154">
        <f t="shared" si="161"/>
        <v>0.06779950800763512</v>
      </c>
      <c r="S282" s="154">
        <f t="shared" si="162"/>
        <v>0.7603833865814694</v>
      </c>
      <c r="T282" s="154">
        <f t="shared" si="170"/>
        <v>2.40804813222318</v>
      </c>
      <c r="U282" s="154">
        <f t="shared" si="163"/>
        <v>1.629247293173208</v>
      </c>
      <c r="V282" s="154">
        <f t="shared" si="164"/>
        <v>4.43609603795875</v>
      </c>
      <c r="W282" s="154">
        <f t="shared" si="165"/>
        <v>2.40804813222318</v>
      </c>
      <c r="X282" s="171">
        <f t="shared" si="166"/>
        <v>7.322207958921695</v>
      </c>
      <c r="Y282" s="171">
        <f t="shared" si="167"/>
        <v>-0.10353602053915276</v>
      </c>
      <c r="Z282" s="172">
        <f t="shared" si="168"/>
        <v>5.35556063577461</v>
      </c>
    </row>
    <row r="283" spans="7:26" ht="12.75">
      <c r="G283" s="153">
        <v>93</v>
      </c>
      <c r="H283" s="153">
        <f t="shared" si="152"/>
        <v>0.340155520820763</v>
      </c>
      <c r="I283" s="153">
        <f t="shared" si="153"/>
        <v>4.869149398984265</v>
      </c>
      <c r="J283" s="153">
        <f t="shared" si="154"/>
        <v>4.162624637831314</v>
      </c>
      <c r="K283" s="153">
        <f t="shared" si="155"/>
        <v>4.158515879098879</v>
      </c>
      <c r="L283" s="153">
        <f t="shared" si="156"/>
        <v>0.00045657096939147324</v>
      </c>
      <c r="M283" s="153">
        <f t="shared" si="157"/>
        <v>0.5213675213675214</v>
      </c>
      <c r="N283" s="153">
        <f t="shared" si="169"/>
        <v>2.548062741197809</v>
      </c>
      <c r="O283" s="153">
        <f t="shared" si="158"/>
        <v>0.07325223505585884</v>
      </c>
      <c r="P283" s="153">
        <f t="shared" si="159"/>
        <v>4.37309878584912</v>
      </c>
      <c r="Q283" s="153">
        <f t="shared" si="160"/>
        <v>2.0180178203928243</v>
      </c>
      <c r="R283" s="153">
        <f t="shared" si="161"/>
        <v>0.06779950800763512</v>
      </c>
      <c r="S283" s="153">
        <f t="shared" si="162"/>
        <v>0.7603833865814694</v>
      </c>
      <c r="T283" s="153">
        <f t="shared" si="170"/>
        <v>2.4136442699098586</v>
      </c>
      <c r="U283" s="153">
        <f t="shared" si="163"/>
        <v>1.6353679195382507</v>
      </c>
      <c r="V283" s="153">
        <f t="shared" si="164"/>
        <v>4.43609603795875</v>
      </c>
      <c r="W283" s="153">
        <f t="shared" si="165"/>
        <v>2.4136442699098586</v>
      </c>
      <c r="X283" s="169">
        <f t="shared" si="166"/>
        <v>7.401797175866495</v>
      </c>
      <c r="Y283" s="169">
        <f t="shared" si="167"/>
        <v>-0.10466141206675224</v>
      </c>
      <c r="Z283" s="170">
        <f t="shared" si="168"/>
        <v>5.387162911906916</v>
      </c>
    </row>
    <row r="284" spans="7:26" ht="12.75">
      <c r="G284" s="154">
        <v>94</v>
      </c>
      <c r="H284" s="154">
        <f t="shared" si="152"/>
        <v>0.3438131070661475</v>
      </c>
      <c r="I284" s="154">
        <f t="shared" si="153"/>
        <v>4.892576641445664</v>
      </c>
      <c r="J284" s="154">
        <f t="shared" si="154"/>
        <v>4.207362336431055</v>
      </c>
      <c r="K284" s="154">
        <f t="shared" si="155"/>
        <v>4.203252704812472</v>
      </c>
      <c r="L284" s="154">
        <f t="shared" si="156"/>
        <v>0.00045657096939147324</v>
      </c>
      <c r="M284" s="154">
        <f t="shared" si="157"/>
        <v>0.5213675213675214</v>
      </c>
      <c r="N284" s="154">
        <f t="shared" si="169"/>
        <v>2.5552989681434615</v>
      </c>
      <c r="O284" s="154">
        <f t="shared" si="158"/>
        <v>0.07325223505585884</v>
      </c>
      <c r="P284" s="154">
        <f t="shared" si="159"/>
        <v>4.46685382027911</v>
      </c>
      <c r="Q284" s="154">
        <f t="shared" si="160"/>
        <v>2.0403147686718035</v>
      </c>
      <c r="R284" s="154">
        <f t="shared" si="161"/>
        <v>0.06779950800763512</v>
      </c>
      <c r="S284" s="154">
        <f t="shared" si="162"/>
        <v>0.7603833865814694</v>
      </c>
      <c r="T284" s="154">
        <f t="shared" si="170"/>
        <v>2.419201826473712</v>
      </c>
      <c r="U284" s="154">
        <f t="shared" si="163"/>
        <v>1.6414557268217689</v>
      </c>
      <c r="V284" s="154">
        <f t="shared" si="164"/>
        <v>4.43609603795875</v>
      </c>
      <c r="W284" s="154">
        <f t="shared" si="165"/>
        <v>2.419201826473712</v>
      </c>
      <c r="X284" s="171">
        <f t="shared" si="166"/>
        <v>7.481386392811296</v>
      </c>
      <c r="Y284" s="171">
        <f t="shared" si="167"/>
        <v>-0.10578680359435172</v>
      </c>
      <c r="Z284" s="172">
        <f t="shared" si="168"/>
        <v>5.418621131068431</v>
      </c>
    </row>
    <row r="285" spans="7:26" ht="12.75">
      <c r="G285" s="153">
        <v>95</v>
      </c>
      <c r="H285" s="153">
        <f t="shared" si="152"/>
        <v>0.347470693311532</v>
      </c>
      <c r="I285" s="153">
        <f t="shared" si="153"/>
        <v>4.915879598823272</v>
      </c>
      <c r="J285" s="153">
        <f t="shared" si="154"/>
        <v>4.252100035030798</v>
      </c>
      <c r="K285" s="153">
        <f t="shared" si="155"/>
        <v>4.247989530526065</v>
      </c>
      <c r="L285" s="153">
        <f t="shared" si="156"/>
        <v>0.00045657096939147324</v>
      </c>
      <c r="M285" s="153">
        <f t="shared" si="157"/>
        <v>0.5213675213675214</v>
      </c>
      <c r="N285" s="153">
        <f t="shared" si="169"/>
        <v>2.5624840617450193</v>
      </c>
      <c r="O285" s="153">
        <f t="shared" si="158"/>
        <v>0.07325223505585884</v>
      </c>
      <c r="P285" s="153">
        <f t="shared" si="159"/>
        <v>4.561603162514212</v>
      </c>
      <c r="Q285" s="153">
        <f t="shared" si="160"/>
        <v>2.0626117169507827</v>
      </c>
      <c r="R285" s="153">
        <f t="shared" si="161"/>
        <v>0.06779950800763512</v>
      </c>
      <c r="S285" s="153">
        <f t="shared" si="162"/>
        <v>0.7603833865814694</v>
      </c>
      <c r="T285" s="153">
        <f t="shared" si="170"/>
        <v>2.424721463283772</v>
      </c>
      <c r="U285" s="153">
        <f t="shared" si="163"/>
        <v>1.6475112373618879</v>
      </c>
      <c r="V285" s="153">
        <f t="shared" si="164"/>
        <v>4.43609603795875</v>
      </c>
      <c r="W285" s="153">
        <f t="shared" si="165"/>
        <v>2.424721463283772</v>
      </c>
      <c r="X285" s="169">
        <f t="shared" si="166"/>
        <v>7.560975609756097</v>
      </c>
      <c r="Y285" s="169">
        <f t="shared" si="167"/>
        <v>-0.10691219512195121</v>
      </c>
      <c r="Z285" s="170">
        <f t="shared" si="168"/>
        <v>5.4499377149729575</v>
      </c>
    </row>
    <row r="286" spans="7:26" ht="12.75">
      <c r="G286" s="154">
        <v>96</v>
      </c>
      <c r="H286" s="154">
        <f t="shared" si="152"/>
        <v>0.3511282795569166</v>
      </c>
      <c r="I286" s="154">
        <f t="shared" si="153"/>
        <v>4.939060228430461</v>
      </c>
      <c r="J286" s="154">
        <f t="shared" si="154"/>
        <v>4.296837733630541</v>
      </c>
      <c r="K286" s="154">
        <f t="shared" si="155"/>
        <v>4.292726356239659</v>
      </c>
      <c r="L286" s="154">
        <f t="shared" si="156"/>
        <v>0.00045657096939147324</v>
      </c>
      <c r="M286" s="154">
        <f t="shared" si="157"/>
        <v>0.5213675213675214</v>
      </c>
      <c r="N286" s="154">
        <f t="shared" si="169"/>
        <v>2.5696189158724323</v>
      </c>
      <c r="O286" s="154">
        <f t="shared" si="158"/>
        <v>0.07325223505585884</v>
      </c>
      <c r="P286" s="154">
        <f t="shared" si="159"/>
        <v>4.657346812554426</v>
      </c>
      <c r="Q286" s="154">
        <f t="shared" si="160"/>
        <v>2.084908665229763</v>
      </c>
      <c r="R286" s="154">
        <f t="shared" si="161"/>
        <v>0.06779950800763512</v>
      </c>
      <c r="S286" s="154">
        <f t="shared" si="162"/>
        <v>0.7603833865814694</v>
      </c>
      <c r="T286" s="154">
        <f t="shared" si="170"/>
        <v>2.430203823711523</v>
      </c>
      <c r="U286" s="154">
        <f t="shared" si="163"/>
        <v>1.6535349597863989</v>
      </c>
      <c r="V286" s="154">
        <f t="shared" si="164"/>
        <v>4.43609603795875</v>
      </c>
      <c r="W286" s="154">
        <f t="shared" si="165"/>
        <v>2.430203823711523</v>
      </c>
      <c r="X286" s="171">
        <f t="shared" si="166"/>
        <v>7.640564826700899</v>
      </c>
      <c r="Y286" s="171">
        <f t="shared" si="167"/>
        <v>-0.10803758664955071</v>
      </c>
      <c r="Z286" s="172">
        <f t="shared" si="168"/>
        <v>5.4811150163444164</v>
      </c>
    </row>
    <row r="287" spans="7:26" ht="12.75">
      <c r="G287" s="153">
        <v>97</v>
      </c>
      <c r="H287" s="153">
        <f>(((G287/100)*Iout)*(Vout_nom^2)*2.5*Rsense*K_1)/(eff*(Vline^2)*K_FQ)*us</f>
        <v>0.35478586580230115</v>
      </c>
      <c r="I287" s="153">
        <f>(1*10^-9*(5*10^8*SQRT(fsw*kHz)+(1.09655978*10^10)*SQRT(ftyp)*SQRT(H287)))/SQRT(fsw*kHz)</f>
        <v>4.962120436738861</v>
      </c>
      <c r="J287" s="153">
        <f t="shared" si="154"/>
        <v>4.341575432230283</v>
      </c>
      <c r="K287" s="153">
        <f t="shared" si="155"/>
        <v>4.337463181953253</v>
      </c>
      <c r="L287" s="153">
        <f t="shared" si="156"/>
        <v>0.00045657096939147324</v>
      </c>
      <c r="M287" s="153">
        <f t="shared" si="157"/>
        <v>0.5213675213675214</v>
      </c>
      <c r="N287" s="153">
        <f t="shared" si="169"/>
        <v>2.5767043996531207</v>
      </c>
      <c r="O287" s="153">
        <f t="shared" si="158"/>
        <v>0.07325223505585884</v>
      </c>
      <c r="P287" s="153">
        <f t="shared" si="159"/>
        <v>4.754084770399749</v>
      </c>
      <c r="Q287" s="153">
        <f t="shared" si="160"/>
        <v>2.107205613508742</v>
      </c>
      <c r="R287" s="153">
        <f t="shared" si="161"/>
        <v>0.06779950800763512</v>
      </c>
      <c r="S287" s="153">
        <f t="shared" si="162"/>
        <v>0.7603833865814694</v>
      </c>
      <c r="T287" s="153">
        <f t="shared" si="170"/>
        <v>2.435649533798491</v>
      </c>
      <c r="U287" s="153">
        <f t="shared" si="163"/>
        <v>1.6595273895113505</v>
      </c>
      <c r="V287" s="153">
        <f t="shared" si="164"/>
        <v>4.43609603795875</v>
      </c>
      <c r="W287" s="153">
        <f>IF(I287&gt;=0.5,IF(I287&lt;1,I287,IF(N287&gt;=1,IF(N287&lt;2,N287,IF(VCOMP3&gt;=2,IF(T287&lt;4.5,T287,IF(U287&gt;=4.5,IF(U287&lt;4.6,U287,V287))))))))</f>
        <v>2.435649533798491</v>
      </c>
      <c r="X287" s="169">
        <f t="shared" si="166"/>
        <v>7.7201540436457</v>
      </c>
      <c r="Y287" s="169">
        <f>-Rsense*X287*1.414</f>
        <v>-0.1091629781771502</v>
      </c>
      <c r="Z287" s="170">
        <f t="shared" si="168"/>
        <v>5.512155321658283</v>
      </c>
    </row>
    <row r="288" spans="7:26" ht="12.75">
      <c r="G288" s="154">
        <v>98</v>
      </c>
      <c r="H288" s="154">
        <f>(((G288/100)*Iout)*(Vout_nom^2)*2.5*Rsense*K_1)/(eff*(Vline^2)*K_FQ)*us</f>
        <v>0.35844345204768574</v>
      </c>
      <c r="I288" s="154">
        <f>(1*10^-9*(5*10^8*SQRT(fsw*kHz)+(1.09655978*10^10)*SQRT(ftyp)*SQRT(H288)))/SQRT(fsw*kHz)</f>
        <v>4.985062081208255</v>
      </c>
      <c r="J288" s="154">
        <f t="shared" si="154"/>
        <v>4.386313130830025</v>
      </c>
      <c r="K288" s="154">
        <f t="shared" si="155"/>
        <v>4.382200007666848</v>
      </c>
      <c r="L288" s="154">
        <f t="shared" si="156"/>
        <v>0.00045657096939147324</v>
      </c>
      <c r="M288" s="154">
        <f t="shared" si="157"/>
        <v>0.5213675213675214</v>
      </c>
      <c r="N288" s="154">
        <f t="shared" si="169"/>
        <v>2.583741358404032</v>
      </c>
      <c r="O288" s="154">
        <f t="shared" si="158"/>
        <v>0.07325223505585884</v>
      </c>
      <c r="P288" s="154">
        <f t="shared" si="159"/>
        <v>4.8518170360501855</v>
      </c>
      <c r="Q288" s="154">
        <f t="shared" si="160"/>
        <v>2.129502561787722</v>
      </c>
      <c r="R288" s="154">
        <f t="shared" si="161"/>
        <v>0.06779950800763512</v>
      </c>
      <c r="S288" s="154">
        <f t="shared" si="162"/>
        <v>0.7603833865814694</v>
      </c>
      <c r="T288" s="154">
        <f t="shared" si="170"/>
        <v>2.4410592028926033</v>
      </c>
      <c r="U288" s="154">
        <f t="shared" si="163"/>
        <v>1.6654890092165628</v>
      </c>
      <c r="V288" s="154">
        <f t="shared" si="164"/>
        <v>4.43609603795875</v>
      </c>
      <c r="W288" s="154">
        <f>IF(I288&gt;=0.5,IF(I288&lt;1,I288,IF(N288&gt;=1,IF(N288&lt;2,N288,IF(VCOMP3&gt;=2,IF(T288&lt;4.5,T288,IF(U288&gt;=4.5,IF(U288&lt;4.6,U288,V288))))))))</f>
        <v>2.4410592028926033</v>
      </c>
      <c r="X288" s="171">
        <f t="shared" si="166"/>
        <v>7.7997432605905</v>
      </c>
      <c r="Y288" s="171">
        <f>-Rsense*X288*1.414</f>
        <v>-0.11028836970474966</v>
      </c>
      <c r="Z288" s="172">
        <f t="shared" si="168"/>
        <v>5.5430608537443185</v>
      </c>
    </row>
    <row r="289" spans="7:26" ht="12.75">
      <c r="G289" s="153">
        <v>99</v>
      </c>
      <c r="H289" s="153">
        <f>(((G289/100)*Iout)*(Vout_nom^2)*2.5*Rsense*K_1)/(eff*(Vline^2)*K_FQ)*us</f>
        <v>0.3621010382930703</v>
      </c>
      <c r="I289" s="153">
        <f>(1*10^-9*(5*10^8*SQRT(fsw*kHz)+(1.09655978*10^10)*SQRT(ftyp)*SQRT(H289)))/SQRT(fsw*kHz)</f>
        <v>5.007886972032643</v>
      </c>
      <c r="J289" s="153">
        <f t="shared" si="154"/>
        <v>4.431050829429768</v>
      </c>
      <c r="K289" s="153">
        <f t="shared" si="155"/>
        <v>4.426936833380441</v>
      </c>
      <c r="L289" s="153">
        <f t="shared" si="156"/>
        <v>0.00045657096939147324</v>
      </c>
      <c r="M289" s="153">
        <f t="shared" si="157"/>
        <v>0.5213675213675214</v>
      </c>
      <c r="N289" s="153">
        <f t="shared" si="169"/>
        <v>2.5907306145194577</v>
      </c>
      <c r="O289" s="153">
        <f t="shared" si="158"/>
        <v>0.07325223505585884</v>
      </c>
      <c r="P289" s="153">
        <f t="shared" si="159"/>
        <v>4.950543609505733</v>
      </c>
      <c r="Q289" s="153">
        <f t="shared" si="160"/>
        <v>2.1517995100667013</v>
      </c>
      <c r="R289" s="153">
        <f t="shared" si="161"/>
        <v>0.06779950800763512</v>
      </c>
      <c r="S289" s="153">
        <f t="shared" si="162"/>
        <v>0.7603833865814694</v>
      </c>
      <c r="T289" s="153">
        <f t="shared" si="170"/>
        <v>2.4464334242550736</v>
      </c>
      <c r="U289" s="153">
        <f t="shared" si="163"/>
        <v>1.6714202892993628</v>
      </c>
      <c r="V289" s="153">
        <f t="shared" si="164"/>
        <v>4.43609603795875</v>
      </c>
      <c r="W289" s="153">
        <f>IF(I289&gt;=0.5,IF(I289&lt;1,I289,IF(N289&gt;=1,IF(N289&lt;2,N289,IF(VCOMP3&gt;=2,IF(T289&lt;4.5,T289,IF(U289&gt;=4.5,IF(U289&lt;4.6,U289,V289))))))))</f>
        <v>2.4464334242550736</v>
      </c>
      <c r="X289" s="169">
        <f t="shared" si="166"/>
        <v>7.879332477535302</v>
      </c>
      <c r="Y289" s="169">
        <f>-Rsense*X289*1.414</f>
        <v>-0.11141376123234915</v>
      </c>
      <c r="Z289" s="170">
        <f t="shared" si="168"/>
        <v>5.573833774259075</v>
      </c>
    </row>
    <row r="290" spans="7:26" ht="12.75">
      <c r="G290" s="154">
        <v>100</v>
      </c>
      <c r="H290" s="154">
        <f>(((G290/100)*Iout)*(Vout_nom^2)*2.5*Rsense*K_1)/(eff*(Vline^2)*K_FQ)*us</f>
        <v>0.3657586245384548</v>
      </c>
      <c r="I290" s="154">
        <f>(1*10^-9*(5*10^8*SQRT(fsw*kHz)+(1.09655978*10^10)*SQRT(ftyp)*SQRT(H290)))/SQRT(fsw*kHz)</f>
        <v>5.030596873807152</v>
      </c>
      <c r="J290" s="154">
        <f t="shared" si="154"/>
        <v>4.475788528029511</v>
      </c>
      <c r="K290" s="154">
        <f t="shared" si="155"/>
        <v>4.471673659094034</v>
      </c>
      <c r="L290" s="154">
        <f t="shared" si="156"/>
        <v>0.00045657096939147324</v>
      </c>
      <c r="M290" s="154">
        <f t="shared" si="157"/>
        <v>0.5213675213675214</v>
      </c>
      <c r="N290" s="154">
        <f t="shared" si="169"/>
        <v>2.597672968317146</v>
      </c>
      <c r="O290" s="154">
        <f t="shared" si="158"/>
        <v>0.07325223505585884</v>
      </c>
      <c r="P290" s="154">
        <f t="shared" si="159"/>
        <v>5.050264490766389</v>
      </c>
      <c r="Q290" s="154">
        <f t="shared" si="160"/>
        <v>2.174096458345681</v>
      </c>
      <c r="R290" s="154">
        <f t="shared" si="161"/>
        <v>0.06779950800763512</v>
      </c>
      <c r="S290" s="154">
        <f t="shared" si="162"/>
        <v>0.7603833865814694</v>
      </c>
      <c r="T290" s="154">
        <f t="shared" si="170"/>
        <v>2.451772775639449</v>
      </c>
      <c r="U290" s="154">
        <f t="shared" si="163"/>
        <v>1.6773216883077458</v>
      </c>
      <c r="V290" s="154">
        <f t="shared" si="164"/>
        <v>4.43609603795875</v>
      </c>
      <c r="W290" s="154">
        <f>IF(I290&gt;=0.5,IF(I290&lt;1,I290,IF(N290&gt;=1,IF(N290&lt;2,N290,IF(VCOMP3&gt;=2,IF(T290&lt;4.5,T290,IF(U290&gt;=4.5,IF(U290&lt;4.6,U290,V290))))))))</f>
        <v>2.451772775639449</v>
      </c>
      <c r="X290" s="171">
        <f t="shared" si="166"/>
        <v>7.958921694480103</v>
      </c>
      <c r="Y290" s="171">
        <f>-Rsense*X290*1.414</f>
        <v>-0.11253915275994865</v>
      </c>
      <c r="Z290" s="172">
        <f t="shared" si="168"/>
        <v>5.604476186036043</v>
      </c>
    </row>
  </sheetData>
  <sheetProtection password="E85D" sheet="1"/>
  <mergeCells count="17">
    <mergeCell ref="A1:E1"/>
    <mergeCell ref="A11:B11"/>
    <mergeCell ref="A13:B13"/>
    <mergeCell ref="A23:B23"/>
    <mergeCell ref="A34:B34"/>
    <mergeCell ref="A39:B39"/>
    <mergeCell ref="D2:E4"/>
    <mergeCell ref="D40:E40"/>
    <mergeCell ref="D44:E44"/>
    <mergeCell ref="A2:B4"/>
    <mergeCell ref="D10:E10"/>
    <mergeCell ref="D12:E12"/>
    <mergeCell ref="D14:E14"/>
    <mergeCell ref="D24:E24"/>
    <mergeCell ref="D35:E35"/>
    <mergeCell ref="A43:B43"/>
    <mergeCell ref="A9:B9"/>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 User</dc:creator>
  <cp:keywords/>
  <dc:description/>
  <cp:lastModifiedBy>xianglinyong</cp:lastModifiedBy>
  <cp:lastPrinted>2008-11-18T20:12:00Z</cp:lastPrinted>
  <dcterms:created xsi:type="dcterms:W3CDTF">2006-09-26T18:05:02Z</dcterms:created>
  <dcterms:modified xsi:type="dcterms:W3CDTF">2020-05-06T15:03:44Z</dcterms:modified>
  <cp:category/>
  <cp:version/>
  <cp:contentType/>
  <cp:contentStatus/>
</cp:coreProperties>
</file>