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5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<sst xmlns="http://schemas.openxmlformats.org/spreadsheetml/2006/main" count="115" uniqueCount="95">
  <si>
    <t>Fsw(KHz)</t>
  </si>
  <si>
    <t>Vin(V)</t>
  </si>
  <si>
    <t>Vled(V)</t>
  </si>
  <si>
    <t>Iled(A)</t>
  </si>
  <si>
    <t>△Il-pp(A)</t>
  </si>
  <si>
    <t>△Vin-pp(V)</t>
  </si>
  <si>
    <t>Vturn-on(V)</t>
  </si>
  <si>
    <t>Vhysi(V)</t>
  </si>
  <si>
    <t>η</t>
  </si>
  <si>
    <t>CT(pF)</t>
  </si>
  <si>
    <t>rLED(Ω)</t>
  </si>
  <si>
    <t>VminV)</t>
  </si>
  <si>
    <t>Vmax(V)</t>
  </si>
  <si>
    <t>Vsns(mV)</t>
  </si>
  <si>
    <t>△Iled-pp</t>
  </si>
  <si>
    <t>Ilim(A)</t>
  </si>
  <si>
    <t>Vturn-off(V)</t>
  </si>
  <si>
    <t>Vhyso(V)</t>
  </si>
  <si>
    <t>n</t>
  </si>
  <si>
    <t>Operating Point</t>
  </si>
  <si>
    <t>Ilim=(A)</t>
  </si>
  <si>
    <t>Vo=(V)</t>
  </si>
  <si>
    <t>rD=(Ω)</t>
  </si>
  <si>
    <t>D</t>
  </si>
  <si>
    <t>10K/3450</t>
  </si>
  <si>
    <t>D'</t>
  </si>
  <si>
    <t>℃</t>
  </si>
  <si>
    <t>KΩ</t>
  </si>
  <si>
    <t>Vref</t>
  </si>
  <si>
    <t>Ru</t>
  </si>
  <si>
    <t>Rd</t>
  </si>
  <si>
    <t>Vo</t>
  </si>
  <si>
    <t>Dmin</t>
  </si>
  <si>
    <t>50℃</t>
  </si>
  <si>
    <t>Dmax</t>
  </si>
  <si>
    <t>60℃</t>
  </si>
  <si>
    <t>Switching Frequency</t>
  </si>
  <si>
    <t>70℃</t>
  </si>
  <si>
    <t>RT=(Ω)</t>
  </si>
  <si>
    <t>取值=</t>
  </si>
  <si>
    <t>49.9K</t>
  </si>
  <si>
    <t>80℃</t>
  </si>
  <si>
    <t>Average LED Current</t>
  </si>
  <si>
    <t>Rsns=(Ω)</t>
  </si>
  <si>
    <t>Rcsh=(Ω)</t>
  </si>
  <si>
    <t>12.4K</t>
  </si>
  <si>
    <t>Rhsp=(Ω)</t>
  </si>
  <si>
    <t>1K</t>
  </si>
  <si>
    <t>Inductor Ripple Current</t>
  </si>
  <si>
    <t>L=(uH)</t>
  </si>
  <si>
    <t>Il-rms=(A)</t>
  </si>
  <si>
    <t>LED Ripple Current</t>
  </si>
  <si>
    <t>Co=(uF)</t>
  </si>
  <si>
    <t>Ico-rms</t>
  </si>
  <si>
    <t>Peak Current Limit</t>
  </si>
  <si>
    <t>Rlim=(Ω)</t>
  </si>
  <si>
    <t>Loop Compensation</t>
  </si>
  <si>
    <t>ωp1=(rad/sec)</t>
  </si>
  <si>
    <t>ωz1=(rad/sec)</t>
  </si>
  <si>
    <t>Tu0</t>
  </si>
  <si>
    <t>MIN(ωp1,ωz1)</t>
  </si>
  <si>
    <t>ωp2=(rad/sec)</t>
  </si>
  <si>
    <t>Ccmp=(uF)</t>
  </si>
  <si>
    <t>x3</t>
  </si>
  <si>
    <t>MAX(ωp1,ωz1)</t>
  </si>
  <si>
    <t>ωp3=(rad/sec)</t>
  </si>
  <si>
    <t>Rfs=(Ω)</t>
  </si>
  <si>
    <t>Cfs=(uF)</t>
  </si>
  <si>
    <t>Input Capacitance</t>
  </si>
  <si>
    <t>Cin=(uF)</t>
  </si>
  <si>
    <t>Icin-rms</t>
  </si>
  <si>
    <t>N-channel FET</t>
  </si>
  <si>
    <t>Rdson=（mΩ）</t>
  </si>
  <si>
    <t>Vt-max=Vo</t>
  </si>
  <si>
    <t>It-max=(A)</t>
  </si>
  <si>
    <t>It-rms=(V)</t>
  </si>
  <si>
    <t>Pt=(W)</t>
  </si>
  <si>
    <t>Diode</t>
  </si>
  <si>
    <t>Vfd=(V)</t>
  </si>
  <si>
    <t>Vrd-max=Vo</t>
  </si>
  <si>
    <r>
      <rPr>
        <sz val="11"/>
        <color theme="1"/>
        <rFont val="宋体"/>
        <charset val="134"/>
        <scheme val="minor"/>
      </rPr>
      <t>I</t>
    </r>
    <r>
      <rPr>
        <sz val="6"/>
        <color rgb="FF000000"/>
        <rFont val="Helvetica"/>
        <charset val="134"/>
      </rPr>
      <t>D-MAX</t>
    </r>
    <r>
      <rPr>
        <sz val="8"/>
        <color rgb="FF000000"/>
        <rFont val="Helvetica"/>
        <charset val="134"/>
      </rPr>
      <t xml:space="preserve"> = I</t>
    </r>
    <r>
      <rPr>
        <sz val="6"/>
        <color rgb="FF000000"/>
        <rFont val="Helvetica"/>
        <charset val="134"/>
      </rPr>
      <t>LED</t>
    </r>
  </si>
  <si>
    <t>Pd=(W)</t>
  </si>
  <si>
    <t>Output OVLO</t>
  </si>
  <si>
    <t>Rov2=(KΩ)</t>
  </si>
  <si>
    <t>Vhyso=(V)</t>
  </si>
  <si>
    <t>Rov1=(KΩ)</t>
  </si>
  <si>
    <t>Ground Referenced</t>
  </si>
  <si>
    <t>Vturn-off=(V)</t>
  </si>
  <si>
    <t>Input UVLO</t>
  </si>
  <si>
    <t>Ruv2=(KΩ)</t>
  </si>
  <si>
    <t>Ruv1=(KΩ)</t>
  </si>
  <si>
    <t>Ruvh=(KΩ)</t>
  </si>
  <si>
    <t>Vhysi(V)=(V)</t>
  </si>
  <si>
    <t>PWM Dimming and UVLO</t>
  </si>
  <si>
    <t>Vturn-on=(V)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</si>
</sst>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rgb="FFFF0000"/>
      <name val="Arial-BoldMT"/>
      <charset val="134"/>
    </font>
    <font>
      <b/>
      <sz val="10"/>
      <color rgb="FF000000"/>
      <name val="Arial-BoldMT"/>
      <charset val="134"/>
    </font>
    <font>
      <b/>
      <i/>
      <sz val="10"/>
      <color rgb="FF000000"/>
      <name val="Arial-BoldItalicMT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color rgb="FF000000"/>
      <name val="Helvetica"/>
      <charset val="134"/>
    </font>
    <font>
      <sz val="8"/>
      <color rgb="FF000000"/>
      <name val="Helvetic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62"/>
  <sheetViews>
    <sheetView tabSelected="1" topLeftCell="A37" workbookViewId="0">
      <selection activeCell="E62" sqref="E62"/>
    </sheetView>
  </sheetViews>
  <sheetFormatPr defaultColWidth="9" defaultRowHeight="13.5"/>
  <cols>
    <col min="1" max="1" width="14.9380530973451" style="1" customWidth="1"/>
    <col min="2" max="2" width="13.858407079646" style="1"/>
    <col min="3" max="4" width="9" style="1"/>
    <col min="5" max="5" width="20.6548672566372" style="1" customWidth="1"/>
    <col min="6" max="6" width="12.8141592920354" style="1" customWidth="1"/>
    <col min="7" max="7" width="12.4867256637168" style="1" customWidth="1"/>
    <col min="8" max="8" width="9.50442477876106" style="1" customWidth="1"/>
    <col min="9" max="11" width="9" style="1"/>
    <col min="12" max="12" width="12.7964601769912" style="1"/>
    <col min="13" max="16384" width="9" style="1"/>
  </cols>
  <sheetData>
    <row r="2" s="1" customFormat="1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="1" customFormat="1" spans="1:10">
      <c r="A3" s="1">
        <v>500</v>
      </c>
      <c r="B3" s="1">
        <v>13.5</v>
      </c>
      <c r="C3" s="1">
        <v>3.55</v>
      </c>
      <c r="D3" s="2">
        <v>3.2</v>
      </c>
      <c r="E3" s="1">
        <v>2.5</v>
      </c>
      <c r="F3" s="1">
        <v>0.1</v>
      </c>
      <c r="G3" s="1">
        <v>9</v>
      </c>
      <c r="H3" s="1">
        <v>3</v>
      </c>
      <c r="J3" s="1">
        <v>1000</v>
      </c>
    </row>
    <row r="4" s="1" customFormat="1" spans="1:9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</row>
    <row r="5" s="1" customFormat="1" spans="1:9">
      <c r="A5" s="1">
        <v>0.15</v>
      </c>
      <c r="B5" s="1">
        <v>10</v>
      </c>
      <c r="C5" s="1">
        <v>15</v>
      </c>
      <c r="D5" s="1">
        <v>100</v>
      </c>
      <c r="E5" s="3">
        <v>0.5</v>
      </c>
      <c r="F5" s="1">
        <v>9.5</v>
      </c>
      <c r="G5" s="1">
        <f>B7+10</f>
        <v>34.85</v>
      </c>
      <c r="H5" s="1">
        <v>10</v>
      </c>
      <c r="I5" s="1">
        <v>7</v>
      </c>
    </row>
    <row r="6" s="1" customFormat="1" spans="1:7">
      <c r="A6" s="4" t="s">
        <v>19</v>
      </c>
      <c r="F6" s="1" t="s">
        <v>20</v>
      </c>
      <c r="G6" s="1">
        <f>B7*D3*1.3/B3</f>
        <v>7.65748148148148</v>
      </c>
    </row>
    <row r="7" s="1" customFormat="1" spans="1:2">
      <c r="A7" s="1" t="s">
        <v>21</v>
      </c>
      <c r="B7" s="1">
        <f>I5*C3</f>
        <v>24.85</v>
      </c>
    </row>
    <row r="8" s="1" customFormat="1" spans="1:11">
      <c r="A8" s="1" t="s">
        <v>22</v>
      </c>
      <c r="B8" s="2">
        <f>I5*A5</f>
        <v>1.05</v>
      </c>
      <c r="K8" s="1">
        <v>6.3</v>
      </c>
    </row>
    <row r="9" s="1" customFormat="1" spans="1:11">
      <c r="A9" s="1" t="s">
        <v>23</v>
      </c>
      <c r="B9" s="1">
        <f>(B7-B3)/B7</f>
        <v>0.456740442655936</v>
      </c>
      <c r="H9" s="1" t="s">
        <v>24</v>
      </c>
      <c r="K9" s="1">
        <v>7.35</v>
      </c>
    </row>
    <row r="10" s="1" customFormat="1" spans="1:14">
      <c r="A10" s="1" t="s">
        <v>25</v>
      </c>
      <c r="B10" s="2">
        <f>1-B9</f>
        <v>0.543259557344064</v>
      </c>
      <c r="H10" s="1" t="s">
        <v>26</v>
      </c>
      <c r="I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</row>
    <row r="11" s="1" customFormat="1" spans="1:14">
      <c r="A11" s="1" t="s">
        <v>32</v>
      </c>
      <c r="B11" s="1">
        <f>(B7-C5)/B7</f>
        <v>0.396378269617706</v>
      </c>
      <c r="H11" s="1" t="s">
        <v>33</v>
      </c>
      <c r="I11" s="1">
        <v>4.08</v>
      </c>
      <c r="K11" s="1">
        <v>6.9</v>
      </c>
      <c r="L11" s="1">
        <v>4.08</v>
      </c>
      <c r="M11" s="1">
        <v>0.587</v>
      </c>
      <c r="N11" s="1">
        <v>1.47</v>
      </c>
    </row>
    <row r="12" s="1" customFormat="1" spans="1:9">
      <c r="A12" s="1" t="s">
        <v>34</v>
      </c>
      <c r="B12" s="1">
        <f>(B7-B5)/B7</f>
        <v>0.597585513078471</v>
      </c>
      <c r="H12" s="1" t="s">
        <v>35</v>
      </c>
      <c r="I12" s="1">
        <v>2.95</v>
      </c>
    </row>
    <row r="13" s="1" customFormat="1" spans="1:12">
      <c r="A13" s="4" t="s">
        <v>36</v>
      </c>
      <c r="H13" s="1" t="s">
        <v>37</v>
      </c>
      <c r="I13" s="1">
        <v>2.17</v>
      </c>
      <c r="K13" s="1" t="s">
        <v>30</v>
      </c>
      <c r="L13" s="1">
        <f>N11*L11/(K11-N11)</f>
        <v>1.10453038674033</v>
      </c>
    </row>
    <row r="14" s="1" customFormat="1" spans="1:12">
      <c r="A14" s="1" t="s">
        <v>38</v>
      </c>
      <c r="B14" s="1">
        <f>(25/(A3/1000*J3/1000000000000))/1000000</f>
        <v>50000</v>
      </c>
      <c r="D14" s="1" t="s">
        <v>39</v>
      </c>
      <c r="E14" s="5" t="s">
        <v>40</v>
      </c>
      <c r="H14" s="1" t="s">
        <v>41</v>
      </c>
      <c r="I14" s="1">
        <v>1.62</v>
      </c>
      <c r="K14" s="1" t="s">
        <v>31</v>
      </c>
      <c r="L14" s="1">
        <f>M11*K11/(L11+M11)</f>
        <v>0.867859438611528</v>
      </c>
    </row>
    <row r="15" s="1" customFormat="1" spans="1:1">
      <c r="A15" s="4" t="s">
        <v>42</v>
      </c>
    </row>
    <row r="16" s="1" customFormat="1" spans="1:5">
      <c r="A16" s="1" t="s">
        <v>43</v>
      </c>
      <c r="B16" s="1">
        <f>D5/D3/1000</f>
        <v>0.03125</v>
      </c>
      <c r="D16" s="1" t="s">
        <v>39</v>
      </c>
      <c r="E16" s="5">
        <v>0.031</v>
      </c>
    </row>
    <row r="17" s="1" customFormat="1" spans="1:5">
      <c r="A17" s="1" t="s">
        <v>44</v>
      </c>
      <c r="B17" s="1">
        <v>12400</v>
      </c>
      <c r="D17" s="1" t="s">
        <v>39</v>
      </c>
      <c r="E17" s="5" t="s">
        <v>45</v>
      </c>
    </row>
    <row r="18" s="1" customFormat="1" spans="1:5">
      <c r="A18" s="1" t="s">
        <v>46</v>
      </c>
      <c r="B18" s="1">
        <f>(D3*B17*B16)/1.24</f>
        <v>1000</v>
      </c>
      <c r="D18" s="1" t="s">
        <v>39</v>
      </c>
      <c r="E18" s="1" t="s">
        <v>47</v>
      </c>
    </row>
    <row r="19" s="1" customFormat="1" spans="1:1">
      <c r="A19" s="4" t="s">
        <v>48</v>
      </c>
    </row>
    <row r="20" s="1" customFormat="1" spans="1:5">
      <c r="A20" s="1" t="s">
        <v>49</v>
      </c>
      <c r="B20" s="1">
        <f>(B3*B9/(E3*A3*1000))*1000000</f>
        <v>4.9327967806841</v>
      </c>
      <c r="D20" s="1" t="s">
        <v>39</v>
      </c>
      <c r="E20" s="5">
        <v>4.7</v>
      </c>
    </row>
    <row r="21" s="1" customFormat="1" spans="1:2">
      <c r="A21" s="1" t="s">
        <v>50</v>
      </c>
      <c r="B21" s="1">
        <f>D3/B10*POWER((1+1/12*(E3*B10/D3)^2),1/2)</f>
        <v>5.93441626728952</v>
      </c>
    </row>
    <row r="22" s="1" customFormat="1" spans="1:1">
      <c r="A22" s="4" t="s">
        <v>51</v>
      </c>
    </row>
    <row r="23" s="1" customFormat="1" spans="1:6">
      <c r="A23" s="1" t="s">
        <v>52</v>
      </c>
      <c r="B23" s="1">
        <f>D3*B9/(B8*E5*A3*1000)*1000000</f>
        <v>5.56788349142474</v>
      </c>
      <c r="D23" s="1" t="s">
        <v>39</v>
      </c>
      <c r="E23" s="2">
        <v>10</v>
      </c>
      <c r="F23" s="3"/>
    </row>
    <row r="24" s="1" customFormat="1" spans="1:2">
      <c r="A24" s="1" t="s">
        <v>53</v>
      </c>
      <c r="B24" s="1">
        <f>D3*POWER(B12/(1-B12),1/2)</f>
        <v>3.89953843422526</v>
      </c>
    </row>
    <row r="25" s="1" customFormat="1" spans="1:1">
      <c r="A25" s="4" t="s">
        <v>54</v>
      </c>
    </row>
    <row r="26" s="1" customFormat="1" spans="1:6">
      <c r="A26" s="1" t="s">
        <v>55</v>
      </c>
      <c r="B26" s="1">
        <f>0.245/F5</f>
        <v>0.0257894736842105</v>
      </c>
      <c r="D26" s="1" t="s">
        <v>39</v>
      </c>
      <c r="E26" s="2">
        <v>0.025</v>
      </c>
      <c r="F26" s="5"/>
    </row>
    <row r="27" s="1" customFormat="1" spans="1:1">
      <c r="A27" s="4" t="s">
        <v>56</v>
      </c>
    </row>
    <row r="28" s="1" customFormat="1" spans="1:2">
      <c r="A28" s="1" t="s">
        <v>57</v>
      </c>
      <c r="B28" s="1">
        <f>2/(B8*E23/1000000)</f>
        <v>190476.19047619</v>
      </c>
    </row>
    <row r="29" s="1" customFormat="1" spans="1:2">
      <c r="A29" s="1" t="s">
        <v>58</v>
      </c>
      <c r="B29" s="1">
        <f>(B8*B10^2)/(E20/1000000)</f>
        <v>65933.5093570111</v>
      </c>
    </row>
    <row r="30" s="1" customFormat="1" spans="1:2">
      <c r="A30" s="1" t="s">
        <v>59</v>
      </c>
      <c r="B30" s="1">
        <f>B10*310/(D3*E26)</f>
        <v>2105.13078470825</v>
      </c>
    </row>
    <row r="31" s="1" customFormat="1" spans="1:2">
      <c r="A31" s="1" t="s">
        <v>60</v>
      </c>
      <c r="B31" s="2">
        <f>MIN(B28:B29)</f>
        <v>65933.5093570111</v>
      </c>
    </row>
    <row r="32" s="1" customFormat="1" spans="1:2">
      <c r="A32" s="1" t="s">
        <v>61</v>
      </c>
      <c r="B32" s="1">
        <f>B31/(5*B30)</f>
        <v>6.26407725695284</v>
      </c>
    </row>
    <row r="33" s="1" customFormat="1" spans="1:6">
      <c r="A33" s="1" t="s">
        <v>62</v>
      </c>
      <c r="B33" s="1">
        <f>1/(B32*5*1000000)*1000000</f>
        <v>0.0319280864197531</v>
      </c>
      <c r="D33" s="1" t="s">
        <v>39</v>
      </c>
      <c r="E33" s="5">
        <v>0.033</v>
      </c>
      <c r="F33" s="1" t="s">
        <v>63</v>
      </c>
    </row>
    <row r="34" s="1" customFormat="1" spans="1:2">
      <c r="A34" s="1" t="s">
        <v>64</v>
      </c>
      <c r="B34" s="2">
        <f>MAX(B28:B29)</f>
        <v>190476.19047619</v>
      </c>
    </row>
    <row r="35" s="1" customFormat="1" spans="1:2">
      <c r="A35" s="1" t="s">
        <v>65</v>
      </c>
      <c r="B35" s="1">
        <f>B34*10</f>
        <v>1904761.9047619</v>
      </c>
    </row>
    <row r="36" s="1" customFormat="1" spans="1:5">
      <c r="A36" s="1" t="s">
        <v>66</v>
      </c>
      <c r="B36" s="1">
        <v>10</v>
      </c>
      <c r="D36" s="1" t="s">
        <v>39</v>
      </c>
      <c r="E36" s="1">
        <v>10</v>
      </c>
    </row>
    <row r="37" s="1" customFormat="1" spans="1:5">
      <c r="A37" s="1" t="s">
        <v>67</v>
      </c>
      <c r="B37" s="1">
        <f>1/(10*B35)*1000000</f>
        <v>0.0525</v>
      </c>
      <c r="D37" s="1" t="s">
        <v>39</v>
      </c>
      <c r="E37" s="5">
        <v>0.06</v>
      </c>
    </row>
    <row r="38" s="1" customFormat="1" spans="1:1">
      <c r="A38" s="4" t="s">
        <v>68</v>
      </c>
    </row>
    <row r="39" s="1" customFormat="1" spans="1:5">
      <c r="A39" s="1" t="s">
        <v>69</v>
      </c>
      <c r="B39" s="1">
        <f>E3/(8*F3*A3*1000)*1000000</f>
        <v>6.25</v>
      </c>
      <c r="D39" s="1" t="s">
        <v>39</v>
      </c>
      <c r="E39" s="5">
        <v>10</v>
      </c>
    </row>
    <row r="40" s="1" customFormat="1" spans="1:2">
      <c r="A40" s="1" t="s">
        <v>70</v>
      </c>
      <c r="B40" s="1">
        <f>B9/POWER(12,1/2)</f>
        <v>0.131849608758597</v>
      </c>
    </row>
    <row r="41" s="1" customFormat="1" spans="1:1">
      <c r="A41" s="4" t="s">
        <v>71</v>
      </c>
    </row>
    <row r="42" s="1" customFormat="1" spans="1:2">
      <c r="A42" s="1" t="s">
        <v>72</v>
      </c>
      <c r="B42" s="1">
        <v>13</v>
      </c>
    </row>
    <row r="43" s="1" customFormat="1" spans="1:5">
      <c r="A43" s="1" t="s">
        <v>73</v>
      </c>
      <c r="B43" s="1">
        <f>B7</f>
        <v>24.85</v>
      </c>
      <c r="D43" s="1" t="s">
        <v>39</v>
      </c>
      <c r="E43" s="1">
        <v>60</v>
      </c>
    </row>
    <row r="44" s="1" customFormat="1" spans="1:2">
      <c r="A44" s="1" t="s">
        <v>74</v>
      </c>
      <c r="B44" s="1">
        <f>B12/(1-B12)*D3</f>
        <v>4.752</v>
      </c>
    </row>
    <row r="45" s="1" customFormat="1" spans="1:2">
      <c r="A45" s="1" t="s">
        <v>75</v>
      </c>
      <c r="B45" s="1">
        <f>D3/B10*POWER(B9,1/2)</f>
        <v>3.98086396589383</v>
      </c>
    </row>
    <row r="46" s="1" customFormat="1" spans="1:2">
      <c r="A46" s="1" t="s">
        <v>76</v>
      </c>
      <c r="B46" s="1">
        <f>B45^2*B42/1000</f>
        <v>0.206014612894376</v>
      </c>
    </row>
    <row r="47" s="1" customFormat="1" spans="1:1">
      <c r="A47" s="4" t="s">
        <v>77</v>
      </c>
    </row>
    <row r="48" s="1" customFormat="1" spans="1:2">
      <c r="A48" s="1" t="s">
        <v>78</v>
      </c>
      <c r="B48" s="1">
        <v>0.7</v>
      </c>
    </row>
    <row r="49" s="1" customFormat="1" spans="1:5">
      <c r="A49" s="1" t="s">
        <v>79</v>
      </c>
      <c r="B49" s="1">
        <f>B7</f>
        <v>24.85</v>
      </c>
      <c r="D49" s="1" t="s">
        <v>39</v>
      </c>
      <c r="E49" s="1">
        <v>60</v>
      </c>
    </row>
    <row r="50" s="1" customFormat="1" spans="1:2">
      <c r="A50" s="6" t="s">
        <v>80</v>
      </c>
      <c r="B50" s="1">
        <f>D3</f>
        <v>3.2</v>
      </c>
    </row>
    <row r="51" s="1" customFormat="1" spans="1:2">
      <c r="A51" s="1" t="s">
        <v>81</v>
      </c>
      <c r="B51" s="1">
        <f>B50*B48</f>
        <v>2.24</v>
      </c>
    </row>
    <row r="52" s="1" customFormat="1" spans="1:1">
      <c r="A52" s="4" t="s">
        <v>82</v>
      </c>
    </row>
    <row r="53" s="1" customFormat="1" spans="1:5">
      <c r="A53" s="1" t="s">
        <v>83</v>
      </c>
      <c r="B53" s="1">
        <f>H5/(23/1000)</f>
        <v>434.782608695652</v>
      </c>
      <c r="D53" s="1" t="s">
        <v>39</v>
      </c>
      <c r="E53" s="5">
        <v>430</v>
      </c>
    </row>
    <row r="54" s="1" customFormat="1" spans="1:2">
      <c r="A54" s="1" t="s">
        <v>84</v>
      </c>
      <c r="B54" s="1">
        <f>E53*1000*23/1000000</f>
        <v>9.89</v>
      </c>
    </row>
    <row r="55" s="1" customFormat="1" spans="1:6">
      <c r="A55" s="1" t="s">
        <v>85</v>
      </c>
      <c r="B55" s="1">
        <f>1.24*B53/(G5-1.24)</f>
        <v>16.0407746141806</v>
      </c>
      <c r="D55" s="1" t="s">
        <v>39</v>
      </c>
      <c r="E55" s="5">
        <v>16</v>
      </c>
      <c r="F55" s="7" t="s">
        <v>86</v>
      </c>
    </row>
    <row r="56" s="1" customFormat="1" spans="1:2">
      <c r="A56" s="1" t="s">
        <v>87</v>
      </c>
      <c r="B56" s="1">
        <f>1.24*(0.5+E53*1000+E55*1000)/(E55*1000)</f>
        <v>34.56503875</v>
      </c>
    </row>
    <row r="57" s="1" customFormat="1" spans="1:1">
      <c r="A57" s="4" t="s">
        <v>88</v>
      </c>
    </row>
    <row r="58" s="1" customFormat="1" spans="1:5">
      <c r="A58" s="1" t="s">
        <v>89</v>
      </c>
      <c r="B58" s="1">
        <v>10</v>
      </c>
      <c r="D58" s="1" t="s">
        <v>39</v>
      </c>
      <c r="E58" s="1">
        <v>10</v>
      </c>
    </row>
    <row r="59" s="1" customFormat="1" spans="1:5">
      <c r="A59" s="1" t="s">
        <v>90</v>
      </c>
      <c r="B59" s="1">
        <f>1.24*B58/(G3-1.24)</f>
        <v>1.5979381443299</v>
      </c>
      <c r="D59" s="1" t="s">
        <v>39</v>
      </c>
      <c r="E59" s="1">
        <v>1.5</v>
      </c>
    </row>
    <row r="60" s="1" customFormat="1" spans="1:5">
      <c r="A60" s="1" t="s">
        <v>91</v>
      </c>
      <c r="B60" s="1">
        <f>E59*(H3-23/1000000*E58)/(23/1000000*(E58+E59))/1000</f>
        <v>17.0119281663516</v>
      </c>
      <c r="D60" s="1" t="s">
        <v>39</v>
      </c>
      <c r="E60" s="5">
        <v>17</v>
      </c>
    </row>
    <row r="61" s="1" customFormat="1" spans="1:6">
      <c r="A61" s="1" t="s">
        <v>92</v>
      </c>
      <c r="B61" s="1">
        <f>23/1000000*(E58+(E60*(E59+E58)/E59))*1000</f>
        <v>3.22766666666667</v>
      </c>
      <c r="F61" s="8" t="s">
        <v>93</v>
      </c>
    </row>
    <row r="62" s="1" customFormat="1" spans="1:6">
      <c r="A62" s="1" t="s">
        <v>94</v>
      </c>
      <c r="B62" s="1">
        <f>1.24*(E58+E59)/E59</f>
        <v>9.50666666666667</v>
      </c>
      <c r="F62" s="8" t="s">
        <v>93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WPS_1622512147</cp:lastModifiedBy>
  <dcterms:created xsi:type="dcterms:W3CDTF">2022-03-28T03:49:00Z</dcterms:created>
  <dcterms:modified xsi:type="dcterms:W3CDTF">2023-12-19T08:06:56Z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1A5D08D3D4C14C58BF691DEBCFF826B0</vt:lpwstr>
  </property>
  <property fmtid="{D5CDD505-2E9C-101B-9397-08002B2CF9AE}" pid="3" name="KSOProductBuildVer">
    <vt:lpwstr>2052-12.1.0.15990</vt:lpwstr>
  </property>
</Properties>
</file>