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370" activeTab="1"/>
  </bookViews>
  <sheets>
    <sheet name="Intro" sheetId="1" r:id="rId1"/>
    <sheet name="Design Equations CCM" sheetId="2" r:id="rId2"/>
    <sheet name="Small Signal" sheetId="3" r:id="rId3"/>
    <sheet name="partdata" sheetId="4" state="hidden" r:id="rId4"/>
    <sheet name="Std. R and C Values" sheetId="5" state="hidden" r:id="rId5"/>
  </sheets>
  <definedNames>
    <definedName name="C_f1">'Std. R and C Values'!$K$18</definedName>
    <definedName name="C_f2">'Std. R and C Values'!$K$25</definedName>
    <definedName name="c_s1">'Std. R and C Values'!$J$7</definedName>
    <definedName name="C_s2">'Std. R and C Values'!$J$20</definedName>
    <definedName name="Ccomp">'Design Equations CCM'!$B$155*10^-9</definedName>
    <definedName name="Cin">'Design Equations CCM'!$B$120*10^-6</definedName>
    <definedName name="Cj">'Design Equations CCM'!$B$113*10^-12</definedName>
    <definedName name="Co">'Design Equations CCM'!$B$107*10^-6</definedName>
    <definedName name="Co_derating">'Design Equations CCM'!$B$105</definedName>
    <definedName name="Co_selected">'Design Equations CCM'!$B$106</definedName>
    <definedName name="Coea">'Design Equations CCM'!$B$182*10^-6</definedName>
    <definedName name="Cpole">'Design Equations CCM'!$B$158*10^-12</definedName>
    <definedName name="Css">'Design Equations CCM'!$B$141*10^-9</definedName>
    <definedName name="dI">'Design Equations CCM'!$B$13</definedName>
    <definedName name="Dmax">'Design Equations CCM'!$B$80</definedName>
    <definedName name="dV">'Design Equations CCM'!$B$12</definedName>
    <definedName name="dV_percent">'Design Equations CCM'!$B$11</definedName>
    <definedName name="E12_f">'Std. R and C Values'!$F$22</definedName>
    <definedName name="E12_s">'Std. R and C Values'!$E$11</definedName>
    <definedName name="E24_f">'Std. R and C Values'!$F$47</definedName>
    <definedName name="E24_s">'Std. R and C Values'!$E$24</definedName>
    <definedName name="E48_f">'Std. R and C Values'!$F$96</definedName>
    <definedName name="E48_s">'Std. R and C Values'!$E$49</definedName>
    <definedName name="E6_f">'Std. R and C Values'!$F$9</definedName>
    <definedName name="E6_s">'Std. R and C Values'!$E$4</definedName>
    <definedName name="E96_f">'Std. R and C Values'!$H$99</definedName>
    <definedName name="E96_s">'Std. R and C Values'!$G$4</definedName>
    <definedName name="ESR">'Design Equations CCM'!$B$109</definedName>
    <definedName name="fco">'Design Equations CCM'!$B$150*10^3</definedName>
    <definedName name="fpole">'Design Equations CCM'!$B$146*1000</definedName>
    <definedName name="fsw">'Design Equations CCM'!$B$73*10^3</definedName>
    <definedName name="fsw_max">'Design Equations CCM'!$B$183*1000</definedName>
    <definedName name="fsw_min">'Design Equations CCM'!$B$184*10^3</definedName>
    <definedName name="fzero">'Design Equations CCM'!$B$147*1000</definedName>
    <definedName name="gmea">'Design Equations CCM'!$B$175*10^-6</definedName>
    <definedName name="gmps">'Design Equations CCM'!$B$176</definedName>
    <definedName name="I_1">'Design Equations CCM'!$B$179*10^-6</definedName>
    <definedName name="IB2PH">'Design Equations CCM'!$B$81</definedName>
    <definedName name="Ihys">'Design Equations CCM'!$B$180*10^-6</definedName>
    <definedName name="Ilim">'Design Equations CCM'!$B$185</definedName>
    <definedName name="IOH">'Design Equations CCM'!$B$100</definedName>
    <definedName name="IOL">'Design Equations CCM'!$B$101</definedName>
    <definedName name="Iout">'Design Equations CCM'!$B$14</definedName>
    <definedName name="Iout_min">'Design Equations CCM'!$B$15</definedName>
    <definedName name="Iq">'Design Equations CCM'!$B$186*10^-6</definedName>
    <definedName name="Iripple">'Design Equations CCM'!$B$92</definedName>
    <definedName name="Iss">'Design Equations CCM'!$B$189*10^-6</definedName>
    <definedName name="Kind">'Design Equations CCM'!$B$88</definedName>
    <definedName name="L">'Design Equations CCM'!$B$90*10^-6</definedName>
    <definedName name="_xlnm.Print_Area" localSheetId="4">'Std. R and C Values'!$A$2:$I$46</definedName>
    <definedName name="Rcomp">'Design Equations CCM'!$B$153*1000</definedName>
    <definedName name="Rdc">'Design Equations CCM'!$B$91*10^-3</definedName>
    <definedName name="Rdson">'Design Equations CCM'!$B$188*10^-3</definedName>
    <definedName name="Rdson_est">'Design Equations CCM'!$B$84</definedName>
    <definedName name="Rhs">'Design Equations CCM'!$B$135*1000</definedName>
    <definedName name="Rls">'Design Equations CCM'!$B$133*1000</definedName>
    <definedName name="Rt">'Design Equations CCM'!$B$75*10^3</definedName>
    <definedName name="Ruvlo1">'Design Equations CCM'!$B$125*10^3</definedName>
    <definedName name="Ruvlo2">'Design Equations CCM'!$B$127*10^3</definedName>
    <definedName name="Se">'Design Equations CCM'!$B$177</definedName>
    <definedName name="ton_min">'Design Equations CCM'!$B$187*10^-9</definedName>
    <definedName name="tss">'Design Equations CCM'!$B$139*10^-3</definedName>
    <definedName name="VB2PH">'Design Equations CCM'!$B$83</definedName>
    <definedName name="VBOOT">'Design Equations CCM'!$B$82</definedName>
    <definedName name="Vd">'Design Equations CCM'!$B$112</definedName>
    <definedName name="Vena">'Design Equations CCM'!$B$181</definedName>
    <definedName name="Vin_max">'Design Equations CCM'!$B$7</definedName>
    <definedName name="Vin_min">'Design Equations CCM'!$B$8</definedName>
    <definedName name="Vin_nom">'Design Equations CCM'!$B$6</definedName>
    <definedName name="Vinripple">'Design Equations CCM'!$B$118*10^-3</definedName>
    <definedName name="Vmax_dev">'Design Equations CCM'!$B$174</definedName>
    <definedName name="Vmin_dev">'Design Equations CCM'!$B$173</definedName>
    <definedName name="Vout">'Design Equations CCM'!$B$9</definedName>
    <definedName name="Vout_max">'Design Equations CCM'!$B$85</definedName>
    <definedName name="Voutsc">'Design Equations CCM'!$B$18</definedName>
    <definedName name="Vref">'Design Equations CCM'!$B$178</definedName>
    <definedName name="Vripple">'Design Equations CCM'!$B$10</definedName>
    <definedName name="Vstart">'Design Equations CCM'!$B$16</definedName>
    <definedName name="Vstop">'Design Equations CCM'!$B$17</definedName>
  </definedNames>
  <calcPr fullCalcOnLoad="1"/>
</workbook>
</file>

<file path=xl/comments2.xml><?xml version="1.0" encoding="utf-8"?>
<comments xmlns="http://schemas.openxmlformats.org/spreadsheetml/2006/main">
  <authors>
    <author>Anthony Fagnani</author>
  </authors>
  <commentList>
    <comment ref="D28" authorId="0">
      <text>
        <r>
          <rPr>
            <sz val="8"/>
            <rFont val="Tahoma"/>
            <family val="2"/>
          </rPr>
          <t xml:space="preserve">Saturation current rating should at a minimum be 20% greater than the steady state peak current in the inductor or the typical current limit.
</t>
        </r>
      </text>
    </comment>
    <comment ref="B18" authorId="0">
      <text>
        <r>
          <rPr>
            <sz val="9"/>
            <rFont val="Tahoma"/>
            <family val="2"/>
          </rPr>
          <t>Expected output voltage in a short circuit event.</t>
        </r>
      </text>
    </comment>
    <comment ref="B71" authorId="0">
      <text>
        <r>
          <rPr>
            <sz val="9"/>
            <rFont val="Tahoma"/>
            <family val="2"/>
          </rPr>
          <t>Maximum switching frequency to avoid pulse skipping.</t>
        </r>
      </text>
    </comment>
    <comment ref="B72" authorId="0">
      <text>
        <r>
          <rPr>
            <sz val="9"/>
            <rFont val="Tahoma"/>
            <family val="2"/>
          </rPr>
          <t>Maximum switching frequency for frequency shift protection.</t>
        </r>
      </text>
    </comment>
    <comment ref="B88" authorId="0">
      <text>
        <r>
          <rPr>
            <sz val="9"/>
            <rFont val="Tahoma"/>
            <family val="2"/>
          </rPr>
          <t>Represent inductor current ripple percentage of output current.</t>
        </r>
      </text>
    </comment>
    <comment ref="B100" authorId="0">
      <text>
        <r>
          <rPr>
            <sz val="9"/>
            <rFont val="Tahoma"/>
            <family val="2"/>
          </rPr>
          <t>High load for load transient requirement.</t>
        </r>
      </text>
    </comment>
    <comment ref="B101" authorId="0">
      <text>
        <r>
          <rPr>
            <sz val="9"/>
            <rFont val="Tahoma"/>
            <family val="2"/>
          </rPr>
          <t>Low load for load transient requirement.</t>
        </r>
      </text>
    </comment>
    <comment ref="B105" authorId="0">
      <text>
        <r>
          <rPr>
            <sz val="9"/>
            <rFont val="Tahoma"/>
            <family val="2"/>
          </rPr>
          <t>Ceramic capacitors must be derated based on the DC bias. This is important for compensation calculations.</t>
        </r>
      </text>
    </comment>
    <comment ref="B124" authorId="0">
      <text>
        <r>
          <rPr>
            <sz val="9"/>
            <rFont val="Tahoma"/>
            <family val="2"/>
          </rPr>
          <t>This equation includes any effects of voltage hysteresis on the EN pin. For the TPS54340/60 the extra terms cancel to match equation 38.</t>
        </r>
      </text>
    </comment>
    <comment ref="B156" authorId="0">
      <text>
        <r>
          <rPr>
            <sz val="9"/>
            <rFont val="Tahoma"/>
            <family val="2"/>
          </rPr>
          <t>Cpole value to cancel the ESR zero of the selected output capacitor.</t>
        </r>
      </text>
    </comment>
    <comment ref="B157" authorId="0">
      <text>
        <r>
          <rPr>
            <sz val="9"/>
            <rFont val="Tahoma"/>
            <family val="2"/>
          </rPr>
          <t>Cpole value for high frequency roll off.</t>
        </r>
      </text>
    </comment>
    <comment ref="B120" authorId="0">
      <text>
        <r>
          <rPr>
            <sz val="9"/>
            <rFont val="Tahoma"/>
            <family val="2"/>
          </rPr>
          <t xml:space="preserve">A minimum of 3 µF effective ceramic capacitance is required next to the VIN pin. Some applications will benefit from additional bulk capacitance.
</t>
        </r>
      </text>
    </comment>
  </commentList>
</comments>
</file>

<file path=xl/sharedStrings.xml><?xml version="1.0" encoding="utf-8"?>
<sst xmlns="http://schemas.openxmlformats.org/spreadsheetml/2006/main" count="510" uniqueCount="332">
  <si>
    <t>TPS54360/TPS54361 Family Design Calculator</t>
  </si>
  <si>
    <t>Design Calculator Tool - Rev. E</t>
  </si>
  <si>
    <t>This tool supports the TPS54360/361 family of 42V and 60V nonsynchronous buck converters</t>
  </si>
  <si>
    <t>This worksheet is designed for use with Microsoft Excel 2002 or later.  It is intended to assist circuit designers in calculations.  Additional worksheets may be added as they are completed.</t>
  </si>
  <si>
    <t>The calculator includes power stage design in CCM</t>
  </si>
  <si>
    <t>The calculator provides the small signal gain and phase for the final design</t>
  </si>
  <si>
    <t>Important:  Analysis Toolpak is needed to run small signal worksheet.   Go to Tools&gt;Add-Ins&gt; select Analysis Toolpak</t>
  </si>
  <si>
    <t>All worksheets contain yellow user-input cells, light blue calculated cells, and light gray constants cells.</t>
  </si>
  <si>
    <t>Note: there is no password to unlock this excel spreadsheet for editing.</t>
  </si>
  <si>
    <t>Disclaimer:</t>
  </si>
  <si>
    <t>This product is designed as an aid for customers of Texas Instruments.  No warranties, either express or implied, with respect to this software or its fitness for any particular purpose is made by Texas Instruments or the author.  The software is licensed solely on an "as is" basis.  The entire risk as to its quality and performance is with the user.</t>
  </si>
  <si>
    <t>TPS54360 and TPS54361 Family Non-Synchronous Buck Converter CCM Design Equations</t>
  </si>
  <si>
    <t>Select a device from the dropdown menu</t>
  </si>
  <si>
    <t>TPS54360</t>
  </si>
  <si>
    <t>User-input Cells</t>
  </si>
  <si>
    <t>Calculated Cells</t>
  </si>
  <si>
    <t>Input power supply specifications</t>
  </si>
  <si>
    <t>Value</t>
  </si>
  <si>
    <t>Units</t>
  </si>
  <si>
    <t>Constants Cells</t>
  </si>
  <si>
    <t>Vin nom</t>
  </si>
  <si>
    <t>V</t>
  </si>
  <si>
    <t>Vin max</t>
  </si>
  <si>
    <t>Parts supported</t>
  </si>
  <si>
    <t>Vin min</t>
  </si>
  <si>
    <t>TPS54340</t>
  </si>
  <si>
    <t>42 V 3.5 A</t>
  </si>
  <si>
    <t>Output voltage</t>
  </si>
  <si>
    <t>TPS54341</t>
  </si>
  <si>
    <t>42 V 3.5 A with SS/TR and PWRGD</t>
  </si>
  <si>
    <t>Output voltage ripple (Vripple, 0.5% default)</t>
  </si>
  <si>
    <t>60 V 3.5 A</t>
  </si>
  <si>
    <t>Transient response voltage change (%)</t>
  </si>
  <si>
    <t>%</t>
  </si>
  <si>
    <t>TPS54361</t>
  </si>
  <si>
    <t>60 V 3.5 A with SS/TR and PWRGD</t>
  </si>
  <si>
    <t>Transient response voltage change (V)</t>
  </si>
  <si>
    <t>TPS54540</t>
  </si>
  <si>
    <t>42 V 5 A</t>
  </si>
  <si>
    <t>Transient response current step</t>
  </si>
  <si>
    <t>A</t>
  </si>
  <si>
    <t>TPS54541</t>
  </si>
  <si>
    <t>42 V 5 A with SS/TR and PWRGD</t>
  </si>
  <si>
    <t>Max output current</t>
  </si>
  <si>
    <t>TPS54560</t>
  </si>
  <si>
    <t>60 V 5 A</t>
  </si>
  <si>
    <t>Min output current</t>
  </si>
  <si>
    <t>TPS54561</t>
  </si>
  <si>
    <t>60 V 5 A with SS/TR and PWRGD</t>
  </si>
  <si>
    <t>UVLO start voltage</t>
  </si>
  <si>
    <t>UVLO stop voltage</t>
  </si>
  <si>
    <t>Voutsc</t>
  </si>
  <si>
    <t>fsw</t>
  </si>
  <si>
    <t>kHz</t>
  </si>
  <si>
    <t>Schematic and list of components</t>
  </si>
  <si>
    <t>Selected component values and their minimum ratings</t>
  </si>
  <si>
    <t>U1</t>
  </si>
  <si>
    <t>D</t>
  </si>
  <si>
    <t>D1</t>
  </si>
  <si>
    <t>CIN</t>
  </si>
  <si>
    <t>CO</t>
  </si>
  <si>
    <t>CBOOT</t>
  </si>
  <si>
    <t>C4</t>
  </si>
  <si>
    <t>8V</t>
  </si>
  <si>
    <t>LO</t>
  </si>
  <si>
    <t>L1</t>
  </si>
  <si>
    <t>RT</t>
  </si>
  <si>
    <t>R3</t>
  </si>
  <si>
    <t>RUVLO1</t>
  </si>
  <si>
    <t>R1</t>
  </si>
  <si>
    <t>RUVLO2</t>
  </si>
  <si>
    <t>R2</t>
  </si>
  <si>
    <t>RHS</t>
  </si>
  <si>
    <t>R5</t>
  </si>
  <si>
    <t>RLS</t>
  </si>
  <si>
    <t>R6</t>
  </si>
  <si>
    <t>RCOMP</t>
  </si>
  <si>
    <t>R4</t>
  </si>
  <si>
    <t>CCOMP</t>
  </si>
  <si>
    <t>C5</t>
  </si>
  <si>
    <t>CPOLE</t>
  </si>
  <si>
    <t>C8</t>
  </si>
  <si>
    <t>CSS</t>
  </si>
  <si>
    <t>n/a</t>
  </si>
  <si>
    <t>3V</t>
  </si>
  <si>
    <t>Select switching frequency</t>
  </si>
  <si>
    <t>TPS54360 datasheet equation #</t>
  </si>
  <si>
    <t>fsw skip</t>
  </si>
  <si>
    <t>eq 7</t>
  </si>
  <si>
    <t>fsw shift</t>
  </si>
  <si>
    <t>eq 8</t>
  </si>
  <si>
    <t>Rt resistor value and nearest STD 1% value</t>
  </si>
  <si>
    <t>kΩ</t>
  </si>
  <si>
    <t>eq 5</t>
  </si>
  <si>
    <t>Rt resistor value chosen</t>
  </si>
  <si>
    <t>fsw calculated with resistor selected resistor</t>
  </si>
  <si>
    <t>eq 4</t>
  </si>
  <si>
    <t>Estimated on time (with Vin max)</t>
  </si>
  <si>
    <t>ns</t>
  </si>
  <si>
    <t>Maximum output voltage for monotonic heavy load startup</t>
  </si>
  <si>
    <t>Dmax</t>
  </si>
  <si>
    <t>IB2PH</t>
  </si>
  <si>
    <t>VBOOT</t>
  </si>
  <si>
    <t>VB2PH</t>
  </si>
  <si>
    <t>Rdson</t>
  </si>
  <si>
    <t>Ω</t>
  </si>
  <si>
    <t>Vout_max</t>
  </si>
  <si>
    <t>Select output inductor</t>
  </si>
  <si>
    <t>Kind</t>
  </si>
  <si>
    <t>Lomin</t>
  </si>
  <si>
    <t>µH</t>
  </si>
  <si>
    <t>eq 26</t>
  </si>
  <si>
    <t>L chosen</t>
  </si>
  <si>
    <t>Rdc</t>
  </si>
  <si>
    <t>mΩ</t>
  </si>
  <si>
    <t>Iripple (Vin max, Vin nom, Vin min)</t>
  </si>
  <si>
    <t>eq 27</t>
  </si>
  <si>
    <t>Ilrms (Vin max, Vin nom, Vin min)</t>
  </si>
  <si>
    <t>eq 28</t>
  </si>
  <si>
    <t>Ilpeak  (Vin max, Vin nom, Vin min)</t>
  </si>
  <si>
    <t>eq 29</t>
  </si>
  <si>
    <t>Iomin for CCM operation (Vin max, Vin nom, Vin min)</t>
  </si>
  <si>
    <t>Estimated Ipsm threshold (Vin max, Vin nom, Vin min)</t>
  </si>
  <si>
    <t>Select output capacitor(s)</t>
  </si>
  <si>
    <t xml:space="preserve">Icorms (Output rms ripple current) </t>
  </si>
  <si>
    <t>eq 34</t>
  </si>
  <si>
    <t>IOH</t>
  </si>
  <si>
    <t>IOL</t>
  </si>
  <si>
    <t>Co has to be greater than Co1</t>
  </si>
  <si>
    <t>µF</t>
  </si>
  <si>
    <t>eq 30</t>
  </si>
  <si>
    <t>Co has to be greater than Co2</t>
  </si>
  <si>
    <t>eq 31</t>
  </si>
  <si>
    <t>Co has to be greater than Co3</t>
  </si>
  <si>
    <t>eq 32</t>
  </si>
  <si>
    <t>Co derating based on Vout bias</t>
  </si>
  <si>
    <t>Co chosen</t>
  </si>
  <si>
    <t>Co final value based on derating</t>
  </si>
  <si>
    <t>Derate for voltage bias</t>
  </si>
  <si>
    <t>Resr has to be less than</t>
  </si>
  <si>
    <t>eq 33</t>
  </si>
  <si>
    <t>Resr chosen</t>
  </si>
  <si>
    <t>Select catch diode</t>
  </si>
  <si>
    <t>Diode LS</t>
  </si>
  <si>
    <t>Junction Capacitance</t>
  </si>
  <si>
    <t>pF</t>
  </si>
  <si>
    <t>PD (Vin nom, Vin max, Vin min)</t>
  </si>
  <si>
    <t>W</t>
  </si>
  <si>
    <t>eq 35</t>
  </si>
  <si>
    <t>Select input capacitor(s)</t>
  </si>
  <si>
    <t>Icirms (Input rms ripple current)</t>
  </si>
  <si>
    <t>eq 36</t>
  </si>
  <si>
    <t>Target Vin ripple (0.5% Vin nom default)</t>
  </si>
  <si>
    <t>mV</t>
  </si>
  <si>
    <t>Cin min (for target Vin ripple)</t>
  </si>
  <si>
    <t>Cin chosen</t>
  </si>
  <si>
    <t>Vin ripple</t>
  </si>
  <si>
    <t>eq 37</t>
  </si>
  <si>
    <t>Select UVLO resistors (optional)</t>
  </si>
  <si>
    <t>Ruvlo1 (top resistor in the voltage divider) and nearest STD 1% value</t>
  </si>
  <si>
    <t>eq 38</t>
  </si>
  <si>
    <t>Ruvlo1 chosen</t>
  </si>
  <si>
    <t>Ruvlo2 (bottom resistor in the voltage divider) and nearest STD 1% value</t>
  </si>
  <si>
    <t>eq 39</t>
  </si>
  <si>
    <t>Ruvlo2 chosen</t>
  </si>
  <si>
    <t>VSTART calc</t>
  </si>
  <si>
    <t>rearrange eq39</t>
  </si>
  <si>
    <t>VSTOP calc</t>
  </si>
  <si>
    <t>rearrange eq38</t>
  </si>
  <si>
    <t>VEN max</t>
  </si>
  <si>
    <t>voltage divider</t>
  </si>
  <si>
    <t>Set output voltage</t>
  </si>
  <si>
    <t>Rls (bottom of voltage divider) and nearest STD 1% value</t>
  </si>
  <si>
    <t>Rhs (top of voltage divider) and nearest STD 1% value</t>
  </si>
  <si>
    <t>eq 40</t>
  </si>
  <si>
    <t>Rhs chosen</t>
  </si>
  <si>
    <t>Vout with selected divider</t>
  </si>
  <si>
    <t>rearrange eq 40</t>
  </si>
  <si>
    <t>Internal soft start time</t>
  </si>
  <si>
    <t>Soft start time</t>
  </si>
  <si>
    <t>ms</t>
  </si>
  <si>
    <t>Soft start capacitor</t>
  </si>
  <si>
    <t>nF</t>
  </si>
  <si>
    <t>Selected soft start capacitor</t>
  </si>
  <si>
    <t>Compensate error amplifier</t>
  </si>
  <si>
    <t>Power stage</t>
  </si>
  <si>
    <t>fpole Hz</t>
  </si>
  <si>
    <t>eq 41</t>
  </si>
  <si>
    <t>fzero Hz</t>
  </si>
  <si>
    <t>eq 42</t>
  </si>
  <si>
    <t>fco1</t>
  </si>
  <si>
    <t>eq 43</t>
  </si>
  <si>
    <t>fco2</t>
  </si>
  <si>
    <t>eq 44</t>
  </si>
  <si>
    <t>Crossover Frequency Target (fc) lower of fco1 and fco2</t>
  </si>
  <si>
    <t>Compensation</t>
  </si>
  <si>
    <t>Rcomp and nearest STD 1% value</t>
  </si>
  <si>
    <t>eq 45</t>
  </si>
  <si>
    <t>Rcomp chosen</t>
  </si>
  <si>
    <t>Ccomp and nearest STD value</t>
  </si>
  <si>
    <t>eq 46</t>
  </si>
  <si>
    <t>Ccomp chosen</t>
  </si>
  <si>
    <t>Cpole1 and nearest STD value</t>
  </si>
  <si>
    <t>eq 47</t>
  </si>
  <si>
    <t>Cpole2 and nearest STD value</t>
  </si>
  <si>
    <t>eq 48</t>
  </si>
  <si>
    <t>Cpole chosen</t>
  </si>
  <si>
    <t>See Small Signal sheet for frequency response</t>
  </si>
  <si>
    <t>Estimate IC power dissipation (assumes 25 deg C ambient)</t>
  </si>
  <si>
    <t>eq 49</t>
  </si>
  <si>
    <t>Pcond (Vin nom, Vin max, Vin min)</t>
  </si>
  <si>
    <t>Psw (Vin nom, Vin max, Vin min)</t>
  </si>
  <si>
    <t>eq 50</t>
  </si>
  <si>
    <t>Pgd (Vin nom, Vin max, Vin min)</t>
  </si>
  <si>
    <t>eq 51</t>
  </si>
  <si>
    <t>Pq (Vin nom, Vin max, Vin min)</t>
  </si>
  <si>
    <t>eq 52</t>
  </si>
  <si>
    <t>Ptot (Vin nom, Vin max, Vin min)</t>
  </si>
  <si>
    <t>eq 53</t>
  </si>
  <si>
    <t>Theta JA Board</t>
  </si>
  <si>
    <t>deg C/W</t>
  </si>
  <si>
    <t>Ta max</t>
  </si>
  <si>
    <t>deg C</t>
  </si>
  <si>
    <t>Pmax IC</t>
  </si>
  <si>
    <t>Device constants</t>
  </si>
  <si>
    <t>Vmin device</t>
  </si>
  <si>
    <t>Vmax device</t>
  </si>
  <si>
    <t>gmea</t>
  </si>
  <si>
    <t>Mhos</t>
  </si>
  <si>
    <t>gmps</t>
  </si>
  <si>
    <t>A/V</t>
  </si>
  <si>
    <t>Se</t>
  </si>
  <si>
    <t>Vref</t>
  </si>
  <si>
    <t>I1 (Enable current - 50mV)</t>
  </si>
  <si>
    <t>Ihysteresis</t>
  </si>
  <si>
    <t>Vena start</t>
  </si>
  <si>
    <t>CO of error amplifier</t>
  </si>
  <si>
    <t>fsw max range</t>
  </si>
  <si>
    <t>fsw min range</t>
  </si>
  <si>
    <t>I current limit</t>
  </si>
  <si>
    <t>Iq non switching</t>
  </si>
  <si>
    <t>ton min</t>
  </si>
  <si>
    <t>sec</t>
  </si>
  <si>
    <t>Iss</t>
  </si>
  <si>
    <t>µA</t>
  </si>
  <si>
    <t>Ven max</t>
  </si>
  <si>
    <t>Values for plotting</t>
  </si>
  <si>
    <t>From design equations</t>
  </si>
  <si>
    <t>freq</t>
  </si>
  <si>
    <t>s=2*pi*freq*i</t>
  </si>
  <si>
    <t>power stage gain</t>
  </si>
  <si>
    <t>power stage phase</t>
  </si>
  <si>
    <t>overall gain</t>
  </si>
  <si>
    <t>overall phase</t>
  </si>
  <si>
    <t>CCM Peak CMC complex</t>
  </si>
  <si>
    <t>Gain-dB</t>
  </si>
  <si>
    <t>Phase Degrees</t>
  </si>
  <si>
    <t>CCM Peak DMC complex</t>
  </si>
  <si>
    <t>Compensation Complex</t>
  </si>
  <si>
    <t>Comp Gain</t>
  </si>
  <si>
    <t>Comp Phase</t>
  </si>
  <si>
    <t>Overall ccm</t>
  </si>
  <si>
    <t>Gain Phase</t>
  </si>
  <si>
    <t>Overall dcm</t>
  </si>
  <si>
    <t>Vin</t>
  </si>
  <si>
    <t>Vout</t>
  </si>
  <si>
    <t>Iout (for plot)</t>
  </si>
  <si>
    <t>Rhs feedback</t>
  </si>
  <si>
    <t>Rls feedback</t>
  </si>
  <si>
    <t>Rcomp</t>
  </si>
  <si>
    <t>Ccomp</t>
  </si>
  <si>
    <t>Cpole</t>
  </si>
  <si>
    <t>Lo</t>
  </si>
  <si>
    <t>Co</t>
  </si>
  <si>
    <t>Resr</t>
  </si>
  <si>
    <t>R</t>
  </si>
  <si>
    <t>Rc</t>
  </si>
  <si>
    <t>Ioutmax</t>
  </si>
  <si>
    <t>Ioutmin</t>
  </si>
  <si>
    <t>Aol</t>
  </si>
  <si>
    <t>BW</t>
  </si>
  <si>
    <t>Ri</t>
  </si>
  <si>
    <t>Co err amp</t>
  </si>
  <si>
    <t>Ro err amp</t>
  </si>
  <si>
    <t>wo</t>
  </si>
  <si>
    <t>esr zero</t>
  </si>
  <si>
    <t>DCM &gt;= 1</t>
  </si>
  <si>
    <t>Fm</t>
  </si>
  <si>
    <t>Sn</t>
  </si>
  <si>
    <t>Ddcm</t>
  </si>
  <si>
    <t>Hd</t>
  </si>
  <si>
    <t>a1</t>
  </si>
  <si>
    <t>a2</t>
  </si>
  <si>
    <t>wz1</t>
  </si>
  <si>
    <t>C0</t>
  </si>
  <si>
    <t>C1</t>
  </si>
  <si>
    <t>D0</t>
  </si>
  <si>
    <t>D2</t>
  </si>
  <si>
    <t>Part Number</t>
  </si>
  <si>
    <t>PWR Number</t>
  </si>
  <si>
    <t>CIN RD</t>
  </si>
  <si>
    <t>COUT RD</t>
  </si>
  <si>
    <t>Vdev min</t>
  </si>
  <si>
    <t>Vdev max</t>
  </si>
  <si>
    <t>I1</t>
  </si>
  <si>
    <t>Ihyst</t>
  </si>
  <si>
    <t>CO ea</t>
  </si>
  <si>
    <t>fsw max</t>
  </si>
  <si>
    <t>Rhs</t>
  </si>
  <si>
    <t>Rt</t>
  </si>
  <si>
    <t>C1-C3</t>
  </si>
  <si>
    <t>C6-C7, C9</t>
  </si>
  <si>
    <t>internal ss</t>
  </si>
  <si>
    <t>C1-C3, C10-C11</t>
  </si>
  <si>
    <t>C6-C7, C9, C12</t>
  </si>
  <si>
    <t>Hide Sheet</t>
  </si>
  <si>
    <t>Std. Resistors</t>
  </si>
  <si>
    <t>Capacitors</t>
  </si>
  <si>
    <t>Enter resistor value</t>
  </si>
  <si>
    <t>E6</t>
  </si>
  <si>
    <t>E96</t>
  </si>
  <si>
    <t>Cap value</t>
  </si>
  <si>
    <t>Closest E6 Value</t>
  </si>
  <si>
    <t>Closest E12 Value</t>
  </si>
  <si>
    <t>C values up to 10nF</t>
  </si>
  <si>
    <t>Closest E24 Value</t>
  </si>
  <si>
    <t>Closest E48 Value</t>
  </si>
  <si>
    <t>Closest E96 Value</t>
  </si>
  <si>
    <t>E12</t>
  </si>
  <si>
    <t>C values greater than 10nF</t>
  </si>
  <si>
    <t>E24</t>
  </si>
  <si>
    <t>E48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</si>
</sst>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0"/>
    <numFmt numFmtId="181" formatCode="0.0"/>
    <numFmt numFmtId="182" formatCode="0.0000"/>
    <numFmt numFmtId="183" formatCode="0.000E+00"/>
  </numFmts>
  <fonts count="67">
    <font>
      <sz val="10"/>
      <name val="Arial"/>
      <family val="2"/>
    </font>
    <font>
      <sz val="10"/>
      <name val="宋体"/>
      <family val="0"/>
    </font>
    <font>
      <sz val="10"/>
      <color indexed="9"/>
      <name val="Arial"/>
      <family val="2"/>
    </font>
    <font>
      <sz val="10"/>
      <color indexed="10"/>
      <name val="Arial"/>
      <family val="2"/>
    </font>
    <font>
      <b/>
      <sz val="14"/>
      <color indexed="10"/>
      <name val="Arial"/>
      <family val="2"/>
    </font>
    <font>
      <sz val="14"/>
      <name val="Arial"/>
      <family val="2"/>
    </font>
    <font>
      <b/>
      <sz val="10"/>
      <color indexed="12"/>
      <name val="Arial"/>
      <family val="2"/>
    </font>
    <font>
      <b/>
      <sz val="10"/>
      <color indexed="8"/>
      <name val="Arial"/>
      <family val="2"/>
    </font>
    <font>
      <b/>
      <sz val="10"/>
      <color indexed="17"/>
      <name val="Arial"/>
      <family val="2"/>
    </font>
    <font>
      <b/>
      <sz val="10"/>
      <color indexed="10"/>
      <name val="Arial"/>
      <family val="2"/>
    </font>
    <font>
      <b/>
      <sz val="10"/>
      <color indexed="9"/>
      <name val="Arial"/>
      <family val="2"/>
    </font>
    <font>
      <b/>
      <sz val="8"/>
      <name val="Arial"/>
      <family val="2"/>
    </font>
    <font>
      <sz val="8"/>
      <name val="Verdana"/>
      <family val="2"/>
    </font>
    <font>
      <sz val="10"/>
      <color indexed="22"/>
      <name val="Arial"/>
      <family val="2"/>
    </font>
    <font>
      <b/>
      <sz val="14"/>
      <name val="Arial"/>
      <family val="2"/>
    </font>
    <font>
      <b/>
      <sz val="10"/>
      <name val="Arial"/>
      <family val="2"/>
    </font>
    <font>
      <b/>
      <sz val="11"/>
      <name val="Arial"/>
      <family val="2"/>
    </font>
    <font>
      <sz val="10"/>
      <name val="Times New Roman"/>
      <family val="1"/>
    </font>
    <font>
      <sz val="10"/>
      <color indexed="8"/>
      <name val="Arial"/>
      <family val="2"/>
    </font>
    <font>
      <b/>
      <i/>
      <sz val="10"/>
      <name val="Arial"/>
      <family val="2"/>
    </font>
    <font>
      <b/>
      <sz val="24"/>
      <name val="Arial"/>
      <family val="2"/>
    </font>
    <font>
      <sz val="16"/>
      <name val="Arial"/>
      <family val="2"/>
    </font>
    <font>
      <b/>
      <sz val="12"/>
      <name val="Arial"/>
      <family val="2"/>
    </font>
    <font>
      <sz val="11"/>
      <color indexed="9"/>
      <name val="宋体"/>
      <family val="0"/>
    </font>
    <font>
      <i/>
      <sz val="11"/>
      <color indexed="23"/>
      <name val="宋体"/>
      <family val="0"/>
    </font>
    <font>
      <u val="single"/>
      <sz val="10"/>
      <color indexed="36"/>
      <name val="Arial"/>
      <family val="2"/>
    </font>
    <font>
      <sz val="11"/>
      <color indexed="8"/>
      <name val="宋体"/>
      <family val="0"/>
    </font>
    <font>
      <sz val="11"/>
      <color indexed="19"/>
      <name val="宋体"/>
      <family val="0"/>
    </font>
    <font>
      <sz val="11"/>
      <color indexed="53"/>
      <name val="宋体"/>
      <family val="0"/>
    </font>
    <font>
      <b/>
      <sz val="13"/>
      <color indexed="62"/>
      <name val="宋体"/>
      <family val="0"/>
    </font>
    <font>
      <sz val="11"/>
      <color indexed="62"/>
      <name val="宋体"/>
      <family val="0"/>
    </font>
    <font>
      <b/>
      <sz val="11"/>
      <color indexed="9"/>
      <name val="宋体"/>
      <family val="0"/>
    </font>
    <font>
      <b/>
      <sz val="11"/>
      <color indexed="53"/>
      <name val="宋体"/>
      <family val="0"/>
    </font>
    <font>
      <sz val="11"/>
      <color indexed="10"/>
      <name val="宋体"/>
      <family val="0"/>
    </font>
    <font>
      <b/>
      <sz val="11"/>
      <color indexed="62"/>
      <name val="宋体"/>
      <family val="0"/>
    </font>
    <font>
      <sz val="11"/>
      <color indexed="16"/>
      <name val="宋体"/>
      <family val="0"/>
    </font>
    <font>
      <sz val="11"/>
      <color indexed="17"/>
      <name val="宋体"/>
      <family val="0"/>
    </font>
    <font>
      <b/>
      <sz val="15"/>
      <color indexed="62"/>
      <name val="宋体"/>
      <family val="0"/>
    </font>
    <font>
      <b/>
      <sz val="18"/>
      <color indexed="62"/>
      <name val="宋体"/>
      <family val="0"/>
    </font>
    <font>
      <u val="single"/>
      <sz val="10"/>
      <color indexed="12"/>
      <name val="Arial"/>
      <family val="2"/>
    </font>
    <font>
      <b/>
      <sz val="11"/>
      <color indexed="8"/>
      <name val="宋体"/>
      <family val="0"/>
    </font>
    <font>
      <b/>
      <sz val="11"/>
      <color indexed="63"/>
      <name val="宋体"/>
      <family val="0"/>
    </font>
    <font>
      <sz val="8"/>
      <name val="Tahoma"/>
      <family val="2"/>
    </font>
    <font>
      <sz val="9"/>
      <name val="Tahoma"/>
      <family val="2"/>
    </font>
    <font>
      <b/>
      <sz val="12"/>
      <color indexed="8"/>
      <name val="Arial"/>
      <family val="0"/>
    </font>
    <font>
      <sz val="8.45"/>
      <color indexed="8"/>
      <name val="Arial"/>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rgb="FF00FFFF"/>
        <bgColor indexed="64"/>
      </patternFill>
    </fill>
    <fill>
      <patternFill patternType="solid">
        <fgColor indexed="46"/>
        <bgColor indexed="64"/>
      </patternFill>
    </fill>
    <fill>
      <patternFill patternType="solid">
        <fgColor indexed="15"/>
        <bgColor indexed="64"/>
      </patternFill>
    </fill>
    <fill>
      <patternFill patternType="solid">
        <fgColor rgb="FFFFFF00"/>
        <bgColor indexed="64"/>
      </patternFill>
    </fill>
    <fill>
      <patternFill patternType="solid">
        <fgColor rgb="FF66FFFF"/>
        <bgColor indexed="64"/>
      </patternFill>
    </fill>
    <fill>
      <patternFill patternType="solid">
        <fgColor indexed="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medium"/>
      <top style="medium"/>
      <bottom style="medium"/>
    </border>
    <border>
      <left style="medium">
        <color indexed="9"/>
      </left>
      <right/>
      <top/>
      <bottom/>
    </border>
    <border>
      <left/>
      <right style="medium">
        <color indexed="9"/>
      </right>
      <top/>
      <bottom/>
    </border>
    <border>
      <left style="medium">
        <color indexed="9"/>
      </left>
      <right/>
      <top style="medium">
        <color indexed="9"/>
      </top>
      <bottom/>
    </border>
    <border>
      <left/>
      <right style="medium">
        <color indexed="9"/>
      </right>
      <top style="medium">
        <color indexed="9"/>
      </top>
      <bottom/>
    </border>
    <border>
      <left style="medium">
        <color indexed="9"/>
      </left>
      <right style="medium">
        <color indexed="9"/>
      </right>
      <top style="medium">
        <color indexed="9"/>
      </top>
      <bottom/>
    </border>
    <border>
      <left style="medium">
        <color indexed="9"/>
      </left>
      <right style="medium">
        <color indexed="9"/>
      </right>
      <top/>
      <bottom/>
    </border>
    <border>
      <left style="medium">
        <color indexed="9"/>
      </left>
      <right style="medium">
        <color indexed="9"/>
      </right>
      <top/>
      <bottom style="medium">
        <color indexed="9"/>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thin"/>
    </border>
    <border>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thick"/>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6" fillId="0" borderId="0" applyFont="0" applyFill="0" applyBorder="0" applyAlignment="0" applyProtection="0"/>
    <xf numFmtId="178"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7"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179" fontId="0" fillId="0" borderId="0" applyFont="0" applyFill="0" applyBorder="0" applyAlignment="0" applyProtection="0"/>
    <xf numFmtId="0" fontId="50"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50"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0" fillId="9" borderId="0" applyNumberFormat="0" applyBorder="0" applyAlignment="0" applyProtection="0"/>
    <xf numFmtId="0" fontId="51" fillId="0" borderId="5" applyNumberFormat="0" applyFill="0" applyAlignment="0" applyProtection="0"/>
    <xf numFmtId="0" fontId="50"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0" fillId="0" borderId="0">
      <alignment/>
      <protection/>
    </xf>
    <xf numFmtId="0" fontId="59" fillId="12" borderId="7"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0" fillId="0" borderId="0">
      <alignment/>
      <protection/>
    </xf>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0" fillId="0" borderId="0">
      <alignment/>
      <protection/>
    </xf>
    <xf numFmtId="0" fontId="47" fillId="26" borderId="0" applyNumberFormat="0" applyBorder="0" applyAlignment="0" applyProtection="0"/>
    <xf numFmtId="0" fontId="50" fillId="27" borderId="0" applyNumberFormat="0" applyBorder="0" applyAlignment="0" applyProtection="0"/>
    <xf numFmtId="0" fontId="0" fillId="0" borderId="0">
      <alignment/>
      <protection/>
    </xf>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0" borderId="0">
      <alignment/>
      <protection/>
    </xf>
    <xf numFmtId="0" fontId="47"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xf numFmtId="9" fontId="46" fillId="0" borderId="0" applyFont="0" applyFill="0" applyBorder="0" applyAlignment="0" applyProtection="0"/>
  </cellStyleXfs>
  <cellXfs count="249">
    <xf numFmtId="0" fontId="0" fillId="0" borderId="0" xfId="0" applyAlignment="1">
      <alignment/>
    </xf>
    <xf numFmtId="0" fontId="2" fillId="33" borderId="0" xfId="63" applyFont="1" applyFill="1" applyProtection="1">
      <alignment/>
      <protection hidden="1"/>
    </xf>
    <xf numFmtId="0" fontId="3" fillId="33" borderId="0" xfId="63" applyFont="1" applyFill="1" applyProtection="1">
      <alignment/>
      <protection hidden="1"/>
    </xf>
    <xf numFmtId="0" fontId="0" fillId="33" borderId="0" xfId="63" applyFont="1" applyFill="1" applyProtection="1">
      <alignment/>
      <protection hidden="1"/>
    </xf>
    <xf numFmtId="0" fontId="0" fillId="33" borderId="0" xfId="63" applyFont="1" applyFill="1" applyBorder="1" applyProtection="1">
      <alignment/>
      <protection hidden="1"/>
    </xf>
    <xf numFmtId="49" fontId="0" fillId="33" borderId="0" xfId="63" applyNumberFormat="1" applyFont="1" applyFill="1" applyBorder="1" applyProtection="1">
      <alignment/>
      <protection hidden="1"/>
    </xf>
    <xf numFmtId="0" fontId="0" fillId="33" borderId="0" xfId="63" applyFont="1" applyFill="1">
      <alignment/>
      <protection/>
    </xf>
    <xf numFmtId="0" fontId="0" fillId="33" borderId="0" xfId="63" applyFill="1" applyProtection="1">
      <alignment/>
      <protection hidden="1"/>
    </xf>
    <xf numFmtId="0" fontId="4" fillId="33" borderId="0" xfId="63" applyFont="1" applyFill="1" applyProtection="1">
      <alignment/>
      <protection hidden="1"/>
    </xf>
    <xf numFmtId="0" fontId="5" fillId="33" borderId="0" xfId="63" applyFont="1" applyFill="1" applyProtection="1">
      <alignment/>
      <protection hidden="1"/>
    </xf>
    <xf numFmtId="0" fontId="4" fillId="33" borderId="0" xfId="63" applyFont="1" applyFill="1" applyBorder="1" applyProtection="1">
      <alignment/>
      <protection hidden="1"/>
    </xf>
    <xf numFmtId="0" fontId="0" fillId="33" borderId="10" xfId="63" applyFont="1" applyFill="1" applyBorder="1" applyProtection="1">
      <alignment/>
      <protection hidden="1"/>
    </xf>
    <xf numFmtId="0" fontId="6" fillId="34" borderId="11" xfId="63" applyFont="1" applyFill="1" applyBorder="1" applyProtection="1">
      <alignment/>
      <protection hidden="1"/>
    </xf>
    <xf numFmtId="0" fontId="7" fillId="35" borderId="12" xfId="63" applyFont="1" applyFill="1" applyBorder="1" applyAlignment="1">
      <alignment horizontal="center" wrapText="1"/>
      <protection/>
    </xf>
    <xf numFmtId="0" fontId="7" fillId="35" borderId="13" xfId="63" applyFont="1" applyFill="1" applyBorder="1" applyAlignment="1">
      <alignment horizontal="center" wrapText="1"/>
      <protection/>
    </xf>
    <xf numFmtId="0" fontId="7" fillId="36" borderId="14" xfId="63" applyFont="1" applyFill="1" applyBorder="1" applyAlignment="1">
      <alignment horizontal="center" wrapText="1"/>
      <protection/>
    </xf>
    <xf numFmtId="0" fontId="7" fillId="36" borderId="15" xfId="63" applyFont="1" applyFill="1" applyBorder="1" applyAlignment="1">
      <alignment horizontal="center" wrapText="1"/>
      <protection/>
    </xf>
    <xf numFmtId="0" fontId="7" fillId="35" borderId="16" xfId="63" applyFont="1" applyFill="1" applyBorder="1" applyAlignment="1">
      <alignment horizontal="center" wrapText="1"/>
      <protection/>
    </xf>
    <xf numFmtId="0" fontId="7" fillId="35" borderId="17" xfId="63" applyFont="1" applyFill="1" applyBorder="1" applyAlignment="1">
      <alignment horizontal="center" wrapText="1"/>
      <protection/>
    </xf>
    <xf numFmtId="0" fontId="7" fillId="36" borderId="16" xfId="63" applyFont="1" applyFill="1" applyBorder="1" applyAlignment="1">
      <alignment horizontal="center" wrapText="1"/>
      <protection/>
    </xf>
    <xf numFmtId="0" fontId="7" fillId="36" borderId="18" xfId="63" applyFont="1" applyFill="1" applyBorder="1" applyAlignment="1">
      <alignment horizontal="center" wrapText="1"/>
      <protection/>
    </xf>
    <xf numFmtId="0" fontId="0" fillId="33" borderId="19" xfId="63" applyFont="1" applyFill="1" applyBorder="1" applyProtection="1">
      <alignment/>
      <protection hidden="1"/>
    </xf>
    <xf numFmtId="0" fontId="8" fillId="37" borderId="20" xfId="63" applyFont="1" applyFill="1" applyBorder="1" applyProtection="1">
      <alignment/>
      <protection hidden="1"/>
    </xf>
    <xf numFmtId="0" fontId="0" fillId="33" borderId="21" xfId="63" applyFont="1" applyFill="1" applyBorder="1" applyProtection="1">
      <alignment/>
      <protection hidden="1"/>
    </xf>
    <xf numFmtId="0" fontId="8" fillId="37" borderId="22" xfId="63" applyFont="1" applyFill="1" applyBorder="1" applyProtection="1">
      <alignment/>
      <protection hidden="1"/>
    </xf>
    <xf numFmtId="0" fontId="3" fillId="33" borderId="0" xfId="63" applyFont="1" applyFill="1" applyBorder="1" applyProtection="1">
      <alignment/>
      <protection hidden="1"/>
    </xf>
    <xf numFmtId="0" fontId="0" fillId="33" borderId="23" xfId="63" applyFont="1" applyFill="1" applyBorder="1" applyProtection="1">
      <alignment/>
      <protection hidden="1"/>
    </xf>
    <xf numFmtId="0" fontId="8" fillId="37" borderId="24" xfId="63" applyFont="1" applyFill="1" applyBorder="1" applyProtection="1">
      <alignment/>
      <protection hidden="1"/>
    </xf>
    <xf numFmtId="0" fontId="7" fillId="38" borderId="12" xfId="63" applyFont="1" applyFill="1" applyBorder="1" applyAlignment="1">
      <alignment horizontal="center" wrapText="1"/>
      <protection/>
    </xf>
    <xf numFmtId="0" fontId="7" fillId="38" borderId="13" xfId="63" applyFont="1" applyFill="1" applyBorder="1" applyAlignment="1">
      <alignment horizontal="center" wrapText="1"/>
      <protection/>
    </xf>
    <xf numFmtId="0" fontId="7" fillId="38" borderId="16" xfId="63" applyFont="1" applyFill="1" applyBorder="1" applyAlignment="1">
      <alignment horizontal="center" wrapText="1"/>
      <protection/>
    </xf>
    <xf numFmtId="0" fontId="7" fillId="38" borderId="17" xfId="63" applyFont="1" applyFill="1" applyBorder="1" applyAlignment="1">
      <alignment horizontal="center" wrapText="1"/>
      <protection/>
    </xf>
    <xf numFmtId="0" fontId="0" fillId="33" borderId="0" xfId="63" applyFont="1" applyFill="1" applyBorder="1" applyAlignment="1" applyProtection="1">
      <alignment horizontal="center"/>
      <protection hidden="1"/>
    </xf>
    <xf numFmtId="0" fontId="0" fillId="33" borderId="0" xfId="63" applyFill="1" applyBorder="1" applyAlignment="1">
      <alignment wrapText="1"/>
      <protection/>
    </xf>
    <xf numFmtId="0" fontId="0" fillId="33" borderId="0" xfId="63" applyFill="1" applyBorder="1" applyAlignment="1">
      <alignment horizontal="center"/>
      <protection/>
    </xf>
    <xf numFmtId="0" fontId="8" fillId="33" borderId="0" xfId="63" applyFont="1" applyFill="1" applyBorder="1" applyProtection="1">
      <alignment/>
      <protection hidden="1"/>
    </xf>
    <xf numFmtId="49" fontId="9" fillId="37" borderId="12" xfId="63" applyNumberFormat="1" applyFont="1" applyFill="1" applyBorder="1" applyAlignment="1">
      <alignment horizontal="center" wrapText="1"/>
      <protection/>
    </xf>
    <xf numFmtId="49" fontId="9" fillId="37" borderId="0" xfId="63" applyNumberFormat="1" applyFont="1" applyFill="1" applyBorder="1" applyAlignment="1">
      <alignment horizontal="center" wrapText="1"/>
      <protection/>
    </xf>
    <xf numFmtId="49" fontId="9" fillId="37" borderId="16" xfId="63" applyNumberFormat="1" applyFont="1" applyFill="1" applyBorder="1" applyAlignment="1">
      <alignment horizontal="center" wrapText="1"/>
      <protection/>
    </xf>
    <xf numFmtId="49" fontId="9" fillId="37" borderId="17" xfId="63" applyNumberFormat="1" applyFont="1" applyFill="1" applyBorder="1" applyAlignment="1">
      <alignment horizontal="center" wrapText="1"/>
      <protection/>
    </xf>
    <xf numFmtId="49" fontId="9" fillId="37" borderId="18" xfId="63" applyNumberFormat="1" applyFont="1" applyFill="1" applyBorder="1" applyAlignment="1">
      <alignment horizontal="center" wrapText="1"/>
      <protection/>
    </xf>
    <xf numFmtId="0" fontId="2" fillId="33" borderId="0" xfId="63" applyFont="1" applyFill="1" applyBorder="1" applyProtection="1">
      <alignment/>
      <protection hidden="1"/>
    </xf>
    <xf numFmtId="0" fontId="9" fillId="33" borderId="0" xfId="63" applyFont="1" applyFill="1" applyBorder="1" applyAlignment="1" applyProtection="1">
      <alignment horizontal="center" wrapText="1"/>
      <protection hidden="1"/>
    </xf>
    <xf numFmtId="0" fontId="0" fillId="33" borderId="0" xfId="63" applyFont="1" applyFill="1" applyBorder="1">
      <alignment/>
      <protection/>
    </xf>
    <xf numFmtId="1" fontId="3" fillId="33" borderId="0" xfId="63" applyNumberFormat="1" applyFont="1" applyFill="1" applyBorder="1" applyProtection="1">
      <alignment/>
      <protection hidden="1"/>
    </xf>
    <xf numFmtId="48" fontId="8" fillId="37" borderId="25" xfId="63" applyNumberFormat="1" applyFont="1" applyFill="1" applyBorder="1" applyAlignment="1" applyProtection="1">
      <alignment horizontal="center"/>
      <protection hidden="1"/>
    </xf>
    <xf numFmtId="0" fontId="8" fillId="37" borderId="26" xfId="63" applyFont="1" applyFill="1" applyBorder="1" applyProtection="1">
      <alignment/>
      <protection hidden="1"/>
    </xf>
    <xf numFmtId="48" fontId="6" fillId="34" borderId="27" xfId="63" applyNumberFormat="1" applyFont="1" applyFill="1" applyBorder="1" applyAlignment="1" applyProtection="1">
      <alignment horizontal="center"/>
      <protection hidden="1"/>
    </xf>
    <xf numFmtId="0" fontId="6" fillId="34" borderId="28" xfId="63" applyFont="1" applyFill="1" applyBorder="1" applyProtection="1">
      <alignment/>
      <protection hidden="1"/>
    </xf>
    <xf numFmtId="1" fontId="2" fillId="33" borderId="0" xfId="63" applyNumberFormat="1" applyFont="1" applyFill="1" applyBorder="1" applyProtection="1">
      <alignment/>
      <protection hidden="1"/>
    </xf>
    <xf numFmtId="180" fontId="10" fillId="33" borderId="0" xfId="63" applyNumberFormat="1" applyFont="1" applyFill="1" applyBorder="1" applyAlignment="1" applyProtection="1">
      <alignment horizontal="center"/>
      <protection hidden="1"/>
    </xf>
    <xf numFmtId="2" fontId="2" fillId="33" borderId="0" xfId="63" applyNumberFormat="1" applyFont="1" applyFill="1" applyBorder="1" applyAlignment="1" applyProtection="1">
      <alignment horizontal="center"/>
      <protection hidden="1"/>
    </xf>
    <xf numFmtId="0" fontId="11" fillId="33" borderId="0" xfId="63" applyFont="1" applyFill="1" applyBorder="1" applyProtection="1">
      <alignment/>
      <protection hidden="1"/>
    </xf>
    <xf numFmtId="0" fontId="12" fillId="33" borderId="0" xfId="63" applyFont="1" applyFill="1" applyBorder="1" applyAlignment="1" applyProtection="1">
      <alignment horizontal="center" wrapText="1"/>
      <protection hidden="1"/>
    </xf>
    <xf numFmtId="2" fontId="0" fillId="33" borderId="0" xfId="63" applyNumberFormat="1" applyFont="1" applyFill="1" applyBorder="1" applyAlignment="1" applyProtection="1">
      <alignment horizontal="center"/>
      <protection hidden="1"/>
    </xf>
    <xf numFmtId="1" fontId="0" fillId="33" borderId="0" xfId="63" applyNumberFormat="1" applyFont="1" applyFill="1" applyBorder="1" applyProtection="1">
      <alignment/>
      <protection/>
    </xf>
    <xf numFmtId="0" fontId="13" fillId="33" borderId="0" xfId="63" applyFont="1" applyFill="1">
      <alignment/>
      <protection/>
    </xf>
    <xf numFmtId="49" fontId="0" fillId="33" borderId="0" xfId="63" applyNumberFormat="1" applyFill="1" applyBorder="1" applyProtection="1">
      <alignment/>
      <protection/>
    </xf>
    <xf numFmtId="49" fontId="2" fillId="33" borderId="0" xfId="63" applyNumberFormat="1" applyFont="1" applyFill="1" applyBorder="1" applyProtection="1">
      <alignment/>
      <protection hidden="1"/>
    </xf>
    <xf numFmtId="0" fontId="2" fillId="33" borderId="0" xfId="63" applyFont="1" applyFill="1">
      <alignment/>
      <protection/>
    </xf>
    <xf numFmtId="0" fontId="0" fillId="0" borderId="0" xfId="0" applyFont="1" applyAlignment="1">
      <alignment/>
    </xf>
    <xf numFmtId="0" fontId="0" fillId="0" borderId="0" xfId="0" applyAlignment="1">
      <alignment horizontal="left"/>
    </xf>
    <xf numFmtId="0" fontId="0" fillId="0" borderId="0" xfId="0" applyFont="1" applyAlignment="1">
      <alignment horizontal="center"/>
    </xf>
    <xf numFmtId="0" fontId="0" fillId="39" borderId="0" xfId="0" applyNumberFormat="1" applyFill="1" applyAlignment="1">
      <alignment/>
    </xf>
    <xf numFmtId="1" fontId="0" fillId="39" borderId="0" xfId="0" applyNumberFormat="1" applyFill="1" applyAlignment="1">
      <alignment/>
    </xf>
    <xf numFmtId="1" fontId="0" fillId="39" borderId="0" xfId="0" applyNumberFormat="1" applyFill="1" applyAlignment="1">
      <alignment horizontal="right"/>
    </xf>
    <xf numFmtId="0" fontId="0" fillId="0" borderId="0" xfId="0" applyFill="1" applyAlignment="1">
      <alignment horizontal="left"/>
    </xf>
    <xf numFmtId="0" fontId="0" fillId="0" borderId="0" xfId="0" applyFont="1" applyAlignment="1">
      <alignment horizontal="left"/>
    </xf>
    <xf numFmtId="0" fontId="0" fillId="39" borderId="0" xfId="0" applyFill="1" applyAlignment="1">
      <alignment horizontal="right"/>
    </xf>
    <xf numFmtId="0" fontId="0" fillId="39" borderId="0" xfId="0" applyFill="1" applyAlignment="1">
      <alignment/>
    </xf>
    <xf numFmtId="181" fontId="0" fillId="39" borderId="0" xfId="0" applyNumberFormat="1" applyFill="1" applyAlignment="1">
      <alignment/>
    </xf>
    <xf numFmtId="181" fontId="0" fillId="40" borderId="0" xfId="0" applyNumberFormat="1" applyFill="1" applyAlignment="1">
      <alignment/>
    </xf>
    <xf numFmtId="0" fontId="0" fillId="40" borderId="0" xfId="0" applyFill="1" applyAlignment="1" applyProtection="1">
      <alignment horizontal="right"/>
      <protection/>
    </xf>
    <xf numFmtId="0" fontId="0" fillId="0" borderId="0" xfId="0" applyFill="1" applyAlignment="1">
      <alignment/>
    </xf>
    <xf numFmtId="1" fontId="0" fillId="40" borderId="0" xfId="0" applyNumberFormat="1" applyFill="1" applyAlignment="1" applyProtection="1">
      <alignment horizontal="right"/>
      <protection/>
    </xf>
    <xf numFmtId="1" fontId="0" fillId="40" borderId="0" xfId="0" applyNumberFormat="1" applyFill="1" applyAlignment="1">
      <alignment/>
    </xf>
    <xf numFmtId="0" fontId="0" fillId="40" borderId="0" xfId="0" applyFont="1" applyFill="1" applyAlignment="1">
      <alignment/>
    </xf>
    <xf numFmtId="0" fontId="0" fillId="0" borderId="0" xfId="0" applyAlignment="1">
      <alignment horizontal="center"/>
    </xf>
    <xf numFmtId="0" fontId="0" fillId="0" borderId="0" xfId="0" applyFont="1" applyAlignment="1">
      <alignment horizontal="center" wrapText="1"/>
    </xf>
    <xf numFmtId="0" fontId="2" fillId="0" borderId="0" xfId="0" applyFont="1" applyAlignment="1">
      <alignment horizontal="center"/>
    </xf>
    <xf numFmtId="0" fontId="2" fillId="0" borderId="0" xfId="0" applyFont="1" applyAlignment="1" applyProtection="1">
      <alignment horizontal="center"/>
      <protection hidden="1"/>
    </xf>
    <xf numFmtId="0" fontId="0" fillId="41" borderId="0" xfId="0" applyFill="1" applyAlignment="1">
      <alignment horizontal="left"/>
    </xf>
    <xf numFmtId="0" fontId="0" fillId="41" borderId="0" xfId="0" applyFill="1" applyAlignment="1" applyProtection="1">
      <alignment horizontal="right"/>
      <protection locked="0"/>
    </xf>
    <xf numFmtId="0" fontId="0" fillId="42" borderId="0" xfId="0" applyFill="1" applyAlignment="1">
      <alignment/>
    </xf>
    <xf numFmtId="0" fontId="2" fillId="0" borderId="0" xfId="0" applyFont="1" applyAlignment="1">
      <alignment/>
    </xf>
    <xf numFmtId="0" fontId="2" fillId="0" borderId="0" xfId="0" applyFont="1" applyAlignment="1" applyProtection="1">
      <alignment/>
      <protection hidden="1"/>
    </xf>
    <xf numFmtId="181" fontId="0" fillId="0" borderId="0" xfId="0" applyNumberFormat="1" applyAlignment="1">
      <alignment/>
    </xf>
    <xf numFmtId="0" fontId="0" fillId="42" borderId="0" xfId="0" applyFont="1" applyFill="1" applyAlignment="1">
      <alignment/>
    </xf>
    <xf numFmtId="1" fontId="0" fillId="41" borderId="0" xfId="0" applyNumberFormat="1" applyFill="1" applyAlignment="1" applyProtection="1">
      <alignment horizontal="right"/>
      <protection locked="0"/>
    </xf>
    <xf numFmtId="1" fontId="0" fillId="42" borderId="0" xfId="0" applyNumberFormat="1" applyFill="1" applyAlignment="1">
      <alignment/>
    </xf>
    <xf numFmtId="11" fontId="0" fillId="0" borderId="0" xfId="0" applyNumberFormat="1" applyFill="1" applyAlignment="1">
      <alignment/>
    </xf>
    <xf numFmtId="48" fontId="0" fillId="41" borderId="0" xfId="0" applyNumberFormat="1" applyFill="1" applyAlignment="1" applyProtection="1">
      <alignment horizontal="right"/>
      <protection locked="0"/>
    </xf>
    <xf numFmtId="48" fontId="0" fillId="42" borderId="0" xfId="0" applyNumberFormat="1" applyFill="1" applyAlignment="1">
      <alignment/>
    </xf>
    <xf numFmtId="11" fontId="0" fillId="0" borderId="0" xfId="0" applyNumberFormat="1" applyAlignment="1">
      <alignment/>
    </xf>
    <xf numFmtId="1" fontId="0" fillId="0" borderId="0" xfId="0" applyNumberFormat="1" applyAlignment="1">
      <alignment/>
    </xf>
    <xf numFmtId="180" fontId="0" fillId="41" borderId="0" xfId="0" applyNumberFormat="1" applyFill="1" applyAlignment="1" applyProtection="1">
      <alignment horizontal="right"/>
      <protection locked="0"/>
    </xf>
    <xf numFmtId="180" fontId="0" fillId="42" borderId="0" xfId="0" applyNumberFormat="1" applyFill="1" applyAlignment="1">
      <alignment/>
    </xf>
    <xf numFmtId="2" fontId="0" fillId="0" borderId="0" xfId="0" applyNumberFormat="1" applyAlignment="1">
      <alignment/>
    </xf>
    <xf numFmtId="0" fontId="0" fillId="43" borderId="0" xfId="0" applyFill="1" applyAlignment="1">
      <alignment horizontal="left"/>
    </xf>
    <xf numFmtId="0" fontId="0" fillId="43" borderId="0" xfId="0" applyFill="1" applyAlignment="1">
      <alignment horizontal="right"/>
    </xf>
    <xf numFmtId="11" fontId="0" fillId="43" borderId="0" xfId="0" applyNumberFormat="1" applyFill="1" applyAlignment="1">
      <alignment/>
    </xf>
    <xf numFmtId="180" fontId="0" fillId="43" borderId="0" xfId="0" applyNumberFormat="1" applyFill="1" applyAlignment="1">
      <alignment/>
    </xf>
    <xf numFmtId="2" fontId="0" fillId="43" borderId="0" xfId="0" applyNumberFormat="1" applyFill="1" applyAlignment="1">
      <alignment/>
    </xf>
    <xf numFmtId="0" fontId="0" fillId="43" borderId="0" xfId="0" applyFill="1" applyAlignment="1">
      <alignment/>
    </xf>
    <xf numFmtId="0" fontId="0" fillId="39" borderId="0" xfId="0" applyFill="1" applyAlignment="1">
      <alignment horizontal="left"/>
    </xf>
    <xf numFmtId="11" fontId="0" fillId="39" borderId="0" xfId="0" applyNumberFormat="1" applyFill="1" applyAlignment="1">
      <alignment/>
    </xf>
    <xf numFmtId="0" fontId="0" fillId="44" borderId="0" xfId="0" applyFill="1" applyAlignment="1">
      <alignment horizontal="left"/>
    </xf>
    <xf numFmtId="11" fontId="0" fillId="44" borderId="0" xfId="0" applyNumberFormat="1" applyFill="1" applyAlignment="1">
      <alignment/>
    </xf>
    <xf numFmtId="0" fontId="0" fillId="44" borderId="0" xfId="0" applyFill="1" applyAlignment="1">
      <alignment/>
    </xf>
    <xf numFmtId="0" fontId="0" fillId="42" borderId="0" xfId="0" applyFill="1" applyAlignment="1">
      <alignment horizontal="left"/>
    </xf>
    <xf numFmtId="182" fontId="0" fillId="44" borderId="0" xfId="0" applyNumberFormat="1" applyFill="1" applyAlignment="1">
      <alignment/>
    </xf>
    <xf numFmtId="11" fontId="0" fillId="42" borderId="0" xfId="0" applyNumberFormat="1" applyFill="1" applyAlignment="1">
      <alignment/>
    </xf>
    <xf numFmtId="0" fontId="2" fillId="0" borderId="0" xfId="0" applyFont="1" applyAlignment="1" applyProtection="1">
      <alignment horizontal="center" wrapText="1"/>
      <protection hidden="1"/>
    </xf>
    <xf numFmtId="0" fontId="0" fillId="0" borderId="0" xfId="0" applyFont="1" applyFill="1" applyAlignment="1">
      <alignment/>
    </xf>
    <xf numFmtId="0" fontId="0" fillId="0" borderId="0" xfId="0" applyAlignment="1">
      <alignment wrapText="1"/>
    </xf>
    <xf numFmtId="0" fontId="14" fillId="0" borderId="0" xfId="0" applyFont="1" applyAlignment="1">
      <alignment horizontal="center" vertical="center" wrapText="1"/>
    </xf>
    <xf numFmtId="0" fontId="15" fillId="0" borderId="0" xfId="0" applyFont="1" applyFill="1" applyAlignment="1">
      <alignment wrapText="1"/>
    </xf>
    <xf numFmtId="0" fontId="0" fillId="0" borderId="0" xfId="60">
      <alignment/>
      <protection/>
    </xf>
    <xf numFmtId="2" fontId="0" fillId="0" borderId="0" xfId="60" applyNumberFormat="1" applyFill="1">
      <alignment/>
      <protection/>
    </xf>
    <xf numFmtId="0" fontId="0" fillId="0" borderId="0" xfId="60" applyFill="1">
      <alignment/>
      <protection/>
    </xf>
    <xf numFmtId="0" fontId="0" fillId="0" borderId="0" xfId="60" applyFill="1" applyAlignment="1">
      <alignment horizontal="left"/>
      <protection/>
    </xf>
    <xf numFmtId="0" fontId="16" fillId="0" borderId="0" xfId="0" applyFont="1" applyAlignment="1">
      <alignment horizontal="right" wrapText="1"/>
    </xf>
    <xf numFmtId="0" fontId="0" fillId="45" borderId="0" xfId="0" applyFont="1" applyFill="1" applyAlignment="1" applyProtection="1">
      <alignment horizontal="center"/>
      <protection locked="0"/>
    </xf>
    <xf numFmtId="0" fontId="17" fillId="41" borderId="0" xfId="0" applyFont="1" applyFill="1" applyAlignment="1">
      <alignment horizontal="center" vertical="center"/>
    </xf>
    <xf numFmtId="0" fontId="17" fillId="44" borderId="0" xfId="0" applyFont="1" applyFill="1" applyAlignment="1">
      <alignment horizontal="center" vertical="center"/>
    </xf>
    <xf numFmtId="0" fontId="16" fillId="0" borderId="0" xfId="0" applyFont="1" applyAlignment="1">
      <alignment wrapText="1"/>
    </xf>
    <xf numFmtId="0" fontId="15" fillId="0" borderId="0" xfId="0" applyFont="1" applyFill="1" applyAlignment="1">
      <alignment/>
    </xf>
    <xf numFmtId="0" fontId="15" fillId="0" borderId="0" xfId="0" applyFont="1" applyFill="1" applyAlignment="1">
      <alignment horizontal="left"/>
    </xf>
    <xf numFmtId="0" fontId="17" fillId="39" borderId="0" xfId="0" applyFont="1" applyFill="1" applyAlignment="1">
      <alignment horizontal="center" vertical="center"/>
    </xf>
    <xf numFmtId="0" fontId="0" fillId="0" borderId="0" xfId="0" applyFont="1" applyAlignment="1">
      <alignment wrapText="1"/>
    </xf>
    <xf numFmtId="181" fontId="0" fillId="41" borderId="0" xfId="0" applyNumberFormat="1" applyFill="1" applyAlignment="1" applyProtection="1">
      <alignment/>
      <protection locked="0"/>
    </xf>
    <xf numFmtId="0" fontId="15" fillId="0" borderId="0" xfId="0" applyFont="1" applyAlignment="1">
      <alignment/>
    </xf>
    <xf numFmtId="180" fontId="0" fillId="0" borderId="0" xfId="0" applyNumberFormat="1" applyFill="1" applyAlignment="1">
      <alignment horizontal="right"/>
    </xf>
    <xf numFmtId="0" fontId="0" fillId="41" borderId="0" xfId="0" applyFill="1" applyAlignment="1" applyProtection="1">
      <alignment/>
      <protection locked="0"/>
    </xf>
    <xf numFmtId="2" fontId="0" fillId="41" borderId="0" xfId="0" applyNumberFormat="1" applyFill="1" applyAlignment="1" applyProtection="1">
      <alignment/>
      <protection locked="0"/>
    </xf>
    <xf numFmtId="0" fontId="0" fillId="0" borderId="0" xfId="0" applyFont="1" applyFill="1" applyAlignment="1" applyProtection="1">
      <alignment horizontal="left"/>
      <protection/>
    </xf>
    <xf numFmtId="0" fontId="0" fillId="0" borderId="0" xfId="0" applyNumberFormat="1" applyFill="1" applyAlignment="1">
      <alignment/>
    </xf>
    <xf numFmtId="180" fontId="0" fillId="41" borderId="0" xfId="0" applyNumberFormat="1" applyFill="1" applyAlignment="1" applyProtection="1">
      <alignment/>
      <protection locked="0"/>
    </xf>
    <xf numFmtId="1" fontId="0" fillId="41" borderId="0" xfId="0" applyNumberFormat="1" applyFill="1" applyAlignment="1" applyProtection="1">
      <alignment/>
      <protection locked="0"/>
    </xf>
    <xf numFmtId="0" fontId="0" fillId="0" borderId="0" xfId="0" applyFont="1" applyFill="1" applyAlignment="1">
      <alignment horizontal="left"/>
    </xf>
    <xf numFmtId="0" fontId="64"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right" wrapText="1"/>
    </xf>
    <xf numFmtId="0" fontId="65" fillId="0" borderId="0" xfId="0" applyFont="1" applyAlignment="1">
      <alignment horizontal="center"/>
    </xf>
    <xf numFmtId="0" fontId="0" fillId="42" borderId="0" xfId="0" applyFont="1" applyFill="1" applyAlignment="1">
      <alignment horizontal="right"/>
    </xf>
    <xf numFmtId="0" fontId="15" fillId="0" borderId="0" xfId="0" applyFont="1" applyAlignment="1">
      <alignment horizontal="left"/>
    </xf>
    <xf numFmtId="11" fontId="0" fillId="42" borderId="0" xfId="0" applyNumberFormat="1" applyFont="1" applyFill="1" applyAlignment="1">
      <alignment horizontal="right"/>
    </xf>
    <xf numFmtId="48" fontId="0" fillId="42" borderId="0" xfId="0" applyNumberFormat="1" applyFill="1" applyAlignment="1">
      <alignment horizontal="right"/>
    </xf>
    <xf numFmtId="11" fontId="0" fillId="0" borderId="0" xfId="0" applyNumberFormat="1" applyFont="1" applyAlignment="1">
      <alignment horizontal="right" wrapText="1"/>
    </xf>
    <xf numFmtId="48" fontId="0" fillId="40" borderId="0" xfId="0" applyNumberFormat="1" applyFill="1" applyAlignment="1">
      <alignment horizontal="right"/>
    </xf>
    <xf numFmtId="0" fontId="0" fillId="40" borderId="0" xfId="0" applyFont="1" applyFill="1" applyAlignment="1">
      <alignment horizontal="right"/>
    </xf>
    <xf numFmtId="11" fontId="0" fillId="0" borderId="0" xfId="0" applyNumberFormat="1" applyFont="1" applyAlignment="1">
      <alignment horizontal="right"/>
    </xf>
    <xf numFmtId="0" fontId="0" fillId="42" borderId="0" xfId="70" applyNumberFormat="1" applyFont="1" applyFill="1" applyAlignment="1">
      <alignment horizontal="right"/>
    </xf>
    <xf numFmtId="0" fontId="0" fillId="0" borderId="0" xfId="70" applyNumberFormat="1" applyFont="1" applyAlignment="1">
      <alignment horizontal="right" wrapText="1"/>
    </xf>
    <xf numFmtId="0" fontId="0" fillId="0" borderId="0" xfId="0" applyFill="1" applyAlignment="1">
      <alignment horizontal="right"/>
    </xf>
    <xf numFmtId="2" fontId="0" fillId="0" borderId="0" xfId="0" applyNumberFormat="1" applyFill="1" applyAlignment="1">
      <alignment/>
    </xf>
    <xf numFmtId="0" fontId="0" fillId="0" borderId="0" xfId="0" applyFill="1" applyAlignment="1">
      <alignment wrapText="1"/>
    </xf>
    <xf numFmtId="1" fontId="18" fillId="44" borderId="0" xfId="0" applyNumberFormat="1" applyFont="1" applyFill="1" applyAlignment="1">
      <alignment/>
    </xf>
    <xf numFmtId="1" fontId="0" fillId="44" borderId="0" xfId="0" applyNumberFormat="1" applyFill="1" applyAlignment="1">
      <alignment/>
    </xf>
    <xf numFmtId="0" fontId="66" fillId="42" borderId="0" xfId="63" applyFont="1" applyFill="1" applyBorder="1" applyProtection="1">
      <alignment/>
      <protection hidden="1"/>
    </xf>
    <xf numFmtId="0" fontId="0" fillId="0" borderId="0" xfId="0" applyNumberFormat="1" applyAlignment="1">
      <alignment/>
    </xf>
    <xf numFmtId="0" fontId="0" fillId="0" borderId="0" xfId="0" applyNumberFormat="1" applyFont="1" applyAlignment="1">
      <alignment/>
    </xf>
    <xf numFmtId="183" fontId="0" fillId="0" borderId="0" xfId="0" applyNumberFormat="1" applyFont="1" applyFill="1" applyAlignment="1">
      <alignment horizontal="left"/>
    </xf>
    <xf numFmtId="11" fontId="0" fillId="0" borderId="0" xfId="0" applyNumberFormat="1" applyFont="1" applyFill="1" applyAlignment="1">
      <alignment horizontal="left"/>
    </xf>
    <xf numFmtId="0" fontId="16" fillId="0" borderId="0" xfId="60" applyFont="1">
      <alignment/>
      <protection/>
    </xf>
    <xf numFmtId="2" fontId="0" fillId="40" borderId="0" xfId="60" applyNumberFormat="1" applyFill="1" applyBorder="1">
      <alignment/>
      <protection/>
    </xf>
    <xf numFmtId="48" fontId="0" fillId="40" borderId="0" xfId="60" applyNumberFormat="1" applyFill="1" applyBorder="1">
      <alignment/>
      <protection/>
    </xf>
    <xf numFmtId="2" fontId="0" fillId="42" borderId="0" xfId="60" applyNumberFormat="1" applyFill="1">
      <alignment/>
      <protection/>
    </xf>
    <xf numFmtId="180" fontId="0" fillId="42" borderId="0" xfId="60" applyNumberFormat="1" applyFill="1">
      <alignment/>
      <protection/>
    </xf>
    <xf numFmtId="181" fontId="0" fillId="44" borderId="0" xfId="0" applyNumberFormat="1" applyFill="1" applyAlignment="1">
      <alignment/>
    </xf>
    <xf numFmtId="181" fontId="0" fillId="0" borderId="0" xfId="0" applyNumberFormat="1" applyAlignment="1">
      <alignment horizontal="center"/>
    </xf>
    <xf numFmtId="1" fontId="0" fillId="0" borderId="0" xfId="0" applyNumberFormat="1" applyFont="1" applyAlignment="1">
      <alignment/>
    </xf>
    <xf numFmtId="0" fontId="0" fillId="0" borderId="0" xfId="0" applyFont="1" applyFill="1" applyAlignment="1">
      <alignment horizontal="center"/>
    </xf>
    <xf numFmtId="2" fontId="0" fillId="44" borderId="0" xfId="0" applyNumberFormat="1" applyFill="1" applyAlignment="1">
      <alignment horizontal="right"/>
    </xf>
    <xf numFmtId="180" fontId="0" fillId="44" borderId="0" xfId="0" applyNumberFormat="1" applyFill="1" applyAlignment="1">
      <alignment horizontal="right"/>
    </xf>
    <xf numFmtId="180" fontId="0" fillId="44" borderId="0" xfId="0" applyNumberFormat="1" applyFill="1" applyAlignment="1">
      <alignment/>
    </xf>
    <xf numFmtId="183" fontId="0" fillId="0" borderId="0" xfId="0" applyNumberFormat="1" applyFill="1" applyAlignment="1">
      <alignment/>
    </xf>
    <xf numFmtId="2" fontId="0" fillId="45" borderId="0" xfId="0" applyNumberFormat="1" applyFill="1" applyAlignment="1" applyProtection="1">
      <alignment/>
      <protection locked="0"/>
    </xf>
    <xf numFmtId="9" fontId="0" fillId="41" borderId="0" xfId="27" applyFont="1" applyFill="1" applyAlignment="1" applyProtection="1">
      <alignment/>
      <protection locked="0"/>
    </xf>
    <xf numFmtId="181" fontId="0" fillId="41" borderId="0" xfId="0" applyNumberFormat="1" applyFont="1" applyFill="1" applyAlignment="1" applyProtection="1">
      <alignment/>
      <protection locked="0"/>
    </xf>
    <xf numFmtId="11" fontId="0" fillId="0" borderId="0" xfId="0" applyNumberFormat="1" applyFont="1" applyFill="1" applyAlignment="1">
      <alignment/>
    </xf>
    <xf numFmtId="180" fontId="0" fillId="41" borderId="0" xfId="0" applyNumberFormat="1" applyFont="1" applyFill="1" applyAlignment="1" applyProtection="1">
      <alignment/>
      <protection locked="0"/>
    </xf>
    <xf numFmtId="1" fontId="0" fillId="45" borderId="0" xfId="0" applyNumberFormat="1" applyFont="1" applyFill="1" applyAlignment="1" applyProtection="1">
      <alignment/>
      <protection locked="0"/>
    </xf>
    <xf numFmtId="2" fontId="0" fillId="42" borderId="0" xfId="0" applyNumberFormat="1" applyFill="1" applyAlignment="1">
      <alignment/>
    </xf>
    <xf numFmtId="2" fontId="0" fillId="44" borderId="0" xfId="0" applyNumberFormat="1" applyFill="1" applyAlignment="1">
      <alignment/>
    </xf>
    <xf numFmtId="1" fontId="0" fillId="46" borderId="0" xfId="0" applyNumberFormat="1" applyFill="1" applyAlignment="1">
      <alignment/>
    </xf>
    <xf numFmtId="0" fontId="0" fillId="0" borderId="0" xfId="0" applyFont="1" applyAlignment="1">
      <alignment/>
    </xf>
    <xf numFmtId="1" fontId="18" fillId="0" borderId="0" xfId="0" applyNumberFormat="1" applyFont="1" applyFill="1" applyAlignment="1">
      <alignment/>
    </xf>
    <xf numFmtId="183" fontId="0" fillId="0" borderId="0" xfId="0" applyNumberFormat="1" applyFont="1" applyFill="1" applyAlignment="1">
      <alignment/>
    </xf>
    <xf numFmtId="1" fontId="0" fillId="0" borderId="0" xfId="0" applyNumberFormat="1" applyFill="1" applyAlignment="1">
      <alignment/>
    </xf>
    <xf numFmtId="181" fontId="0" fillId="0" borderId="0" xfId="0" applyNumberFormat="1" applyFill="1" applyAlignment="1">
      <alignment/>
    </xf>
    <xf numFmtId="182" fontId="0" fillId="0" borderId="0" xfId="0" applyNumberFormat="1" applyFill="1" applyAlignment="1">
      <alignment horizontal="right"/>
    </xf>
    <xf numFmtId="180" fontId="0" fillId="0" borderId="0" xfId="0" applyNumberFormat="1" applyFill="1" applyAlignment="1">
      <alignment/>
    </xf>
    <xf numFmtId="2" fontId="66" fillId="42" borderId="0" xfId="63" applyNumberFormat="1" applyFont="1" applyFill="1" applyBorder="1" applyProtection="1">
      <alignment/>
      <protection hidden="1"/>
    </xf>
    <xf numFmtId="0" fontId="0" fillId="44" borderId="0" xfId="0" applyNumberFormat="1" applyFill="1" applyAlignment="1">
      <alignment/>
    </xf>
    <xf numFmtId="0" fontId="0" fillId="0" borderId="0" xfId="0" applyFont="1" applyAlignment="1" applyProtection="1">
      <alignment/>
      <protection/>
    </xf>
    <xf numFmtId="2" fontId="0" fillId="44" borderId="0" xfId="0" applyNumberFormat="1" applyFont="1" applyFill="1" applyAlignment="1">
      <alignment horizontal="right"/>
    </xf>
    <xf numFmtId="2" fontId="0" fillId="44" borderId="0" xfId="0" applyNumberFormat="1" applyFont="1" applyFill="1" applyAlignment="1">
      <alignment/>
    </xf>
    <xf numFmtId="0" fontId="0" fillId="0" borderId="0" xfId="0" applyAlignment="1" applyProtection="1">
      <alignment/>
      <protection/>
    </xf>
    <xf numFmtId="0" fontId="15" fillId="0" borderId="0" xfId="0" applyFont="1" applyAlignment="1">
      <alignment wrapText="1"/>
    </xf>
    <xf numFmtId="0" fontId="0" fillId="0" borderId="0" xfId="0" applyFont="1" applyFill="1" applyAlignment="1">
      <alignment wrapText="1"/>
    </xf>
    <xf numFmtId="181" fontId="66" fillId="42" borderId="0" xfId="63" applyNumberFormat="1" applyFont="1" applyFill="1" applyBorder="1" applyProtection="1">
      <alignment/>
      <protection hidden="1"/>
    </xf>
    <xf numFmtId="0" fontId="19" fillId="0" borderId="0" xfId="0" applyFont="1" applyAlignment="1">
      <alignment wrapText="1"/>
    </xf>
    <xf numFmtId="48" fontId="0" fillId="0" borderId="0" xfId="0" applyNumberFormat="1" applyFill="1" applyAlignment="1">
      <alignment/>
    </xf>
    <xf numFmtId="0" fontId="0" fillId="0" borderId="0" xfId="0" applyNumberFormat="1" applyFont="1" applyFill="1" applyAlignment="1">
      <alignment/>
    </xf>
    <xf numFmtId="48" fontId="0" fillId="0" borderId="0" xfId="0" applyNumberFormat="1" applyFont="1" applyFill="1" applyAlignment="1">
      <alignment/>
    </xf>
    <xf numFmtId="2" fontId="0" fillId="0" borderId="0" xfId="0" applyNumberFormat="1" applyFont="1" applyAlignment="1">
      <alignment/>
    </xf>
    <xf numFmtId="181" fontId="0" fillId="40" borderId="0" xfId="0" applyNumberFormat="1" applyFont="1" applyFill="1" applyAlignment="1">
      <alignment/>
    </xf>
    <xf numFmtId="1" fontId="0" fillId="40" borderId="0" xfId="0" applyNumberFormat="1" applyFont="1" applyFill="1" applyAlignment="1">
      <alignment/>
    </xf>
    <xf numFmtId="181" fontId="0" fillId="39" borderId="0" xfId="0" applyNumberFormat="1" applyFill="1" applyAlignment="1">
      <alignment horizontal="right"/>
    </xf>
    <xf numFmtId="2" fontId="0" fillId="39" borderId="0" xfId="0" applyNumberFormat="1" applyFill="1" applyAlignment="1">
      <alignment horizontal="right"/>
    </xf>
    <xf numFmtId="180" fontId="0" fillId="39" borderId="0" xfId="0" applyNumberFormat="1" applyFill="1" applyAlignment="1">
      <alignment/>
    </xf>
    <xf numFmtId="180" fontId="3" fillId="0" borderId="0" xfId="0" applyNumberFormat="1" applyFont="1" applyFill="1" applyAlignment="1">
      <alignment/>
    </xf>
    <xf numFmtId="2" fontId="0" fillId="39" borderId="0" xfId="0" applyNumberFormat="1" applyFill="1" applyAlignment="1">
      <alignment/>
    </xf>
    <xf numFmtId="180" fontId="15" fillId="0" borderId="0" xfId="0" applyNumberFormat="1" applyFont="1" applyFill="1" applyAlignment="1">
      <alignment horizontal="right"/>
    </xf>
    <xf numFmtId="180" fontId="0" fillId="0" borderId="0" xfId="0" applyNumberFormat="1" applyFont="1" applyFill="1" applyAlignment="1">
      <alignment/>
    </xf>
    <xf numFmtId="183" fontId="0" fillId="0" borderId="0" xfId="0" applyNumberFormat="1" applyAlignment="1">
      <alignment/>
    </xf>
    <xf numFmtId="0" fontId="0" fillId="47" borderId="29" xfId="0" applyFill="1" applyBorder="1" applyAlignment="1">
      <alignment/>
    </xf>
    <xf numFmtId="0" fontId="0" fillId="47" borderId="30" xfId="0" applyFill="1" applyBorder="1" applyAlignment="1">
      <alignment/>
    </xf>
    <xf numFmtId="0" fontId="0" fillId="47" borderId="31" xfId="0" applyFill="1" applyBorder="1" applyAlignment="1">
      <alignment/>
    </xf>
    <xf numFmtId="0" fontId="0" fillId="47" borderId="0" xfId="0" applyFill="1" applyAlignment="1">
      <alignment/>
    </xf>
    <xf numFmtId="0" fontId="20" fillId="47" borderId="31" xfId="0" applyFont="1" applyFill="1" applyBorder="1" applyAlignment="1">
      <alignment/>
    </xf>
    <xf numFmtId="0" fontId="20" fillId="47" borderId="0" xfId="0" applyFont="1" applyFill="1" applyAlignment="1">
      <alignment/>
    </xf>
    <xf numFmtId="0" fontId="21" fillId="47" borderId="31" xfId="0" applyFont="1" applyFill="1" applyBorder="1" applyAlignment="1">
      <alignment/>
    </xf>
    <xf numFmtId="0" fontId="21" fillId="47" borderId="0" xfId="0" applyFont="1" applyFill="1" applyAlignment="1">
      <alignment/>
    </xf>
    <xf numFmtId="0" fontId="0" fillId="47" borderId="0" xfId="0" applyFont="1" applyFill="1" applyAlignment="1">
      <alignment horizontal="left" vertical="center"/>
    </xf>
    <xf numFmtId="0" fontId="0" fillId="47" borderId="0" xfId="0" applyFont="1" applyFill="1" applyAlignment="1">
      <alignment horizontal="left" vertical="center" wrapText="1"/>
    </xf>
    <xf numFmtId="0" fontId="0" fillId="47" borderId="0" xfId="0" applyFill="1" applyAlignment="1">
      <alignment horizontal="left" vertical="center"/>
    </xf>
    <xf numFmtId="0" fontId="0" fillId="41" borderId="0" xfId="0" applyFill="1" applyAlignment="1">
      <alignment horizontal="left" vertical="center"/>
    </xf>
    <xf numFmtId="0" fontId="0" fillId="41" borderId="0" xfId="0" applyFill="1" applyAlignment="1">
      <alignment/>
    </xf>
    <xf numFmtId="0" fontId="0" fillId="47" borderId="32" xfId="0" applyFill="1" applyBorder="1" applyAlignment="1">
      <alignment/>
    </xf>
    <xf numFmtId="0" fontId="0" fillId="47" borderId="33" xfId="0" applyFill="1" applyBorder="1" applyAlignment="1">
      <alignment/>
    </xf>
    <xf numFmtId="0" fontId="0" fillId="47" borderId="34" xfId="0" applyFill="1" applyBorder="1" applyAlignment="1">
      <alignment/>
    </xf>
    <xf numFmtId="0" fontId="22" fillId="47" borderId="0" xfId="0" applyFont="1" applyFill="1" applyAlignment="1">
      <alignment horizontal="left" vertical="center"/>
    </xf>
    <xf numFmtId="0" fontId="0" fillId="47" borderId="0" xfId="0" applyFont="1" applyFill="1" applyAlignment="1">
      <alignment horizontal="left" vertical="top" wrapText="1"/>
    </xf>
    <xf numFmtId="0" fontId="0" fillId="47" borderId="27" xfId="0" applyFill="1" applyBorder="1" applyAlignment="1">
      <alignment/>
    </xf>
    <xf numFmtId="0" fontId="0" fillId="47" borderId="35" xfId="0" applyFill="1" applyBorder="1" applyAlignment="1">
      <alignment/>
    </xf>
    <xf numFmtId="0" fontId="0" fillId="47" borderId="36" xfId="0" applyFill="1" applyBorder="1" applyAlignment="1">
      <alignment/>
    </xf>
    <xf numFmtId="0" fontId="0" fillId="47" borderId="37" xfId="0" applyFill="1" applyBorder="1" applyAlignment="1">
      <alignment/>
    </xf>
    <xf numFmtId="0" fontId="0" fillId="47" borderId="38" xfId="0" applyFill="1" applyBorder="1" applyAlignment="1">
      <alignment/>
    </xf>
    <xf numFmtId="0" fontId="0" fillId="47" borderId="39" xfId="0" applyFill="1" applyBorder="1" applyAlignment="1">
      <alignment/>
    </xf>
    <xf numFmtId="15" fontId="0" fillId="47" borderId="0" xfId="0" applyNumberFormat="1" applyFont="1" applyFill="1" applyAlignment="1">
      <alignment/>
    </xf>
    <xf numFmtId="0" fontId="20" fillId="47" borderId="39" xfId="0" applyFont="1" applyFill="1" applyBorder="1" applyAlignment="1">
      <alignment/>
    </xf>
    <xf numFmtId="0" fontId="21" fillId="47" borderId="39" xfId="0" applyFont="1" applyFill="1" applyBorder="1" applyAlignment="1">
      <alignment/>
    </xf>
    <xf numFmtId="0" fontId="0" fillId="47" borderId="40" xfId="0" applyFill="1" applyBorder="1" applyAlignment="1">
      <alignment/>
    </xf>
    <xf numFmtId="0" fontId="0" fillId="47" borderId="41" xfId="0" applyFill="1" applyBorder="1" applyAlignment="1">
      <alignment/>
    </xf>
    <xf numFmtId="0" fontId="0" fillId="47" borderId="28" xfId="0" applyFill="1" applyBorder="1" applyAlignment="1">
      <alignment/>
    </xf>
    <xf numFmtId="0" fontId="0" fillId="47" borderId="42" xfId="0" applyFill="1" applyBorder="1" applyAlignment="1">
      <alignment/>
    </xf>
    <xf numFmtId="0" fontId="2" fillId="0" borderId="0" xfId="0" applyFont="1" applyAlignment="1" applyProtection="1" quotePrefix="1">
      <alignment horizontal="center"/>
      <protection hidden="1"/>
    </xf>
  </cellXfs>
  <cellStyles count="58">
    <cellStyle name="Normal" xfId="0"/>
    <cellStyle name="Percent 3" xfId="15"/>
    <cellStyle name="Currency [0]" xfId="16"/>
    <cellStyle name="20% - 强调文字颜色 3" xfId="17"/>
    <cellStyle name="输入" xfId="18"/>
    <cellStyle name="Currency" xfId="19"/>
    <cellStyle name="Percent 5"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Normal 2 2"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Normal 3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Normal 2" xfId="60"/>
    <cellStyle name="40% - 强调文字颜色 4" xfId="61"/>
    <cellStyle name="强调文字颜色 5" xfId="62"/>
    <cellStyle name="Normal 3" xfId="63"/>
    <cellStyle name="40% - 强调文字颜色 5" xfId="64"/>
    <cellStyle name="60% - 强调文字颜色 5" xfId="65"/>
    <cellStyle name="强调文字颜色 6" xfId="66"/>
    <cellStyle name="Normal 4" xfId="67"/>
    <cellStyle name="40% - 强调文字颜色 6" xfId="68"/>
    <cellStyle name="60% - 强调文字颜色 6" xfId="69"/>
    <cellStyle name="Percent 2" xfId="70"/>
    <cellStyle name="Percent 4" xfId="71"/>
  </cellStyles>
  <dxfs count="2">
    <dxf>
      <font>
        <b val="0"/>
        <color rgb="FF800000"/>
      </font>
      <fill>
        <patternFill patternType="solid">
          <fgColor indexed="65"/>
          <bgColor rgb="FFFF99CC"/>
        </patternFill>
      </fill>
      <border/>
    </dxf>
    <dxf>
      <font>
        <b val="0"/>
        <color rgb="FFFFFFFF"/>
      </font>
      <fill>
        <patternFill patternType="solid">
          <fgColor indexed="65"/>
          <b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Frequency Response</a:t>
            </a:r>
          </a:p>
        </c:rich>
      </c:tx>
      <c:layout>
        <c:manualLayout>
          <c:xMode val="factor"/>
          <c:yMode val="factor"/>
          <c:x val="0.0055"/>
          <c:y val="0.017"/>
        </c:manualLayout>
      </c:layout>
      <c:spPr>
        <a:noFill/>
        <a:ln w="3175">
          <a:noFill/>
        </a:ln>
      </c:spPr>
    </c:title>
    <c:plotArea>
      <c:layout>
        <c:manualLayout>
          <c:xMode val="edge"/>
          <c:yMode val="edge"/>
          <c:x val="0.06125"/>
          <c:y val="0.073"/>
          <c:w val="0.85425"/>
          <c:h val="0.7725"/>
        </c:manualLayout>
      </c:layout>
      <c:scatterChart>
        <c:scatterStyle val="smooth"/>
        <c:varyColors val="0"/>
        <c:ser>
          <c:idx val="1"/>
          <c:order val="0"/>
          <c:tx>
            <c:v>Power Stage Gain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Signal'!$I$2:$I$212</c:f>
              <c:numCache/>
            </c:numRef>
          </c:yVal>
          <c:smooth val="1"/>
        </c:ser>
        <c:ser>
          <c:idx val="0"/>
          <c:order val="1"/>
          <c:tx>
            <c:v>Compensation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Signal'!$T$2:$T$212</c:f>
              <c:numCache/>
            </c:numRef>
          </c:yVal>
          <c:smooth val="1"/>
        </c:ser>
        <c:ser>
          <c:idx val="2"/>
          <c:order val="2"/>
          <c:tx>
            <c:v>Overall Gain </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Signal'!$K$2:$K$212</c:f>
              <c:numCache/>
            </c:numRef>
          </c:yVal>
          <c:smooth val="1"/>
        </c:ser>
        <c:axId val="51652574"/>
        <c:axId val="62219983"/>
      </c:scatterChart>
      <c:scatterChart>
        <c:scatterStyle val="smooth"/>
        <c:varyColors val="0"/>
        <c:ser>
          <c:idx val="3"/>
          <c:order val="3"/>
          <c:tx>
            <c:v>Power Stage Phase</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Signal'!$J$2:$J$212</c:f>
              <c:numCache/>
            </c:numRef>
          </c:yVal>
          <c:smooth val="1"/>
        </c:ser>
        <c:ser>
          <c:idx val="4"/>
          <c:order val="4"/>
          <c:tx>
            <c:v>Compensation Phase</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Signal'!$U$2:$U$212</c:f>
              <c:numCache/>
            </c:numRef>
          </c:yVal>
          <c:smooth val="1"/>
        </c:ser>
        <c:ser>
          <c:idx val="5"/>
          <c:order val="5"/>
          <c:tx>
            <c:v>Overall Phase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Signal'!$L$2:$L$212</c:f>
              <c:numCache/>
            </c:numRef>
          </c:yVal>
          <c:smooth val="1"/>
        </c:ser>
        <c:axId val="23108936"/>
        <c:axId val="6653833"/>
      </c:scatterChart>
      <c:valAx>
        <c:axId val="51652574"/>
        <c:scaling>
          <c:logBase val="10"/>
          <c:orientation val="minMax"/>
          <c:max val="1000000"/>
          <c:min val="10"/>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noFill/>
          </a:ln>
        </c:spPr>
        <c:crossAx val="62219983"/>
        <c:crossesAt val="0"/>
        <c:crossBetween val="midCat"/>
        <c:dispUnits/>
      </c:valAx>
      <c:valAx>
        <c:axId val="62219983"/>
        <c:scaling>
          <c:orientation val="minMax"/>
          <c:max val="60"/>
          <c:min val="-60"/>
        </c:scaling>
        <c:axPos val="l"/>
        <c:title>
          <c:tx>
            <c:rich>
              <a:bodyPr vert="horz" rot="-5400000" anchor="ctr"/>
              <a:lstStyle/>
              <a:p>
                <a:pPr algn="ctr">
                  <a:defRPr/>
                </a:pPr>
                <a:r>
                  <a:rPr lang="en-US" cap="none" sz="1000" b="1" i="0" u="none" baseline="0">
                    <a:solidFill>
                      <a:srgbClr val="000000"/>
                    </a:solidFill>
                    <a:latin typeface="Arial"/>
                    <a:ea typeface="Arial"/>
                    <a:cs typeface="Arial"/>
                  </a:rPr>
                  <a:t>Gain - dB</a:t>
                </a:r>
              </a:p>
            </c:rich>
          </c:tx>
          <c:layout>
            <c:manualLayout>
              <c:xMode val="factor"/>
              <c:yMode val="factor"/>
              <c:x val="0"/>
              <c:y val="0"/>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652574"/>
        <c:crosses val="autoZero"/>
        <c:crossBetween val="midCat"/>
        <c:dispUnits/>
        <c:minorUnit val="10"/>
      </c:valAx>
      <c:valAx>
        <c:axId val="23108936"/>
        <c:scaling>
          <c:logBase val="10"/>
          <c:orientation val="minMax"/>
          <c:max val="1000000"/>
          <c:min val="10"/>
        </c:scaling>
        <c:axPos val="b"/>
        <c:minorGridlines>
          <c:spPr>
            <a:ln w="3175">
              <a:solidFill>
                <a:srgbClr val="C0C0C0"/>
              </a:solidFill>
            </a:ln>
          </c:spPr>
        </c:minorGridlines>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6653833"/>
        <c:crosses val="max"/>
        <c:crossBetween val="midCat"/>
        <c:dispUnits/>
      </c:valAx>
      <c:valAx>
        <c:axId val="6653833"/>
        <c:scaling>
          <c:orientation val="minMax"/>
          <c:max val="1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 deg</a:t>
                </a:r>
              </a:p>
            </c:rich>
          </c:tx>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108936"/>
        <c:crosses val="max"/>
        <c:crossBetween val="midCat"/>
        <c:dispUnits/>
        <c:majorUnit val="60"/>
      </c:valAx>
      <c:spPr>
        <a:noFill/>
        <a:ln w="12700">
          <a:solidFill>
            <a:srgbClr val="808080"/>
          </a:solidFill>
        </a:ln>
      </c:spPr>
    </c:plotArea>
    <c:legend>
      <c:legendPos val="b"/>
      <c:layout>
        <c:manualLayout>
          <c:xMode val="edge"/>
          <c:yMode val="edge"/>
          <c:x val="0.04375"/>
          <c:y val="0.92625"/>
          <c:w val="0.89975"/>
          <c:h val="0.03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15</xdr:col>
      <xdr:colOff>276225</xdr:colOff>
      <xdr:row>46</xdr:row>
      <xdr:rowOff>28575</xdr:rowOff>
    </xdr:to>
    <xdr:graphicFrame>
      <xdr:nvGraphicFramePr>
        <xdr:cNvPr id="1" name="Chart 733"/>
        <xdr:cNvGraphicFramePr/>
      </xdr:nvGraphicFramePr>
      <xdr:xfrm>
        <a:off x="2381250" y="323850"/>
        <a:ext cx="10201275" cy="731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N29"/>
  <sheetViews>
    <sheetView workbookViewId="0" topLeftCell="A19">
      <selection activeCell="C6" sqref="C6"/>
    </sheetView>
  </sheetViews>
  <sheetFormatPr defaultColWidth="9.140625" defaultRowHeight="12.75"/>
  <cols>
    <col min="1" max="1" width="4.00390625" style="0" customWidth="1"/>
  </cols>
  <sheetData>
    <row r="2" ht="13.5"/>
    <row r="3" spans="2:14" ht="13.5">
      <c r="B3" s="217"/>
      <c r="C3" s="218"/>
      <c r="D3" s="218"/>
      <c r="E3" s="218"/>
      <c r="F3" s="218"/>
      <c r="G3" s="218"/>
      <c r="H3" s="218"/>
      <c r="I3" s="218"/>
      <c r="J3" s="218"/>
      <c r="K3" s="218"/>
      <c r="L3" s="218"/>
      <c r="M3" s="218"/>
      <c r="N3" s="239"/>
    </row>
    <row r="4" spans="2:14" ht="12.75">
      <c r="B4" s="219"/>
      <c r="C4" s="220"/>
      <c r="D4" s="220"/>
      <c r="E4" s="220"/>
      <c r="F4" s="220"/>
      <c r="G4" s="220"/>
      <c r="H4" s="220"/>
      <c r="I4" s="220"/>
      <c r="J4" s="220"/>
      <c r="K4" s="220"/>
      <c r="L4" s="220"/>
      <c r="M4" s="220"/>
      <c r="N4" s="240"/>
    </row>
    <row r="5" spans="2:14" ht="12.75">
      <c r="B5" s="219"/>
      <c r="C5" s="220"/>
      <c r="D5" s="220"/>
      <c r="E5" s="220"/>
      <c r="F5" s="220"/>
      <c r="G5" s="220"/>
      <c r="H5" s="220"/>
      <c r="I5" s="220"/>
      <c r="J5" s="220"/>
      <c r="K5" s="220"/>
      <c r="L5" s="220"/>
      <c r="M5" s="241">
        <v>42009</v>
      </c>
      <c r="N5" s="240"/>
    </row>
    <row r="6" spans="2:14" ht="30">
      <c r="B6" s="221"/>
      <c r="C6" s="222" t="s">
        <v>0</v>
      </c>
      <c r="D6" s="222"/>
      <c r="E6" s="222"/>
      <c r="F6" s="222"/>
      <c r="G6" s="222"/>
      <c r="H6" s="222"/>
      <c r="I6" s="222"/>
      <c r="J6" s="222"/>
      <c r="K6" s="222"/>
      <c r="L6" s="222"/>
      <c r="M6" s="222"/>
      <c r="N6" s="242"/>
    </row>
    <row r="7" spans="2:14" ht="20.25">
      <c r="B7" s="223"/>
      <c r="C7" s="224" t="s">
        <v>1</v>
      </c>
      <c r="D7" s="224"/>
      <c r="E7" s="224"/>
      <c r="F7" s="224"/>
      <c r="G7" s="224"/>
      <c r="H7" s="224"/>
      <c r="I7" s="224"/>
      <c r="J7" s="224"/>
      <c r="K7" s="224"/>
      <c r="L7" s="224"/>
      <c r="M7" s="224"/>
      <c r="N7" s="243"/>
    </row>
    <row r="8" spans="2:14" ht="12.75">
      <c r="B8" s="219"/>
      <c r="C8" s="225" t="s">
        <v>2</v>
      </c>
      <c r="D8" s="225"/>
      <c r="E8" s="225"/>
      <c r="F8" s="225"/>
      <c r="G8" s="225"/>
      <c r="H8" s="225"/>
      <c r="I8" s="225"/>
      <c r="J8" s="225"/>
      <c r="K8" s="225"/>
      <c r="L8" s="225"/>
      <c r="M8" s="225"/>
      <c r="N8" s="240"/>
    </row>
    <row r="9" spans="2:14" ht="12.75">
      <c r="B9" s="219"/>
      <c r="C9" s="220"/>
      <c r="D9" s="220"/>
      <c r="E9" s="220"/>
      <c r="F9" s="220"/>
      <c r="G9" s="220"/>
      <c r="H9" s="220"/>
      <c r="I9" s="220"/>
      <c r="J9" s="220"/>
      <c r="K9" s="220"/>
      <c r="L9" s="220"/>
      <c r="M9" s="220"/>
      <c r="N9" s="240"/>
    </row>
    <row r="10" spans="2:14" ht="12.75">
      <c r="B10" s="219"/>
      <c r="C10" s="226" t="s">
        <v>3</v>
      </c>
      <c r="D10" s="226"/>
      <c r="E10" s="226"/>
      <c r="F10" s="226"/>
      <c r="G10" s="226"/>
      <c r="H10" s="226"/>
      <c r="I10" s="226"/>
      <c r="J10" s="226"/>
      <c r="K10" s="226"/>
      <c r="L10" s="226"/>
      <c r="M10" s="226"/>
      <c r="N10" s="240"/>
    </row>
    <row r="11" spans="2:14" ht="12.75">
      <c r="B11" s="219"/>
      <c r="C11" s="226"/>
      <c r="D11" s="226"/>
      <c r="E11" s="226"/>
      <c r="F11" s="226"/>
      <c r="G11" s="226"/>
      <c r="H11" s="226"/>
      <c r="I11" s="226"/>
      <c r="J11" s="226"/>
      <c r="K11" s="226"/>
      <c r="L11" s="226"/>
      <c r="M11" s="226"/>
      <c r="N11" s="240"/>
    </row>
    <row r="12" spans="2:14" ht="12.75">
      <c r="B12" s="219"/>
      <c r="C12" s="220"/>
      <c r="D12" s="220"/>
      <c r="E12" s="220"/>
      <c r="F12" s="220"/>
      <c r="G12" s="220"/>
      <c r="H12" s="220"/>
      <c r="I12" s="220"/>
      <c r="J12" s="220"/>
      <c r="K12" s="220"/>
      <c r="L12" s="220"/>
      <c r="M12" s="220"/>
      <c r="N12" s="240"/>
    </row>
    <row r="13" spans="2:14" ht="12.75">
      <c r="B13" s="219"/>
      <c r="C13" s="225" t="s">
        <v>4</v>
      </c>
      <c r="D13" s="225"/>
      <c r="E13" s="225"/>
      <c r="F13" s="225"/>
      <c r="G13" s="225"/>
      <c r="H13" s="225"/>
      <c r="I13" s="225"/>
      <c r="J13" s="225"/>
      <c r="K13" s="225"/>
      <c r="L13" s="225"/>
      <c r="M13" s="225"/>
      <c r="N13" s="240"/>
    </row>
    <row r="14" spans="2:14" ht="12.75">
      <c r="B14" s="219"/>
      <c r="C14" s="227" t="s">
        <v>5</v>
      </c>
      <c r="D14" s="227"/>
      <c r="E14" s="227"/>
      <c r="F14" s="227"/>
      <c r="G14" s="227"/>
      <c r="H14" s="227"/>
      <c r="I14" s="227"/>
      <c r="J14" s="227"/>
      <c r="K14" s="227"/>
      <c r="L14" s="227"/>
      <c r="M14" s="227"/>
      <c r="N14" s="240"/>
    </row>
    <row r="15" spans="2:14" ht="12.75">
      <c r="B15" s="219"/>
      <c r="C15" s="228" t="s">
        <v>6</v>
      </c>
      <c r="D15" s="228"/>
      <c r="E15" s="228"/>
      <c r="F15" s="228"/>
      <c r="G15" s="228"/>
      <c r="H15" s="228"/>
      <c r="I15" s="228"/>
      <c r="J15" s="228"/>
      <c r="K15" s="228"/>
      <c r="L15" s="228"/>
      <c r="M15" s="228"/>
      <c r="N15" s="240"/>
    </row>
    <row r="16" spans="2:14" ht="12.75">
      <c r="B16" s="219"/>
      <c r="C16" s="229"/>
      <c r="D16" s="229"/>
      <c r="E16" s="229"/>
      <c r="F16" s="229"/>
      <c r="G16" s="220"/>
      <c r="H16" s="220"/>
      <c r="I16" s="220"/>
      <c r="J16" s="220"/>
      <c r="K16" s="220"/>
      <c r="L16" s="220"/>
      <c r="M16" s="220"/>
      <c r="N16" s="240"/>
    </row>
    <row r="17" spans="2:14" ht="12.75">
      <c r="B17" s="219"/>
      <c r="C17" s="225" t="s">
        <v>7</v>
      </c>
      <c r="D17" s="225"/>
      <c r="E17" s="225"/>
      <c r="F17" s="225"/>
      <c r="G17" s="225"/>
      <c r="H17" s="225"/>
      <c r="I17" s="225"/>
      <c r="J17" s="225"/>
      <c r="K17" s="225"/>
      <c r="L17" s="225"/>
      <c r="M17" s="225"/>
      <c r="N17" s="240"/>
    </row>
    <row r="18" spans="2:14" ht="12.75">
      <c r="B18" s="219"/>
      <c r="C18" s="220"/>
      <c r="D18" s="220"/>
      <c r="E18" s="220"/>
      <c r="F18" s="220"/>
      <c r="G18" s="220"/>
      <c r="H18" s="220"/>
      <c r="I18" s="220"/>
      <c r="J18" s="220"/>
      <c r="K18" s="220"/>
      <c r="L18" s="220"/>
      <c r="M18" s="220"/>
      <c r="N18" s="240"/>
    </row>
    <row r="19" spans="2:14" ht="12.75">
      <c r="B19" s="219"/>
      <c r="C19" s="225" t="s">
        <v>8</v>
      </c>
      <c r="D19" s="225"/>
      <c r="E19" s="225"/>
      <c r="F19" s="225"/>
      <c r="G19" s="225"/>
      <c r="H19" s="225"/>
      <c r="I19" s="225"/>
      <c r="J19" s="225"/>
      <c r="K19" s="225"/>
      <c r="L19" s="225"/>
      <c r="M19" s="225"/>
      <c r="N19" s="240"/>
    </row>
    <row r="20" spans="2:14" ht="13.5">
      <c r="B20" s="219"/>
      <c r="C20" s="220"/>
      <c r="D20" s="220"/>
      <c r="E20" s="220"/>
      <c r="F20" s="220"/>
      <c r="G20" s="220"/>
      <c r="H20" s="220"/>
      <c r="I20" s="220"/>
      <c r="J20" s="220"/>
      <c r="K20" s="220"/>
      <c r="L20" s="220"/>
      <c r="M20" s="220"/>
      <c r="N20" s="240"/>
    </row>
    <row r="21" spans="2:14" ht="12.75">
      <c r="B21" s="219"/>
      <c r="C21" s="230"/>
      <c r="D21" s="231"/>
      <c r="E21" s="231"/>
      <c r="F21" s="231"/>
      <c r="G21" s="231"/>
      <c r="H21" s="231"/>
      <c r="I21" s="231"/>
      <c r="J21" s="231"/>
      <c r="K21" s="231"/>
      <c r="L21" s="231"/>
      <c r="M21" s="244"/>
      <c r="N21" s="240"/>
    </row>
    <row r="22" spans="2:14" ht="15.75">
      <c r="B22" s="219"/>
      <c r="C22" s="232"/>
      <c r="D22" s="233" t="s">
        <v>9</v>
      </c>
      <c r="E22" s="233"/>
      <c r="F22" s="233"/>
      <c r="G22" s="233"/>
      <c r="H22" s="233"/>
      <c r="I22" s="233"/>
      <c r="J22" s="233"/>
      <c r="K22" s="233"/>
      <c r="L22" s="233"/>
      <c r="M22" s="245"/>
      <c r="N22" s="240"/>
    </row>
    <row r="23" spans="2:14" ht="12.75">
      <c r="B23" s="219"/>
      <c r="C23" s="232"/>
      <c r="D23" s="234" t="s">
        <v>10</v>
      </c>
      <c r="E23" s="234"/>
      <c r="F23" s="234"/>
      <c r="G23" s="234"/>
      <c r="H23" s="234"/>
      <c r="I23" s="234"/>
      <c r="J23" s="234"/>
      <c r="K23" s="234"/>
      <c r="L23" s="234"/>
      <c r="M23" s="245"/>
      <c r="N23" s="240"/>
    </row>
    <row r="24" spans="2:14" ht="12.75">
      <c r="B24" s="219"/>
      <c r="C24" s="232"/>
      <c r="D24" s="234"/>
      <c r="E24" s="234"/>
      <c r="F24" s="234"/>
      <c r="G24" s="234"/>
      <c r="H24" s="234"/>
      <c r="I24" s="234"/>
      <c r="J24" s="234"/>
      <c r="K24" s="234"/>
      <c r="L24" s="234"/>
      <c r="M24" s="245"/>
      <c r="N24" s="240"/>
    </row>
    <row r="25" spans="2:14" ht="12.75">
      <c r="B25" s="219"/>
      <c r="C25" s="232"/>
      <c r="D25" s="234"/>
      <c r="E25" s="234"/>
      <c r="F25" s="234"/>
      <c r="G25" s="234"/>
      <c r="H25" s="234"/>
      <c r="I25" s="234"/>
      <c r="J25" s="234"/>
      <c r="K25" s="234"/>
      <c r="L25" s="234"/>
      <c r="M25" s="245"/>
      <c r="N25" s="240"/>
    </row>
    <row r="26" spans="2:14" ht="12.75">
      <c r="B26" s="219"/>
      <c r="C26" s="232"/>
      <c r="D26" s="234"/>
      <c r="E26" s="234"/>
      <c r="F26" s="234"/>
      <c r="G26" s="234"/>
      <c r="H26" s="234"/>
      <c r="I26" s="234"/>
      <c r="J26" s="234"/>
      <c r="K26" s="234"/>
      <c r="L26" s="234"/>
      <c r="M26" s="245"/>
      <c r="N26" s="240"/>
    </row>
    <row r="27" spans="2:14" ht="13.5">
      <c r="B27" s="219"/>
      <c r="C27" s="235"/>
      <c r="D27" s="236"/>
      <c r="E27" s="236"/>
      <c r="F27" s="236"/>
      <c r="G27" s="236"/>
      <c r="H27" s="236"/>
      <c r="I27" s="236"/>
      <c r="J27" s="236"/>
      <c r="K27" s="236"/>
      <c r="L27" s="236"/>
      <c r="M27" s="246"/>
      <c r="N27" s="240"/>
    </row>
    <row r="28" spans="2:14" ht="12.75">
      <c r="B28" s="219"/>
      <c r="C28" s="220"/>
      <c r="D28" s="220"/>
      <c r="E28" s="220"/>
      <c r="F28" s="220"/>
      <c r="G28" s="220"/>
      <c r="H28" s="220"/>
      <c r="I28" s="220"/>
      <c r="J28" s="220"/>
      <c r="K28" s="220"/>
      <c r="L28" s="220"/>
      <c r="M28" s="220"/>
      <c r="N28" s="240"/>
    </row>
    <row r="29" spans="2:14" ht="13.5">
      <c r="B29" s="237"/>
      <c r="C29" s="238"/>
      <c r="D29" s="238"/>
      <c r="E29" s="238"/>
      <c r="F29" s="238"/>
      <c r="G29" s="238"/>
      <c r="H29" s="238"/>
      <c r="I29" s="238"/>
      <c r="J29" s="238"/>
      <c r="K29" s="238"/>
      <c r="L29" s="238"/>
      <c r="M29" s="238"/>
      <c r="N29" s="247"/>
    </row>
    <row r="30" ht="13.5"/>
  </sheetData>
  <sheetProtection sheet="1"/>
  <mergeCells count="9">
    <mergeCell ref="C8:M8"/>
    <mergeCell ref="C13:M13"/>
    <mergeCell ref="C14:M14"/>
    <mergeCell ref="C15:M15"/>
    <mergeCell ref="C17:M17"/>
    <mergeCell ref="C19:M19"/>
    <mergeCell ref="D22:L22"/>
    <mergeCell ref="C10:M11"/>
    <mergeCell ref="D23:L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91"/>
  <sheetViews>
    <sheetView tabSelected="1" workbookViewId="0" topLeftCell="A152">
      <selection activeCell="A168" sqref="A168:IV168"/>
    </sheetView>
  </sheetViews>
  <sheetFormatPr defaultColWidth="9.140625" defaultRowHeight="12.75"/>
  <cols>
    <col min="1" max="1" width="62.00390625" style="114" bestFit="1" customWidth="1"/>
    <col min="2" max="2" width="16.57421875" style="0" bestFit="1" customWidth="1"/>
    <col min="3" max="3" width="9.57421875" style="0" bestFit="1" customWidth="1"/>
    <col min="4" max="4" width="12.140625" style="0" bestFit="1" customWidth="1"/>
    <col min="5" max="5" width="16.421875" style="61" bestFit="1" customWidth="1"/>
    <col min="6" max="6" width="30.28125" style="0" bestFit="1" customWidth="1"/>
    <col min="7" max="7" width="14.421875" style="0" bestFit="1" customWidth="1"/>
    <col min="8" max="8" width="13.421875" style="0" customWidth="1"/>
    <col min="9" max="9" width="11.7109375" style="0" customWidth="1"/>
  </cols>
  <sheetData>
    <row r="1" spans="1:14" ht="22.5" customHeight="1">
      <c r="A1" s="115" t="s">
        <v>11</v>
      </c>
      <c r="B1" s="115"/>
      <c r="C1" s="115"/>
      <c r="D1" s="115"/>
      <c r="E1" s="115"/>
      <c r="F1" s="115"/>
      <c r="H1" s="116"/>
      <c r="I1" s="73"/>
      <c r="J1" s="73"/>
      <c r="K1" s="73"/>
      <c r="L1" s="113"/>
      <c r="M1" s="73"/>
      <c r="N1" s="73"/>
    </row>
    <row r="2" spans="1:14" ht="12.75">
      <c r="A2" s="117"/>
      <c r="B2" s="118"/>
      <c r="C2" s="117"/>
      <c r="D2" s="119"/>
      <c r="E2" s="120"/>
      <c r="F2" s="73"/>
      <c r="H2" s="73"/>
      <c r="I2" s="90"/>
      <c r="J2" s="73"/>
      <c r="K2" s="73"/>
      <c r="L2" s="73"/>
      <c r="M2" s="73"/>
      <c r="N2" s="73"/>
    </row>
    <row r="3" spans="1:13" ht="12.75" customHeight="1">
      <c r="A3" s="121" t="s">
        <v>12</v>
      </c>
      <c r="B3" s="122" t="s">
        <v>13</v>
      </c>
      <c r="E3" s="123" t="s">
        <v>14</v>
      </c>
      <c r="G3" s="73"/>
      <c r="H3" s="73"/>
      <c r="I3" s="73"/>
      <c r="J3" s="73"/>
      <c r="K3" s="113"/>
      <c r="L3" s="73"/>
      <c r="M3" s="73"/>
    </row>
    <row r="4" spans="3:13" ht="12.75">
      <c r="C4" s="73"/>
      <c r="E4" s="124" t="s">
        <v>15</v>
      </c>
      <c r="G4" s="73"/>
      <c r="H4" s="73"/>
      <c r="I4" s="73"/>
      <c r="J4" s="73"/>
      <c r="K4" s="113"/>
      <c r="L4" s="73"/>
      <c r="M4" s="73"/>
    </row>
    <row r="5" spans="1:13" ht="15">
      <c r="A5" s="125" t="s">
        <v>16</v>
      </c>
      <c r="B5" s="126" t="s">
        <v>17</v>
      </c>
      <c r="C5" s="127" t="s">
        <v>18</v>
      </c>
      <c r="E5" s="128" t="s">
        <v>19</v>
      </c>
      <c r="G5" s="126"/>
      <c r="H5" s="126"/>
      <c r="I5" s="73"/>
      <c r="J5" s="126"/>
      <c r="K5" s="126"/>
      <c r="L5" s="126"/>
      <c r="M5" s="73"/>
    </row>
    <row r="6" spans="1:13" ht="12.75">
      <c r="A6" s="129" t="s">
        <v>20</v>
      </c>
      <c r="B6" s="130">
        <v>50</v>
      </c>
      <c r="C6" s="66" t="s">
        <v>21</v>
      </c>
      <c r="E6"/>
      <c r="G6" s="126"/>
      <c r="H6" s="126"/>
      <c r="I6" s="73"/>
      <c r="J6" s="126"/>
      <c r="K6" s="126"/>
      <c r="L6" s="126"/>
      <c r="M6" s="73"/>
    </row>
    <row r="7" spans="1:13" ht="12.75">
      <c r="A7" s="129" t="s">
        <v>22</v>
      </c>
      <c r="B7" s="130">
        <v>60</v>
      </c>
      <c r="C7" s="66" t="s">
        <v>21</v>
      </c>
      <c r="E7" s="131" t="s">
        <v>23</v>
      </c>
      <c r="F7" s="131"/>
      <c r="G7" s="126"/>
      <c r="H7" s="126"/>
      <c r="I7" s="73"/>
      <c r="J7" s="126"/>
      <c r="K7" s="126"/>
      <c r="L7" s="126"/>
      <c r="M7" s="73"/>
    </row>
    <row r="8" spans="1:13" ht="12.75">
      <c r="A8" s="129" t="s">
        <v>24</v>
      </c>
      <c r="B8" s="130">
        <v>8.5</v>
      </c>
      <c r="C8" s="66" t="s">
        <v>21</v>
      </c>
      <c r="E8" s="60" t="s">
        <v>25</v>
      </c>
      <c r="F8" s="60" t="s">
        <v>26</v>
      </c>
      <c r="G8" s="73"/>
      <c r="H8" s="90"/>
      <c r="I8" s="73"/>
      <c r="J8" s="73"/>
      <c r="K8" s="113"/>
      <c r="L8" s="73"/>
      <c r="M8" s="73"/>
    </row>
    <row r="9" spans="1:13" ht="12.75">
      <c r="A9" s="129" t="s">
        <v>27</v>
      </c>
      <c r="B9" s="130">
        <v>7.4</v>
      </c>
      <c r="C9" s="66" t="s">
        <v>21</v>
      </c>
      <c r="E9" s="60" t="s">
        <v>28</v>
      </c>
      <c r="F9" s="60" t="s">
        <v>29</v>
      </c>
      <c r="G9" s="73"/>
      <c r="H9" s="132"/>
      <c r="I9" s="154"/>
      <c r="J9" s="154"/>
      <c r="K9" s="73"/>
      <c r="L9" s="73"/>
      <c r="M9" s="73"/>
    </row>
    <row r="10" spans="1:13" ht="12.75">
      <c r="A10" s="129" t="s">
        <v>30</v>
      </c>
      <c r="B10" s="133">
        <f>0.005*Vout</f>
        <v>0.037000000000000005</v>
      </c>
      <c r="C10" s="66" t="s">
        <v>21</v>
      </c>
      <c r="E10" s="60" t="s">
        <v>13</v>
      </c>
      <c r="F10" s="60" t="s">
        <v>31</v>
      </c>
      <c r="G10" s="73"/>
      <c r="H10" s="73"/>
      <c r="I10" s="73"/>
      <c r="J10" s="73"/>
      <c r="K10" s="73"/>
      <c r="L10" s="73"/>
      <c r="M10" s="73"/>
    </row>
    <row r="11" spans="1:13" ht="12.75">
      <c r="A11" s="129" t="s">
        <v>32</v>
      </c>
      <c r="B11" s="133">
        <v>4</v>
      </c>
      <c r="C11" s="66" t="s">
        <v>33</v>
      </c>
      <c r="E11" s="60" t="s">
        <v>34</v>
      </c>
      <c r="F11" s="60" t="s">
        <v>35</v>
      </c>
      <c r="G11" s="73"/>
      <c r="H11" s="90"/>
      <c r="I11" s="73"/>
      <c r="J11" s="73"/>
      <c r="K11" s="73"/>
      <c r="L11" s="73"/>
      <c r="M11" s="73"/>
    </row>
    <row r="12" spans="1:13" ht="12.75">
      <c r="A12" s="129" t="s">
        <v>36</v>
      </c>
      <c r="B12" s="134">
        <f>Vout*dV_percent/100</f>
        <v>0.29600000000000004</v>
      </c>
      <c r="C12" s="66" t="s">
        <v>21</v>
      </c>
      <c r="D12" s="135"/>
      <c r="E12" s="60" t="s">
        <v>37</v>
      </c>
      <c r="F12" s="60" t="s">
        <v>38</v>
      </c>
      <c r="G12" s="73"/>
      <c r="H12" s="90"/>
      <c r="I12" s="73"/>
      <c r="J12" s="73"/>
      <c r="K12" s="73"/>
      <c r="L12" s="73"/>
      <c r="M12" s="73"/>
    </row>
    <row r="13" spans="1:13" ht="12.75">
      <c r="A13" s="129" t="s">
        <v>39</v>
      </c>
      <c r="B13" s="133">
        <f>Iout/2</f>
        <v>1.5</v>
      </c>
      <c r="C13" s="66" t="s">
        <v>40</v>
      </c>
      <c r="D13" s="135"/>
      <c r="E13" s="60" t="s">
        <v>41</v>
      </c>
      <c r="F13" s="60" t="s">
        <v>42</v>
      </c>
      <c r="G13" s="73"/>
      <c r="H13" s="136"/>
      <c r="I13" s="73"/>
      <c r="J13" s="73"/>
      <c r="K13" s="73"/>
      <c r="L13" s="73"/>
      <c r="M13" s="73"/>
    </row>
    <row r="14" spans="1:13" ht="12.75">
      <c r="A14" s="129" t="s">
        <v>43</v>
      </c>
      <c r="B14" s="137">
        <v>3</v>
      </c>
      <c r="C14" s="66" t="s">
        <v>40</v>
      </c>
      <c r="D14" s="135"/>
      <c r="E14" s="60" t="s">
        <v>44</v>
      </c>
      <c r="F14" s="60" t="s">
        <v>45</v>
      </c>
      <c r="G14" s="73"/>
      <c r="H14" s="136"/>
      <c r="I14" s="73"/>
      <c r="J14" s="73"/>
      <c r="K14" s="73"/>
      <c r="L14" s="73"/>
      <c r="M14" s="73"/>
    </row>
    <row r="15" spans="1:13" ht="12.75">
      <c r="A15" s="129" t="s">
        <v>46</v>
      </c>
      <c r="B15" s="133">
        <v>0.1</v>
      </c>
      <c r="C15" s="66" t="s">
        <v>40</v>
      </c>
      <c r="D15" s="61"/>
      <c r="E15" s="60" t="s">
        <v>47</v>
      </c>
      <c r="F15" s="60" t="s">
        <v>48</v>
      </c>
      <c r="G15" s="73"/>
      <c r="H15" s="90"/>
      <c r="I15" s="73"/>
      <c r="J15" s="73"/>
      <c r="K15" s="73"/>
      <c r="L15" s="73"/>
      <c r="M15" s="73"/>
    </row>
    <row r="16" spans="1:13" ht="12.75">
      <c r="A16" s="129" t="s">
        <v>49</v>
      </c>
      <c r="B16" s="134">
        <v>8</v>
      </c>
      <c r="C16" s="66" t="s">
        <v>21</v>
      </c>
      <c r="D16" s="61"/>
      <c r="E16"/>
      <c r="G16" s="73"/>
      <c r="H16" s="90"/>
      <c r="I16" s="73"/>
      <c r="J16" s="73"/>
      <c r="K16" s="73"/>
      <c r="L16" s="73"/>
      <c r="M16" s="73"/>
    </row>
    <row r="17" spans="1:13" ht="12.75">
      <c r="A17" s="129" t="s">
        <v>50</v>
      </c>
      <c r="B17" s="134">
        <v>6.25</v>
      </c>
      <c r="C17" s="66" t="s">
        <v>21</v>
      </c>
      <c r="D17" s="61"/>
      <c r="E17"/>
      <c r="G17" s="73"/>
      <c r="H17" s="90"/>
      <c r="I17" s="73"/>
      <c r="J17" s="73"/>
      <c r="K17" s="73"/>
      <c r="L17" s="73"/>
      <c r="M17" s="73"/>
    </row>
    <row r="18" spans="1:13" ht="12.75">
      <c r="A18" s="114" t="s">
        <v>51</v>
      </c>
      <c r="B18" s="133">
        <v>0.1</v>
      </c>
      <c r="C18" s="66" t="s">
        <v>21</v>
      </c>
      <c r="D18" s="61"/>
      <c r="E18"/>
      <c r="G18" s="113"/>
      <c r="H18" s="90"/>
      <c r="I18" s="73"/>
      <c r="J18" s="73"/>
      <c r="K18" s="73"/>
      <c r="L18" s="73"/>
      <c r="M18" s="73"/>
    </row>
    <row r="19" spans="1:14" ht="12.75">
      <c r="A19" s="129" t="s">
        <v>52</v>
      </c>
      <c r="B19" s="138">
        <v>600</v>
      </c>
      <c r="C19" s="139" t="s">
        <v>53</v>
      </c>
      <c r="E19"/>
      <c r="F19" s="126"/>
      <c r="H19" s="73"/>
      <c r="I19" s="90"/>
      <c r="J19" s="73"/>
      <c r="K19" s="73"/>
      <c r="L19" s="73"/>
      <c r="M19" s="73"/>
      <c r="N19" s="73"/>
    </row>
    <row r="20" spans="1:14" ht="12.75">
      <c r="A20" s="117"/>
      <c r="B20" s="118"/>
      <c r="C20" s="117"/>
      <c r="D20" s="119"/>
      <c r="E20" s="120"/>
      <c r="F20" s="73"/>
      <c r="H20" s="73"/>
      <c r="I20" s="90"/>
      <c r="J20" s="73"/>
      <c r="K20" s="73"/>
      <c r="L20" s="73"/>
      <c r="M20" s="73"/>
      <c r="N20" s="73"/>
    </row>
    <row r="21" spans="1:14" ht="15">
      <c r="A21" s="125" t="s">
        <v>54</v>
      </c>
      <c r="E21" s="139"/>
      <c r="F21" s="73"/>
      <c r="H21" s="73"/>
      <c r="I21" s="155"/>
      <c r="J21" s="73"/>
      <c r="K21" s="73"/>
      <c r="L21" s="73"/>
      <c r="M21" s="73"/>
      <c r="N21" s="73"/>
    </row>
    <row r="22" spans="2:14" ht="12.75">
      <c r="B22" s="140" t="str">
        <f>"EVM-"&amp;LOOKUP(B$3,partdata!A3:A10,partdata!B3:B10)&amp;" Ref Des"</f>
        <v>EVM-182 Ref Des</v>
      </c>
      <c r="C22" s="141" t="s">
        <v>55</v>
      </c>
      <c r="D22" s="141"/>
      <c r="E22" s="141"/>
      <c r="F22" s="141"/>
      <c r="G22" s="60"/>
      <c r="H22" s="73"/>
      <c r="I22" s="155"/>
      <c r="J22" s="73"/>
      <c r="K22" s="73"/>
      <c r="L22" s="73"/>
      <c r="M22" s="73"/>
      <c r="N22" s="73"/>
    </row>
    <row r="23" spans="1:14" ht="12.75">
      <c r="A23" s="142" t="s">
        <v>56</v>
      </c>
      <c r="B23" s="143" t="s">
        <v>56</v>
      </c>
      <c r="C23" s="144" t="str">
        <f>B3</f>
        <v>TPS54360</v>
      </c>
      <c r="D23" s="145"/>
      <c r="E23" s="145"/>
      <c r="F23" s="73"/>
      <c r="G23" s="60"/>
      <c r="H23" s="73"/>
      <c r="I23" s="155"/>
      <c r="J23" s="73"/>
      <c r="K23" s="73"/>
      <c r="L23" s="73"/>
      <c r="M23" s="73"/>
      <c r="N23" s="73"/>
    </row>
    <row r="24" spans="1:14" ht="12.75">
      <c r="A24" s="142" t="s">
        <v>57</v>
      </c>
      <c r="B24" s="143" t="s">
        <v>58</v>
      </c>
      <c r="C24" s="144"/>
      <c r="D24" s="144" t="str">
        <f>Vin_max&amp;"V"</f>
        <v>60V</v>
      </c>
      <c r="E24" s="146" t="str">
        <f>"Ipeak = "&amp;TEXT(MIN(B94/0.8,Ilim),"0.000")&amp;"A"</f>
        <v>Ipeak = 4.314A</v>
      </c>
      <c r="F24" s="73"/>
      <c r="H24" s="73"/>
      <c r="I24" s="73"/>
      <c r="J24" s="73"/>
      <c r="K24" s="73"/>
      <c r="L24" s="73"/>
      <c r="M24" s="73"/>
      <c r="N24" s="73"/>
    </row>
    <row r="25" spans="1:14" ht="12.75">
      <c r="A25" s="142" t="s">
        <v>59</v>
      </c>
      <c r="B25" s="143" t="str">
        <f>LOOKUP(B$3,partdata!A3:A10,partdata!C3:C10)</f>
        <v>C1-C3</v>
      </c>
      <c r="C25" s="147" t="str">
        <f>TEXT(Cin*1000000,"0.0")&amp;" µF"</f>
        <v>4.4 µF</v>
      </c>
      <c r="D25" s="144" t="str">
        <f>Vin_max&amp;"V"</f>
        <v>60V</v>
      </c>
      <c r="E25" s="146" t="str">
        <f>"Irms = "&amp;TEXT(B117,"0.000")&amp;"A"</f>
        <v>Irms = 1.007A</v>
      </c>
      <c r="F25" s="73"/>
      <c r="G25" s="73"/>
      <c r="H25" s="126"/>
      <c r="I25" s="126"/>
      <c r="J25" s="73"/>
      <c r="K25" s="73"/>
      <c r="L25" s="126"/>
      <c r="M25" s="126"/>
      <c r="N25" s="73"/>
    </row>
    <row r="26" spans="1:14" ht="12.75">
      <c r="A26" s="142" t="s">
        <v>60</v>
      </c>
      <c r="B26" s="143" t="str">
        <f>LOOKUP(B$3,partdata!A3:A10,partdata!D3:D10)</f>
        <v>C6-C7, C9</v>
      </c>
      <c r="C26" s="147" t="str">
        <f>TEXT(Co*1000000,"0.0")&amp;" µF"</f>
        <v>16.9 µF</v>
      </c>
      <c r="D26" s="144" t="str">
        <f>Vout&amp;"V"</f>
        <v>7.4V</v>
      </c>
      <c r="E26" s="146" t="str">
        <f>"Irms = "&amp;TEXT(B99,"0.000")&amp;"A"</f>
        <v>Irms = 0.260A</v>
      </c>
      <c r="F26" s="73"/>
      <c r="G26" s="73"/>
      <c r="H26" s="73"/>
      <c r="I26" s="73"/>
      <c r="J26" s="73"/>
      <c r="K26" s="73"/>
      <c r="L26" s="73"/>
      <c r="M26" s="126"/>
      <c r="N26" s="73"/>
    </row>
    <row r="27" spans="1:14" ht="12.75">
      <c r="A27" s="148" t="s">
        <v>61</v>
      </c>
      <c r="B27" s="143" t="s">
        <v>62</v>
      </c>
      <c r="C27" s="149" t="str">
        <f>TEXT(0.0000001*1000000,"0.000")&amp;" µF"</f>
        <v>0.100 µF</v>
      </c>
      <c r="D27" s="150" t="s">
        <v>63</v>
      </c>
      <c r="E27" s="151"/>
      <c r="F27" s="73"/>
      <c r="G27" s="73"/>
      <c r="H27" s="73"/>
      <c r="I27" s="73"/>
      <c r="J27" s="73"/>
      <c r="K27" s="73"/>
      <c r="L27" s="73"/>
      <c r="M27" s="126"/>
      <c r="N27" s="73"/>
    </row>
    <row r="28" spans="1:14" ht="12.75">
      <c r="A28" s="142" t="s">
        <v>64</v>
      </c>
      <c r="B28" s="143" t="s">
        <v>65</v>
      </c>
      <c r="C28" s="147" t="str">
        <f>TEXT(L*1000000,"0.0")&amp;" µH"</f>
        <v>12.0 µH</v>
      </c>
      <c r="D28" s="144" t="str">
        <f>"Isat = "&amp;TEXT(MIN(B94/0.8,Ilim),"0.000")&amp;"A"</f>
        <v>Isat = 4.314A</v>
      </c>
      <c r="E28" s="152" t="str">
        <f>"Irms = "&amp;TEXT(B93,"0.000")&amp;"A"</f>
        <v>Irms = 3.001A</v>
      </c>
      <c r="F28" s="73"/>
      <c r="G28" s="73"/>
      <c r="H28" s="73"/>
      <c r="I28" s="73"/>
      <c r="J28" s="73"/>
      <c r="K28" s="73"/>
      <c r="L28" s="73"/>
      <c r="M28" s="126"/>
      <c r="N28" s="73"/>
    </row>
    <row r="29" spans="1:14" ht="12.75">
      <c r="A29" s="153" t="s">
        <v>66</v>
      </c>
      <c r="B29" s="143" t="s">
        <v>67</v>
      </c>
      <c r="C29" s="147" t="str">
        <f>B75&amp;" kΩ"</f>
        <v>162 kΩ</v>
      </c>
      <c r="D29" s="60"/>
      <c r="E29" s="67"/>
      <c r="F29" s="73"/>
      <c r="G29" s="73"/>
      <c r="H29" s="73"/>
      <c r="I29" s="73"/>
      <c r="J29" s="73"/>
      <c r="K29" s="73"/>
      <c r="L29" s="73"/>
      <c r="M29" s="126"/>
      <c r="N29" s="73"/>
    </row>
    <row r="30" spans="1:14" ht="12.75">
      <c r="A30" s="142" t="s">
        <v>68</v>
      </c>
      <c r="B30" s="143" t="s">
        <v>69</v>
      </c>
      <c r="C30" s="147" t="str">
        <f>Ruvlo1/1000&amp;" kΩ"</f>
        <v>511 kΩ</v>
      </c>
      <c r="D30" s="60"/>
      <c r="E30" s="67"/>
      <c r="F30" s="126"/>
      <c r="G30" s="73"/>
      <c r="H30" s="73"/>
      <c r="I30" s="73"/>
      <c r="J30" s="73"/>
      <c r="K30" s="73"/>
      <c r="L30" s="73"/>
      <c r="M30" s="126"/>
      <c r="N30" s="73"/>
    </row>
    <row r="31" spans="1:14" ht="12.75">
      <c r="A31" s="148" t="s">
        <v>70</v>
      </c>
      <c r="B31" s="143" t="s">
        <v>71</v>
      </c>
      <c r="C31" s="147" t="str">
        <f>Ruvlo2/1000&amp;" kΩ"</f>
        <v>82.5 kΩ</v>
      </c>
      <c r="D31" s="60"/>
      <c r="E31" s="67"/>
      <c r="F31" s="73"/>
      <c r="G31" s="73"/>
      <c r="H31" s="73"/>
      <c r="I31" s="73"/>
      <c r="J31" s="73"/>
      <c r="K31" s="73"/>
      <c r="L31" s="73"/>
      <c r="M31" s="126"/>
      <c r="N31" s="73"/>
    </row>
    <row r="32" spans="1:14" ht="12.75">
      <c r="A32" s="142" t="s">
        <v>72</v>
      </c>
      <c r="B32" s="143" t="s">
        <v>73</v>
      </c>
      <c r="C32" s="147" t="str">
        <f>Rhs/1000&amp;" kΩ"</f>
        <v>84.5 kΩ</v>
      </c>
      <c r="D32" s="60"/>
      <c r="E32" s="67"/>
      <c r="F32" s="73"/>
      <c r="G32" s="73"/>
      <c r="H32" s="73"/>
      <c r="I32" s="73"/>
      <c r="J32" s="73"/>
      <c r="K32" s="73"/>
      <c r="L32" s="73"/>
      <c r="M32" s="126"/>
      <c r="N32" s="73"/>
    </row>
    <row r="33" spans="1:14" ht="12.75">
      <c r="A33" s="142" t="s">
        <v>74</v>
      </c>
      <c r="B33" s="143" t="s">
        <v>75</v>
      </c>
      <c r="C33" s="147" t="str">
        <f>TEXT(Rls/1000,"0.0")&amp;" kΩ"</f>
        <v>10.2 kΩ</v>
      </c>
      <c r="D33" s="60"/>
      <c r="E33" s="67"/>
      <c r="F33" s="73"/>
      <c r="G33" s="73"/>
      <c r="H33" s="73"/>
      <c r="I33" s="73"/>
      <c r="J33" s="73"/>
      <c r="K33" s="73"/>
      <c r="L33" s="73"/>
      <c r="M33" s="126"/>
      <c r="N33" s="73"/>
    </row>
    <row r="34" spans="1:14" ht="12.75">
      <c r="A34" s="142" t="s">
        <v>76</v>
      </c>
      <c r="B34" s="143" t="s">
        <v>77</v>
      </c>
      <c r="C34" s="147" t="str">
        <f>Rcomp/1000&amp;" kΩ"</f>
        <v>7.87 kΩ</v>
      </c>
      <c r="D34" s="60"/>
      <c r="E34" s="67"/>
      <c r="F34" s="73"/>
      <c r="G34" s="73"/>
      <c r="H34" s="73"/>
      <c r="I34" s="73"/>
      <c r="J34" s="73"/>
      <c r="K34" s="73"/>
      <c r="L34" s="73"/>
      <c r="M34" s="126"/>
      <c r="N34" s="73"/>
    </row>
    <row r="35" spans="1:14" ht="12.75">
      <c r="A35" s="142" t="s">
        <v>78</v>
      </c>
      <c r="B35" s="143" t="s">
        <v>79</v>
      </c>
      <c r="C35" s="147" t="str">
        <f>IF(Ccomp&gt;=0.00000001,TEXT(Ccomp*1000000,"0.000")&amp;" µF",TEXT(Ccomp*1000000000000,"0")&amp;" pF")</f>
        <v>4700 pF</v>
      </c>
      <c r="D35" s="150" t="str">
        <f>3&amp;"V"</f>
        <v>3V</v>
      </c>
      <c r="E35" s="67"/>
      <c r="F35" s="126"/>
      <c r="G35" s="73"/>
      <c r="H35" s="73"/>
      <c r="I35" s="73"/>
      <c r="J35" s="73"/>
      <c r="K35" s="73"/>
      <c r="L35" s="73"/>
      <c r="M35" s="126"/>
      <c r="N35" s="73"/>
    </row>
    <row r="36" spans="1:14" ht="12.75">
      <c r="A36" s="142" t="s">
        <v>80</v>
      </c>
      <c r="B36" s="143" t="s">
        <v>81</v>
      </c>
      <c r="C36" s="147" t="str">
        <f>TEXT(Cpole*1000000000000,"0.0")&amp;" pF"</f>
        <v>68.0 pF</v>
      </c>
      <c r="D36" s="150" t="str">
        <f>3&amp;"V"</f>
        <v>3V</v>
      </c>
      <c r="E36" s="67"/>
      <c r="F36" s="73"/>
      <c r="G36" s="73"/>
      <c r="H36" s="73"/>
      <c r="I36" s="73"/>
      <c r="J36" s="73"/>
      <c r="K36" s="73"/>
      <c r="L36" s="73"/>
      <c r="M36" s="126"/>
      <c r="N36" s="73"/>
    </row>
    <row r="37" spans="1:14" ht="12.75" hidden="1">
      <c r="A37" s="142" t="s">
        <v>82</v>
      </c>
      <c r="B37" s="62" t="s">
        <v>83</v>
      </c>
      <c r="C37" s="147" t="str">
        <f>IF(B189="internal ss","internal ss",IF(Css&gt;=0.00000001,TEXT(Css*1000000,"0.000")&amp;" µF",TEXT(Css*1000000000000,"0")&amp;" pF"))</f>
        <v>internal ss</v>
      </c>
      <c r="D37" s="150" t="str">
        <f>3&amp;"V"</f>
        <v>3V</v>
      </c>
      <c r="F37" s="73"/>
      <c r="G37" s="73"/>
      <c r="H37" s="73"/>
      <c r="I37" s="73"/>
      <c r="J37" s="73"/>
      <c r="K37" s="73"/>
      <c r="L37" s="73"/>
      <c r="M37" s="126"/>
      <c r="N37" s="73"/>
    </row>
    <row r="38" spans="1:14" ht="12.75">
      <c r="A38" s="142" t="s">
        <v>82</v>
      </c>
      <c r="B38" s="62"/>
      <c r="C38" s="147" t="str">
        <f>IF(B189="internal ss","internal ss",TEXT(B141,"0.00")&amp;" nF")</f>
        <v>internal ss</v>
      </c>
      <c r="D38" s="150" t="s">
        <v>84</v>
      </c>
      <c r="F38" s="73"/>
      <c r="G38" s="73"/>
      <c r="H38" s="73"/>
      <c r="I38" s="73"/>
      <c r="J38" s="73"/>
      <c r="K38" s="73"/>
      <c r="L38" s="73"/>
      <c r="M38" s="126"/>
      <c r="N38" s="73"/>
    </row>
    <row r="39" spans="1:14" ht="12.75">
      <c r="A39" s="142"/>
      <c r="B39" s="62"/>
      <c r="C39" s="62"/>
      <c r="D39" s="62"/>
      <c r="E39" s="62"/>
      <c r="F39" s="73"/>
      <c r="G39" s="73"/>
      <c r="H39" s="73"/>
      <c r="I39" s="73"/>
      <c r="J39" s="73"/>
      <c r="K39" s="73"/>
      <c r="L39" s="73"/>
      <c r="M39" s="126"/>
      <c r="N39" s="73"/>
    </row>
    <row r="40" spans="6:14" ht="12.75">
      <c r="F40" s="73"/>
      <c r="G40" s="73"/>
      <c r="H40" s="73"/>
      <c r="I40" s="73"/>
      <c r="J40" s="73"/>
      <c r="K40" s="73"/>
      <c r="L40" s="73"/>
      <c r="M40" s="126"/>
      <c r="N40" s="73"/>
    </row>
    <row r="41" spans="7:14" ht="12.75">
      <c r="G41" s="73"/>
      <c r="H41" s="73"/>
      <c r="I41" s="73"/>
      <c r="J41" s="73"/>
      <c r="K41" s="73"/>
      <c r="L41" s="73"/>
      <c r="M41" s="126"/>
      <c r="N41" s="73"/>
    </row>
    <row r="42" ht="12.75">
      <c r="H42" s="73"/>
    </row>
    <row r="43" ht="12.75">
      <c r="H43" s="73"/>
    </row>
    <row r="44" ht="12.75">
      <c r="F44" s="141"/>
    </row>
    <row r="45" spans="6:7" ht="12.75">
      <c r="F45" s="145"/>
      <c r="G45" s="136"/>
    </row>
    <row r="46" ht="12.75">
      <c r="G46" s="136"/>
    </row>
    <row r="47" ht="12.75">
      <c r="G47" s="136"/>
    </row>
    <row r="48" ht="12.75">
      <c r="G48" s="73"/>
    </row>
    <row r="49" ht="12.75">
      <c r="G49" s="7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spans="1:6" ht="15">
      <c r="A70" s="125" t="s">
        <v>85</v>
      </c>
      <c r="B70" s="126" t="s">
        <v>17</v>
      </c>
      <c r="C70" s="73"/>
      <c r="D70" s="73"/>
      <c r="E70" s="127" t="s">
        <v>18</v>
      </c>
      <c r="F70" s="131" t="s">
        <v>86</v>
      </c>
    </row>
    <row r="71" spans="1:6" ht="12.75">
      <c r="A71" s="156" t="s">
        <v>87</v>
      </c>
      <c r="B71" s="157">
        <f>IF((1/ton_min)*(Iout*Rdc+Vout+Vd)/(Vin_max-Iout*Rdson+Vd)&gt;=fsw_max,fsw_max,(1/ton_min)*(Iout*Rdc+Vout+Vd)/(Vin_max-Iout*Rdson+Vd))/1000</f>
        <v>1031.8398034964769</v>
      </c>
      <c r="C71" s="73"/>
      <c r="D71" s="73"/>
      <c r="E71" s="139" t="s">
        <v>53</v>
      </c>
      <c r="F71" s="113" t="s">
        <v>88</v>
      </c>
    </row>
    <row r="72" spans="1:6" ht="12.75">
      <c r="A72" s="156" t="s">
        <v>89</v>
      </c>
      <c r="B72" s="157">
        <f>IF((8/ton_min)*(Ilim*Rdc+Vout*0+Voutsc+Vd)/(Vin_max-Ilim*Rdson+Vd)&gt;=fsw_max,fsw_max,(8/ton_min)*(Ilim*Rdc+Vout*0+Voutsc+Vd)/(Vin_max-Ilim*Rdson+Vd))/1000</f>
        <v>1293.0881779856165</v>
      </c>
      <c r="C72" s="73"/>
      <c r="D72" s="73"/>
      <c r="E72" s="139" t="s">
        <v>53</v>
      </c>
      <c r="F72" s="113" t="s">
        <v>90</v>
      </c>
    </row>
    <row r="73" spans="1:14" ht="12.75">
      <c r="A73" s="129" t="s">
        <v>52</v>
      </c>
      <c r="B73" s="138">
        <f>B19</f>
        <v>600</v>
      </c>
      <c r="E73" s="139" t="s">
        <v>53</v>
      </c>
      <c r="F73" s="126"/>
      <c r="H73" s="73"/>
      <c r="I73" s="90"/>
      <c r="J73" s="73"/>
      <c r="K73" s="73"/>
      <c r="L73" s="73"/>
      <c r="M73" s="73"/>
      <c r="N73" s="73"/>
    </row>
    <row r="74" spans="1:6" ht="12.75">
      <c r="A74" s="114" t="s">
        <v>91</v>
      </c>
      <c r="B74" s="158">
        <f>92417/((fsw/1000)^(0.991))</f>
        <v>163.1563486216187</v>
      </c>
      <c r="C74" s="159">
        <f ca="1">(IF((10^(LOG(B74)-INT(LOG(B74)))*100)-VLOOKUP((10^(LOG(B74)-INT(LOG(B74)))*100),E96_s:E96_f,1)&lt;VLOOKUP((10^(LOG(B74)-INT(LOG(B74)))*100),E96_s:E96_f,2)-(10^(LOG(B74)-INT(LOG(B74)))*100),VLOOKUP((10^(LOG(B74)-INT(LOG(B74)))*100),E96_s:E96_f,1),VLOOKUP((10^(LOG(B74)-INT(LOG(B74)))*100),E96_s:E96_f,2)))*10^INT(LOG(B74))/100</f>
        <v>162</v>
      </c>
      <c r="D74" s="73"/>
      <c r="E74" s="66" t="s">
        <v>92</v>
      </c>
      <c r="F74" s="113" t="s">
        <v>93</v>
      </c>
    </row>
    <row r="75" spans="1:6" ht="12.75">
      <c r="A75" s="114" t="s">
        <v>94</v>
      </c>
      <c r="B75" s="130">
        <f>C74</f>
        <v>162</v>
      </c>
      <c r="E75" s="66" t="s">
        <v>92</v>
      </c>
      <c r="F75" s="160"/>
    </row>
    <row r="76" spans="1:6" ht="12.75">
      <c r="A76" s="114" t="s">
        <v>95</v>
      </c>
      <c r="B76" s="158">
        <f>101756/(B75^1.008)</f>
        <v>603.0716207442572</v>
      </c>
      <c r="E76" s="66" t="s">
        <v>53</v>
      </c>
      <c r="F76" s="161" t="s">
        <v>96</v>
      </c>
    </row>
    <row r="77" spans="1:6" ht="12.75">
      <c r="A77" s="114" t="s">
        <v>97</v>
      </c>
      <c r="B77" s="158">
        <f>1/(B76*1000)*(Iout*Rdc+Vout+Vd)/(Vin_max-Iout*Rdson+Vd)*10^9</f>
        <v>230.98147662812377</v>
      </c>
      <c r="D77" s="73"/>
      <c r="E77" s="162" t="s">
        <v>98</v>
      </c>
      <c r="F77" s="73"/>
    </row>
    <row r="78" spans="1:14" ht="12.75">
      <c r="A78" s="129"/>
      <c r="B78" s="93"/>
      <c r="C78" s="93"/>
      <c r="E78" s="163"/>
      <c r="F78" s="73"/>
      <c r="H78" s="73"/>
      <c r="I78" s="176"/>
      <c r="J78" s="73"/>
      <c r="K78" s="73"/>
      <c r="L78" s="113"/>
      <c r="M78" s="180"/>
      <c r="N78" s="73"/>
    </row>
    <row r="79" spans="1:14" ht="15">
      <c r="A79" s="164" t="s">
        <v>99</v>
      </c>
      <c r="B79" s="118"/>
      <c r="C79" s="117"/>
      <c r="D79" s="119"/>
      <c r="E79" s="120"/>
      <c r="F79" s="126"/>
      <c r="G79" s="73"/>
      <c r="H79" s="73"/>
      <c r="I79" s="73"/>
      <c r="J79" s="73"/>
      <c r="K79" s="73"/>
      <c r="L79" s="73"/>
      <c r="M79" s="126"/>
      <c r="N79" s="73"/>
    </row>
    <row r="80" spans="1:14" ht="12.75">
      <c r="A80" s="117" t="s">
        <v>100</v>
      </c>
      <c r="B80" s="165">
        <v>0.9</v>
      </c>
      <c r="C80" s="117"/>
      <c r="D80" s="119"/>
      <c r="E80" s="120"/>
      <c r="F80" s="126"/>
      <c r="G80" s="73"/>
      <c r="H80" s="73"/>
      <c r="I80" s="73"/>
      <c r="J80" s="73"/>
      <c r="K80" s="73"/>
      <c r="L80" s="73"/>
      <c r="M80" s="126"/>
      <c r="N80" s="73"/>
    </row>
    <row r="81" spans="1:14" ht="12.75">
      <c r="A81" s="117" t="s">
        <v>101</v>
      </c>
      <c r="B81" s="166">
        <v>0.0001</v>
      </c>
      <c r="C81" s="117"/>
      <c r="D81" s="119"/>
      <c r="E81" s="120" t="s">
        <v>40</v>
      </c>
      <c r="F81" s="126"/>
      <c r="G81" s="73"/>
      <c r="H81" s="73"/>
      <c r="I81" s="73"/>
      <c r="J81" s="73"/>
      <c r="K81" s="73"/>
      <c r="L81" s="73"/>
      <c r="M81" s="126"/>
      <c r="N81" s="73"/>
    </row>
    <row r="82" spans="1:14" ht="12.75">
      <c r="A82" s="117" t="s">
        <v>102</v>
      </c>
      <c r="B82" s="167">
        <f>(1.41*Vin_min-0.554-Vd*fsw/10^6-1.847*10^3*IB2PH)/(1.41+fsw/10^6)</f>
        <v>5.401144278606965</v>
      </c>
      <c r="C82" s="117"/>
      <c r="D82" s="119"/>
      <c r="E82" s="120" t="s">
        <v>21</v>
      </c>
      <c r="F82" s="126"/>
      <c r="G82" s="73"/>
      <c r="H82" s="73"/>
      <c r="I82" s="73"/>
      <c r="J82" s="73"/>
      <c r="K82" s="73"/>
      <c r="L82" s="73"/>
      <c r="M82" s="126"/>
      <c r="N82" s="73"/>
    </row>
    <row r="83" spans="1:14" ht="12.75">
      <c r="A83" s="117" t="s">
        <v>103</v>
      </c>
      <c r="B83" s="167">
        <f>VBOOT+Vd</f>
        <v>6.051144278606966</v>
      </c>
      <c r="C83" s="117"/>
      <c r="D83" s="119"/>
      <c r="E83" s="120" t="s">
        <v>21</v>
      </c>
      <c r="F83" s="126"/>
      <c r="G83" s="73"/>
      <c r="H83" s="73"/>
      <c r="I83" s="73"/>
      <c r="J83" s="73"/>
      <c r="K83" s="73"/>
      <c r="L83" s="73"/>
      <c r="M83" s="126"/>
      <c r="N83" s="73"/>
    </row>
    <row r="84" spans="1:14" ht="12.75">
      <c r="A84" s="117" t="s">
        <v>104</v>
      </c>
      <c r="B84" s="168">
        <f>1/(-0.3*VB2PH^2+3.577*VB2PH-4.246)</f>
        <v>0.15590800214507006</v>
      </c>
      <c r="C84" s="117"/>
      <c r="D84" s="119"/>
      <c r="E84" s="120" t="s">
        <v>105</v>
      </c>
      <c r="F84" s="126"/>
      <c r="G84" s="73"/>
      <c r="H84" s="73"/>
      <c r="I84" s="73"/>
      <c r="J84" s="73"/>
      <c r="K84" s="73"/>
      <c r="L84" s="73"/>
      <c r="M84" s="126"/>
      <c r="N84" s="73"/>
    </row>
    <row r="85" spans="1:14" ht="12.75">
      <c r="A85" s="117" t="s">
        <v>106</v>
      </c>
      <c r="B85" s="167">
        <f>Dmax*(Vin_min-Iout*Rdson_est+Vd)-Vd-Iout*Rdc</f>
        <v>6.80404839420831</v>
      </c>
      <c r="C85" s="117"/>
      <c r="D85" s="119"/>
      <c r="E85" s="120" t="s">
        <v>21</v>
      </c>
      <c r="F85" s="126"/>
      <c r="G85" s="73"/>
      <c r="H85" s="73"/>
      <c r="I85" s="73"/>
      <c r="J85" s="73"/>
      <c r="K85" s="73"/>
      <c r="L85" s="73"/>
      <c r="M85" s="126"/>
      <c r="N85" s="73"/>
    </row>
    <row r="86" spans="4:6" ht="12.75">
      <c r="D86" s="73"/>
      <c r="E86" s="162"/>
      <c r="F86" s="73"/>
    </row>
    <row r="87" spans="1:7" ht="15">
      <c r="A87" s="125" t="s">
        <v>107</v>
      </c>
      <c r="B87" s="126" t="s">
        <v>17</v>
      </c>
      <c r="D87" s="73"/>
      <c r="E87" s="127" t="s">
        <v>18</v>
      </c>
      <c r="F87" s="131" t="s">
        <v>86</v>
      </c>
      <c r="G87" s="141"/>
    </row>
    <row r="88" spans="1:6" ht="12.75">
      <c r="A88" s="114" t="s">
        <v>108</v>
      </c>
      <c r="B88" s="133">
        <v>0.3</v>
      </c>
      <c r="F88" s="94"/>
    </row>
    <row r="89" spans="1:6" ht="12.75">
      <c r="A89" s="129" t="s">
        <v>109</v>
      </c>
      <c r="B89" s="169">
        <f>((Vin_max-Vout)/(Iout*Kind))*(Vout/(Vin_max*fsw))*10^6</f>
        <v>12.013580246913582</v>
      </c>
      <c r="C89" s="170"/>
      <c r="E89" s="139" t="s">
        <v>110</v>
      </c>
      <c r="F89" s="171" t="s">
        <v>111</v>
      </c>
    </row>
    <row r="90" spans="1:6" ht="12.75">
      <c r="A90" s="114" t="s">
        <v>112</v>
      </c>
      <c r="B90" s="130">
        <f>B89</f>
        <v>12.013580246913582</v>
      </c>
      <c r="C90" s="172"/>
      <c r="D90" s="136"/>
      <c r="E90" s="139" t="s">
        <v>110</v>
      </c>
      <c r="F90" s="73"/>
    </row>
    <row r="91" spans="1:6" ht="12.75">
      <c r="A91" s="114" t="s">
        <v>113</v>
      </c>
      <c r="B91" s="130">
        <v>120</v>
      </c>
      <c r="C91" s="73"/>
      <c r="D91" s="73"/>
      <c r="E91" s="162" t="s">
        <v>114</v>
      </c>
      <c r="F91" s="73"/>
    </row>
    <row r="92" spans="1:6" ht="12.75">
      <c r="A92" s="129" t="s">
        <v>115</v>
      </c>
      <c r="B92" s="173">
        <f>Vout*(Vin_max-Vout)/(Vin_max*L*fsw)</f>
        <v>0.8999999999999998</v>
      </c>
      <c r="C92" s="173">
        <f>Vout*(Vin_nom-Vout)/(Vin_nom*L*fsw)</f>
        <v>0.8746768060836502</v>
      </c>
      <c r="D92" s="173">
        <f>Vout*(Vin_min-Vout)/(Vin_min*L*fsw)</f>
        <v>0.13285618429881452</v>
      </c>
      <c r="E92" s="162" t="s">
        <v>40</v>
      </c>
      <c r="F92" s="113" t="s">
        <v>116</v>
      </c>
    </row>
    <row r="93" spans="1:6" ht="12.75">
      <c r="A93" s="129" t="s">
        <v>117</v>
      </c>
      <c r="B93" s="173">
        <f>(Iout^2+((1/12)*(Vout*(Vin_max-Vout))/(Vin_max*fsw*L))^2)^0.5</f>
        <v>3.0009373535613837</v>
      </c>
      <c r="C93" s="173">
        <f>(Iout^2+((1/12)*(Vout*(Vin_nom-Vout))/(Vin_nom*fsw*L))^2)^0.5</f>
        <v>3.000885354907666</v>
      </c>
      <c r="D93" s="173">
        <f>(Iout^2+((1/12)*(Vout*(Vin_min-Vout))/(Vin_min*fsw*L))^2)^0.5</f>
        <v>3.0000204290574173</v>
      </c>
      <c r="E93" s="162" t="s">
        <v>40</v>
      </c>
      <c r="F93" s="113" t="s">
        <v>118</v>
      </c>
    </row>
    <row r="94" spans="1:6" ht="12.75">
      <c r="A94" s="129" t="s">
        <v>119</v>
      </c>
      <c r="B94" s="173">
        <f>B93+Iripple/2</f>
        <v>3.4509373535613834</v>
      </c>
      <c r="C94" s="173">
        <f>C93+C92/2</f>
        <v>3.4382237579494914</v>
      </c>
      <c r="D94" s="173">
        <f>D93+D92/2</f>
        <v>3.0664485212068247</v>
      </c>
      <c r="E94" s="162" t="s">
        <v>40</v>
      </c>
      <c r="F94" s="113" t="s">
        <v>120</v>
      </c>
    </row>
    <row r="95" spans="1:6" ht="12.75">
      <c r="A95" s="129" t="s">
        <v>121</v>
      </c>
      <c r="B95" s="173">
        <f>Vout*(1-Vout/Vin_max)/(2*L*fsw)</f>
        <v>0.44999999999999996</v>
      </c>
      <c r="C95" s="173">
        <f>Vout*(1-Vout/Vin_nom)/(2*L*fsw)</f>
        <v>0.43733840304182503</v>
      </c>
      <c r="D95" s="173">
        <f>Vout*(1-Vout/Vin_min)/(2*L*fsw)</f>
        <v>0.06642809214940727</v>
      </c>
      <c r="E95" s="162" t="s">
        <v>40</v>
      </c>
      <c r="F95" s="73"/>
    </row>
    <row r="96" spans="1:6" ht="12.75">
      <c r="A96" s="129" t="s">
        <v>122</v>
      </c>
      <c r="B96" s="174">
        <f>Vin_max*fsw*ton_min^2*(Vin_max-Vout)/(2*L*Vout)</f>
        <v>0.1940982468955442</v>
      </c>
      <c r="C96" s="174">
        <f>Vin_nom*fsw*ton_min^2*(Vin_nom-Vout)/(2*L*Vout)</f>
        <v>0.13099786625079504</v>
      </c>
      <c r="D96" s="174">
        <f>Vin_min*fsw*ton_min^2*(Vin_min-Vout)/(2*L*Vout)</f>
        <v>0.0005750375818990296</v>
      </c>
      <c r="E96" s="162" t="s">
        <v>40</v>
      </c>
      <c r="F96" s="73"/>
    </row>
    <row r="97" spans="5:6" ht="12.75">
      <c r="E97" s="162"/>
      <c r="F97" s="73"/>
    </row>
    <row r="98" spans="1:14" ht="15">
      <c r="A98" s="125" t="s">
        <v>123</v>
      </c>
      <c r="B98" s="126" t="s">
        <v>17</v>
      </c>
      <c r="D98" s="73"/>
      <c r="E98" s="127" t="s">
        <v>18</v>
      </c>
      <c r="F98" s="131" t="s">
        <v>86</v>
      </c>
      <c r="G98" s="73"/>
      <c r="H98" s="126"/>
      <c r="I98" s="126"/>
      <c r="J98" s="73"/>
      <c r="K98" s="73"/>
      <c r="L98" s="127"/>
      <c r="M98" s="126"/>
      <c r="N98" s="73"/>
    </row>
    <row r="99" spans="1:14" ht="12.75">
      <c r="A99" s="114" t="s">
        <v>124</v>
      </c>
      <c r="B99" s="175">
        <f>Vout*(Vin_max-Vout)/(12^0.5*Vin_max*L*fsw)</f>
        <v>0.25980762113533157</v>
      </c>
      <c r="C99" s="176"/>
      <c r="D99" s="176"/>
      <c r="E99" s="139" t="s">
        <v>40</v>
      </c>
      <c r="F99" s="113" t="s">
        <v>125</v>
      </c>
      <c r="G99" s="73"/>
      <c r="H99" s="73"/>
      <c r="I99" s="187"/>
      <c r="J99" s="155"/>
      <c r="K99" s="73"/>
      <c r="L99" s="73"/>
      <c r="M99" s="73"/>
      <c r="N99" s="73"/>
    </row>
    <row r="100" spans="1:14" ht="12.75">
      <c r="A100" s="129" t="s">
        <v>126</v>
      </c>
      <c r="B100" s="177">
        <f>0.75*Iout</f>
        <v>2.25</v>
      </c>
      <c r="C100" s="176"/>
      <c r="D100" s="176"/>
      <c r="E100" s="139" t="s">
        <v>40</v>
      </c>
      <c r="F100" s="73"/>
      <c r="G100" s="73"/>
      <c r="H100" s="73"/>
      <c r="I100" s="187"/>
      <c r="J100" s="73"/>
      <c r="K100" s="73"/>
      <c r="L100" s="73"/>
      <c r="M100" s="73"/>
      <c r="N100" s="73"/>
    </row>
    <row r="101" spans="1:14" ht="12.75">
      <c r="A101" s="129" t="s">
        <v>127</v>
      </c>
      <c r="B101" s="177">
        <f>0.25*Iout</f>
        <v>0.75</v>
      </c>
      <c r="C101" s="176"/>
      <c r="D101" s="176"/>
      <c r="E101" s="139" t="s">
        <v>40</v>
      </c>
      <c r="F101" s="73"/>
      <c r="G101" s="73"/>
      <c r="H101" s="73"/>
      <c r="I101" s="187"/>
      <c r="J101" s="73"/>
      <c r="K101" s="73"/>
      <c r="L101" s="73"/>
      <c r="M101" s="73"/>
      <c r="N101" s="73"/>
    </row>
    <row r="102" spans="1:14" ht="12.75">
      <c r="A102" s="114" t="s">
        <v>128</v>
      </c>
      <c r="B102" s="169">
        <f>2*dI/(fsw*dV)*10^6</f>
        <v>16.891891891891888</v>
      </c>
      <c r="C102" s="90"/>
      <c r="D102" s="73"/>
      <c r="E102" s="139" t="s">
        <v>129</v>
      </c>
      <c r="F102" s="113" t="s">
        <v>130</v>
      </c>
      <c r="G102" s="73"/>
      <c r="H102" s="73"/>
      <c r="I102" s="187"/>
      <c r="J102" s="73"/>
      <c r="K102" s="73"/>
      <c r="L102" s="73"/>
      <c r="M102" s="73"/>
      <c r="N102" s="73"/>
    </row>
    <row r="103" spans="1:14" ht="12.75">
      <c r="A103" s="114" t="s">
        <v>131</v>
      </c>
      <c r="B103" s="169">
        <f>L*((IOH)^2-IOL^2)/((Vout+dV)^2-(Vout)^2)*10^6</f>
        <v>12.098495554377896</v>
      </c>
      <c r="C103" s="90"/>
      <c r="D103" s="73"/>
      <c r="E103" s="139" t="s">
        <v>129</v>
      </c>
      <c r="F103" s="113" t="s">
        <v>132</v>
      </c>
      <c r="G103" s="73"/>
      <c r="H103" s="73"/>
      <c r="I103" s="187"/>
      <c r="J103" s="73"/>
      <c r="K103" s="73"/>
      <c r="L103" s="73"/>
      <c r="M103" s="136"/>
      <c r="N103" s="73"/>
    </row>
    <row r="104" spans="1:14" ht="12.75">
      <c r="A104" s="114" t="s">
        <v>133</v>
      </c>
      <c r="B104" s="169">
        <f>1/(8*fsw*(Vripple/Iripple))*10^6</f>
        <v>5.067567567567566</v>
      </c>
      <c r="C104" s="90"/>
      <c r="D104" s="73"/>
      <c r="E104" s="139" t="s">
        <v>129</v>
      </c>
      <c r="F104" s="113" t="s">
        <v>134</v>
      </c>
      <c r="G104" s="73"/>
      <c r="H104" s="73"/>
      <c r="I104" s="187"/>
      <c r="J104" s="73"/>
      <c r="K104" s="73"/>
      <c r="L104" s="73"/>
      <c r="M104" s="136"/>
      <c r="N104" s="73"/>
    </row>
    <row r="105" spans="1:14" ht="12.75">
      <c r="A105" s="129" t="s">
        <v>135</v>
      </c>
      <c r="B105" s="178">
        <v>1</v>
      </c>
      <c r="C105" s="90"/>
      <c r="D105" s="73"/>
      <c r="E105" s="139"/>
      <c r="F105" s="113"/>
      <c r="G105" s="73"/>
      <c r="H105" s="73"/>
      <c r="I105" s="73"/>
      <c r="J105" s="73"/>
      <c r="K105" s="73"/>
      <c r="L105" s="188"/>
      <c r="M105" s="73"/>
      <c r="N105" s="73"/>
    </row>
    <row r="106" spans="1:14" ht="12.75">
      <c r="A106" s="114" t="s">
        <v>136</v>
      </c>
      <c r="B106" s="179">
        <f>MAX(B102:B104)</f>
        <v>16.891891891891888</v>
      </c>
      <c r="C106" s="180"/>
      <c r="D106" s="73"/>
      <c r="E106" s="139" t="s">
        <v>129</v>
      </c>
      <c r="F106" s="113"/>
      <c r="G106" s="73"/>
      <c r="H106" s="73"/>
      <c r="I106" s="73"/>
      <c r="J106" s="73"/>
      <c r="K106" s="73"/>
      <c r="L106" s="188"/>
      <c r="M106" s="73"/>
      <c r="N106" s="73"/>
    </row>
    <row r="107" spans="1:14" ht="12.75">
      <c r="A107" s="114" t="s">
        <v>137</v>
      </c>
      <c r="B107" s="158">
        <f>Co_derating*Co_selected</f>
        <v>16.891891891891888</v>
      </c>
      <c r="C107" s="93"/>
      <c r="D107" s="73"/>
      <c r="E107" s="139" t="s">
        <v>129</v>
      </c>
      <c r="F107" s="126" t="s">
        <v>138</v>
      </c>
      <c r="G107" s="73"/>
      <c r="H107" s="126"/>
      <c r="I107" s="126"/>
      <c r="J107" s="73"/>
      <c r="K107" s="73"/>
      <c r="L107" s="126"/>
      <c r="M107" s="73"/>
      <c r="N107" s="73"/>
    </row>
    <row r="108" spans="1:14" ht="12.75">
      <c r="A108" s="129" t="s">
        <v>139</v>
      </c>
      <c r="B108" s="175">
        <f>Vripple/Iripple</f>
        <v>0.041111111111111126</v>
      </c>
      <c r="D108" s="73"/>
      <c r="E108" s="66" t="s">
        <v>105</v>
      </c>
      <c r="F108" s="113" t="s">
        <v>140</v>
      </c>
      <c r="G108" s="73"/>
      <c r="H108" s="73"/>
      <c r="I108" s="90"/>
      <c r="J108" s="73"/>
      <c r="K108" s="73"/>
      <c r="L108" s="73"/>
      <c r="M108" s="189"/>
      <c r="N108" s="73"/>
    </row>
    <row r="109" spans="1:14" ht="12.75">
      <c r="A109" s="114" t="s">
        <v>141</v>
      </c>
      <c r="B109" s="181">
        <f>0.005</f>
        <v>0.005</v>
      </c>
      <c r="D109" s="73"/>
      <c r="E109" s="66" t="s">
        <v>105</v>
      </c>
      <c r="F109" s="73"/>
      <c r="G109" s="90"/>
      <c r="H109" s="113"/>
      <c r="I109" s="90"/>
      <c r="J109" s="90"/>
      <c r="K109" s="90"/>
      <c r="L109" s="73"/>
      <c r="M109" s="189"/>
      <c r="N109" s="73"/>
    </row>
    <row r="110" spans="4:14" ht="12.75">
      <c r="D110" s="73"/>
      <c r="E110" s="66"/>
      <c r="F110" s="73"/>
      <c r="G110" s="90"/>
      <c r="H110" s="73"/>
      <c r="I110" s="90"/>
      <c r="J110" s="90"/>
      <c r="K110" s="73"/>
      <c r="L110" s="188"/>
      <c r="M110" s="73"/>
      <c r="N110" s="73"/>
    </row>
    <row r="111" spans="1:14" ht="15">
      <c r="A111" s="125" t="s">
        <v>142</v>
      </c>
      <c r="B111" s="126" t="s">
        <v>17</v>
      </c>
      <c r="D111" s="73"/>
      <c r="E111" s="127" t="s">
        <v>18</v>
      </c>
      <c r="F111" s="131" t="s">
        <v>86</v>
      </c>
      <c r="G111" s="73"/>
      <c r="H111" s="73"/>
      <c r="I111" s="190"/>
      <c r="J111" s="73"/>
      <c r="K111" s="73"/>
      <c r="L111" s="188"/>
      <c r="M111" s="73"/>
      <c r="N111" s="73"/>
    </row>
    <row r="112" spans="1:14" ht="12.75">
      <c r="A112" s="114" t="s">
        <v>143</v>
      </c>
      <c r="B112" s="177">
        <v>0.65</v>
      </c>
      <c r="D112" s="73"/>
      <c r="E112" s="66" t="s">
        <v>21</v>
      </c>
      <c r="F112" s="73"/>
      <c r="G112" s="73"/>
      <c r="H112" s="73"/>
      <c r="I112" s="191"/>
      <c r="J112" s="191"/>
      <c r="K112" s="191"/>
      <c r="L112" s="188"/>
      <c r="M112" s="73"/>
      <c r="N112" s="73"/>
    </row>
    <row r="113" spans="1:14" ht="12.75">
      <c r="A113" s="129" t="s">
        <v>144</v>
      </c>
      <c r="B113" s="182">
        <f>0.000000000045*10^12</f>
        <v>45</v>
      </c>
      <c r="E113" s="113" t="s">
        <v>145</v>
      </c>
      <c r="F113" s="113"/>
      <c r="G113" s="73"/>
      <c r="H113" s="73"/>
      <c r="I113" s="191"/>
      <c r="J113" s="191"/>
      <c r="K113" s="191"/>
      <c r="L113" s="188"/>
      <c r="M113" s="73"/>
      <c r="N113" s="73"/>
    </row>
    <row r="114" spans="1:14" ht="12.75">
      <c r="A114" s="129" t="s">
        <v>146</v>
      </c>
      <c r="B114" s="183">
        <f>(Vin_nom-Vout)*Iout*Vd/Vin_nom+Cj*fsw*(Vin_nom+Vd)^2/2</f>
        <v>1.69603320375</v>
      </c>
      <c r="C114" s="184">
        <f>(Vin_max-Vout)*Iout*Vd/Vin_max+Cj*fsw*(Vin_max+Vd)^2/2</f>
        <v>1.75915870375</v>
      </c>
      <c r="D114" s="183">
        <f>(Vin_min-Vout)*Iout*Vd/Vin_min+Cj*fsw*(Vin_min+Vd)^2/2</f>
        <v>0.25348319492647053</v>
      </c>
      <c r="E114" s="139" t="s">
        <v>147</v>
      </c>
      <c r="F114" s="113" t="s">
        <v>148</v>
      </c>
      <c r="G114" s="113"/>
      <c r="H114" s="73"/>
      <c r="I114" s="191"/>
      <c r="J114" s="191"/>
      <c r="K114" s="191"/>
      <c r="L114" s="188"/>
      <c r="M114" s="73"/>
      <c r="N114" s="73"/>
    </row>
    <row r="115" spans="4:14" ht="12.75">
      <c r="D115" s="73"/>
      <c r="E115" s="66"/>
      <c r="F115" s="73"/>
      <c r="G115" s="94"/>
      <c r="H115" s="73"/>
      <c r="I115" s="191"/>
      <c r="J115" s="191"/>
      <c r="K115" s="191"/>
      <c r="L115" s="188"/>
      <c r="M115" s="73"/>
      <c r="N115" s="73"/>
    </row>
    <row r="116" spans="1:14" ht="15">
      <c r="A116" s="125" t="s">
        <v>149</v>
      </c>
      <c r="B116" s="126" t="s">
        <v>17</v>
      </c>
      <c r="D116" s="73"/>
      <c r="E116" s="127" t="s">
        <v>18</v>
      </c>
      <c r="F116" s="131" t="s">
        <v>86</v>
      </c>
      <c r="G116" s="73"/>
      <c r="H116" s="73"/>
      <c r="I116" s="191"/>
      <c r="J116" s="191"/>
      <c r="K116" s="191"/>
      <c r="L116" s="188"/>
      <c r="M116" s="73"/>
      <c r="N116" s="73"/>
    </row>
    <row r="117" spans="1:14" ht="12.75">
      <c r="A117" s="114" t="s">
        <v>150</v>
      </c>
      <c r="B117" s="184">
        <f>Iout*((Vout/Vin_min)*(Vin_min-Vout)/Vin_min)^0.5</f>
        <v>1.0069653612485014</v>
      </c>
      <c r="D117" s="73"/>
      <c r="E117" s="66" t="s">
        <v>40</v>
      </c>
      <c r="F117" s="113" t="s">
        <v>151</v>
      </c>
      <c r="G117" s="73"/>
      <c r="H117" s="176"/>
      <c r="I117" s="191"/>
      <c r="J117" s="191"/>
      <c r="K117" s="191"/>
      <c r="L117" s="188"/>
      <c r="M117" s="73"/>
      <c r="N117" s="73"/>
    </row>
    <row r="118" spans="1:14" ht="12.75">
      <c r="A118" s="129" t="s">
        <v>152</v>
      </c>
      <c r="B118" s="138">
        <f>0.005*Vin_nom*10^3</f>
        <v>250</v>
      </c>
      <c r="D118" s="73"/>
      <c r="E118" s="139" t="s">
        <v>153</v>
      </c>
      <c r="F118" s="113"/>
      <c r="G118" s="73"/>
      <c r="H118" s="126"/>
      <c r="I118" s="126"/>
      <c r="J118" s="73"/>
      <c r="K118" s="73"/>
      <c r="L118" s="126"/>
      <c r="M118" s="73"/>
      <c r="N118" s="73"/>
    </row>
    <row r="119" spans="1:14" ht="12.75">
      <c r="A119" s="129" t="s">
        <v>154</v>
      </c>
      <c r="B119" s="169">
        <f>(Iout*0.25)/(Vinripple*fsw)*10^6</f>
        <v>5</v>
      </c>
      <c r="D119" s="73"/>
      <c r="E119" s="139" t="s">
        <v>129</v>
      </c>
      <c r="G119" s="73"/>
      <c r="H119" s="113"/>
      <c r="I119" s="176"/>
      <c r="J119" s="176"/>
      <c r="K119" s="176"/>
      <c r="L119" s="113"/>
      <c r="M119" s="73"/>
      <c r="N119" s="73"/>
    </row>
    <row r="120" spans="1:14" ht="12.75">
      <c r="A120" s="129" t="s">
        <v>155</v>
      </c>
      <c r="B120" s="179">
        <f>2.2*2</f>
        <v>4.4</v>
      </c>
      <c r="C120" s="60"/>
      <c r="D120" s="73"/>
      <c r="E120" s="139" t="s">
        <v>129</v>
      </c>
      <c r="F120" s="113"/>
      <c r="G120" s="73"/>
      <c r="H120" s="113"/>
      <c r="I120" s="176"/>
      <c r="J120" s="176"/>
      <c r="K120" s="176"/>
      <c r="L120" s="113"/>
      <c r="M120" s="73"/>
      <c r="N120" s="73"/>
    </row>
    <row r="121" spans="1:14" ht="12.75">
      <c r="A121" s="129" t="s">
        <v>156</v>
      </c>
      <c r="B121" s="185">
        <f>(Iout*0.25)/(Cin*fsw)*10^3</f>
        <v>284.09090909090907</v>
      </c>
      <c r="D121" s="73"/>
      <c r="E121" s="139" t="s">
        <v>153</v>
      </c>
      <c r="F121" s="113" t="s">
        <v>157</v>
      </c>
      <c r="G121" s="73"/>
      <c r="H121" s="113"/>
      <c r="I121" s="176"/>
      <c r="J121" s="176"/>
      <c r="K121" s="176"/>
      <c r="L121" s="113"/>
      <c r="M121" s="73"/>
      <c r="N121" s="73"/>
    </row>
    <row r="122" spans="4:14" ht="12.75">
      <c r="D122" s="73"/>
      <c r="E122" s="139"/>
      <c r="F122" s="73"/>
      <c r="G122" s="73"/>
      <c r="H122" s="73"/>
      <c r="I122" s="90"/>
      <c r="J122" s="73"/>
      <c r="K122" s="73"/>
      <c r="L122" s="113"/>
      <c r="M122" s="113"/>
      <c r="N122" s="73"/>
    </row>
    <row r="123" spans="1:14" ht="15">
      <c r="A123" s="125" t="s">
        <v>158</v>
      </c>
      <c r="B123" s="126" t="s">
        <v>17</v>
      </c>
      <c r="D123" s="73"/>
      <c r="E123" s="127" t="s">
        <v>18</v>
      </c>
      <c r="F123" s="131" t="s">
        <v>86</v>
      </c>
      <c r="G123" s="73"/>
      <c r="H123" s="73"/>
      <c r="I123" s="90"/>
      <c r="J123" s="73"/>
      <c r="K123" s="73"/>
      <c r="L123" s="113"/>
      <c r="M123" s="113"/>
      <c r="N123" s="73"/>
    </row>
    <row r="124" spans="1:14" ht="25.5">
      <c r="A124" s="129" t="s">
        <v>159</v>
      </c>
      <c r="B124" s="158">
        <f>(Vstart-Vstop)/(Ihys)/1000</f>
        <v>514.7058823529412</v>
      </c>
      <c r="C124" s="159">
        <f ca="1">(IF((10^(LOG(B124)-INT(LOG(B124)))*100)-VLOOKUP((10^(LOG(B124)-INT(LOG(B124)))*100),E96_s:E96_f,1)&lt;VLOOKUP((10^(LOG(B124)-INT(LOG(B124)))*100),E96_s:E96_f,2)-(10^(LOG(B124)-INT(LOG(B124)))*100),VLOOKUP((10^(LOG(B124)-INT(LOG(B124)))*100),E96_s:E96_f,1),VLOOKUP((10^(LOG(B124)-INT(LOG(B124)))*100),E96_s:E96_f,2)))*10^INT(LOG(B124))/100</f>
        <v>511</v>
      </c>
      <c r="D124" s="136"/>
      <c r="E124" s="139" t="s">
        <v>92</v>
      </c>
      <c r="F124" s="113" t="s">
        <v>160</v>
      </c>
      <c r="G124" s="73"/>
      <c r="H124" s="73"/>
      <c r="I124" s="90"/>
      <c r="J124" s="73"/>
      <c r="K124" s="73"/>
      <c r="L124" s="113"/>
      <c r="M124" s="113"/>
      <c r="N124" s="73"/>
    </row>
    <row r="125" spans="1:14" ht="12.75">
      <c r="A125" s="129" t="s">
        <v>161</v>
      </c>
      <c r="B125" s="138">
        <f>C124</f>
        <v>511</v>
      </c>
      <c r="D125" s="136"/>
      <c r="E125" s="139" t="s">
        <v>92</v>
      </c>
      <c r="F125" s="73"/>
      <c r="G125" s="73"/>
      <c r="H125" s="73"/>
      <c r="I125" s="90"/>
      <c r="J125" s="73"/>
      <c r="K125" s="73"/>
      <c r="L125" s="113"/>
      <c r="M125" s="113"/>
      <c r="N125" s="73"/>
    </row>
    <row r="126" spans="1:14" ht="12.75">
      <c r="A126" s="186" t="s">
        <v>162</v>
      </c>
      <c r="B126" s="169">
        <f>Vena/((Vstart-Vena)/Ruvlo1+I_1)/1000</f>
        <v>82.71731505962337</v>
      </c>
      <c r="C126" s="159">
        <f ca="1">(IF((10^(LOG(B126)-INT(LOG(B126)))*100)-VLOOKUP((10^(LOG(B126)-INT(LOG(B126)))*100),E96_s:E96_f,1)&lt;VLOOKUP((10^(LOG(B126)-INT(LOG(B126)))*100),E96_s:E96_f,2)-(10^(LOG(B126)-INT(LOG(B126)))*100),VLOOKUP((10^(LOG(B126)-INT(LOG(B126)))*100),E96_s:E96_f,1),VLOOKUP((10^(LOG(B126)-INT(LOG(B126)))*100),E96_s:E96_f,2)))*10^INT(LOG(B126))/100</f>
        <v>82.5</v>
      </c>
      <c r="D126" s="136"/>
      <c r="E126" s="139" t="s">
        <v>92</v>
      </c>
      <c r="F126" s="113" t="s">
        <v>163</v>
      </c>
      <c r="G126" s="73"/>
      <c r="H126" s="73"/>
      <c r="I126" s="90"/>
      <c r="J126" s="73"/>
      <c r="K126" s="73"/>
      <c r="L126" s="113"/>
      <c r="M126" s="113"/>
      <c r="N126" s="73"/>
    </row>
    <row r="127" spans="1:14" ht="12.75">
      <c r="A127" s="114" t="s">
        <v>164</v>
      </c>
      <c r="B127" s="130">
        <f>C126</f>
        <v>82.5</v>
      </c>
      <c r="D127" s="73"/>
      <c r="E127" s="139" t="s">
        <v>92</v>
      </c>
      <c r="F127" s="126"/>
      <c r="G127" s="73"/>
      <c r="H127" s="73"/>
      <c r="I127" s="90"/>
      <c r="J127" s="73"/>
      <c r="K127" s="73"/>
      <c r="L127" s="73"/>
      <c r="M127" s="126"/>
      <c r="N127" s="73"/>
    </row>
    <row r="128" spans="1:14" ht="12.75">
      <c r="A128" s="129" t="s">
        <v>165</v>
      </c>
      <c r="B128" s="184">
        <f>Vena+Ruvlo1*(Vena-I_1*Ruvlo2)/Ruvlo2</f>
        <v>8.019527272727272</v>
      </c>
      <c r="E128" s="163" t="s">
        <v>21</v>
      </c>
      <c r="F128" s="113" t="s">
        <v>166</v>
      </c>
      <c r="G128" s="73"/>
      <c r="H128" s="73"/>
      <c r="I128" s="192"/>
      <c r="J128" s="73"/>
      <c r="K128" s="73"/>
      <c r="L128" s="73"/>
      <c r="M128" s="113"/>
      <c r="N128" s="73"/>
    </row>
    <row r="129" spans="1:14" ht="12.75">
      <c r="A129" s="129" t="s">
        <v>167</v>
      </c>
      <c r="B129" s="184">
        <f>B128-Ihys*Ruvlo1</f>
        <v>6.282127272727272</v>
      </c>
      <c r="D129" s="73"/>
      <c r="E129" s="139" t="s">
        <v>21</v>
      </c>
      <c r="F129" s="113" t="s">
        <v>168</v>
      </c>
      <c r="G129" s="73"/>
      <c r="H129" s="73"/>
      <c r="I129" s="215"/>
      <c r="J129" s="73"/>
      <c r="K129" s="73"/>
      <c r="L129" s="73"/>
      <c r="M129" s="73"/>
      <c r="N129" s="73"/>
    </row>
    <row r="130" spans="1:14" ht="12.75" hidden="1">
      <c r="A130" s="129" t="s">
        <v>169</v>
      </c>
      <c r="B130" s="183">
        <f>Vin_max*Ruvlo2/(Ruvlo1+Ruvlo2)</f>
        <v>8.340353833192923</v>
      </c>
      <c r="E130" s="163" t="s">
        <v>21</v>
      </c>
      <c r="F130" s="113" t="s">
        <v>170</v>
      </c>
      <c r="G130" s="73"/>
      <c r="H130" s="73"/>
      <c r="I130" s="73"/>
      <c r="J130" s="73"/>
      <c r="K130" s="73"/>
      <c r="L130" s="73"/>
      <c r="M130" s="73"/>
      <c r="N130" s="73"/>
    </row>
    <row r="131" spans="1:14" ht="12.75">
      <c r="A131" s="129"/>
      <c r="B131" s="155"/>
      <c r="E131" s="163"/>
      <c r="F131" s="73"/>
      <c r="G131" s="73"/>
      <c r="H131" s="73"/>
      <c r="I131" s="73"/>
      <c r="J131" s="73"/>
      <c r="K131" s="73"/>
      <c r="L131" s="73"/>
      <c r="M131" s="73"/>
      <c r="N131" s="73"/>
    </row>
    <row r="132" spans="1:14" ht="15">
      <c r="A132" s="125" t="s">
        <v>171</v>
      </c>
      <c r="B132" s="126" t="s">
        <v>17</v>
      </c>
      <c r="D132" s="73"/>
      <c r="E132" s="127" t="s">
        <v>18</v>
      </c>
      <c r="F132" s="131" t="s">
        <v>86</v>
      </c>
      <c r="G132" s="73"/>
      <c r="H132" s="73"/>
      <c r="I132" s="155"/>
      <c r="J132" s="73"/>
      <c r="K132" s="73"/>
      <c r="L132" s="73"/>
      <c r="M132" s="73"/>
      <c r="N132" s="73"/>
    </row>
    <row r="133" spans="1:14" ht="12.75">
      <c r="A133" s="129" t="s">
        <v>172</v>
      </c>
      <c r="B133" s="134">
        <v>10.2</v>
      </c>
      <c r="C133" s="193">
        <f ca="1">(IF((10^(LOG(B133)-INT(LOG(B133)))*100)-VLOOKUP((10^(LOG(B133)-INT(LOG(B133)))*100),E96_s:E96_f,1)&lt;VLOOKUP((10^(LOG(B133)-INT(LOG(B133)))*100),E96_s:E96_f,2)-(10^(LOG(B133)-INT(LOG(B133)))*100),VLOOKUP((10^(LOG(B133)-INT(LOG(B133)))*100),E96_s:E96_f,1),VLOOKUP((10^(LOG(B133)-INT(LOG(B133)))*100),E96_s:E96_f,2)))*10^INT(LOG(B133))/100</f>
        <v>10.2</v>
      </c>
      <c r="D133" s="73"/>
      <c r="E133" s="139" t="s">
        <v>92</v>
      </c>
      <c r="F133" s="73"/>
      <c r="G133" s="126"/>
      <c r="H133" s="73"/>
      <c r="I133" s="73"/>
      <c r="J133" s="73"/>
      <c r="K133" s="73"/>
      <c r="L133" s="73"/>
      <c r="M133" s="73"/>
      <c r="N133" s="73"/>
    </row>
    <row r="134" spans="1:14" ht="12.75">
      <c r="A134" s="129" t="s">
        <v>173</v>
      </c>
      <c r="B134" s="194">
        <f>Rls/1000*(Vout-Vref)/Vref</f>
        <v>84.15</v>
      </c>
      <c r="C134" s="193">
        <f ca="1">(IF((10^(LOG(B134)-INT(LOG(B134)))*100)-VLOOKUP((10^(LOG(B134)-INT(LOG(B134)))*100),E96_s:E96_f,1)&lt;VLOOKUP((10^(LOG(B134)-INT(LOG(B134)))*100),E96_s:E96_f,2)-(10^(LOG(B134)-INT(LOG(B134)))*100),VLOOKUP((10^(LOG(B134)-INT(LOG(B134)))*100),E96_s:E96_f,1),VLOOKUP((10^(LOG(B134)-INT(LOG(B134)))*100),E96_s:E96_f,2)))*10^INT(LOG(B134))/100</f>
        <v>84.5</v>
      </c>
      <c r="D134" s="73"/>
      <c r="E134" s="139" t="s">
        <v>92</v>
      </c>
      <c r="F134" s="113" t="s">
        <v>174</v>
      </c>
      <c r="G134" s="73"/>
      <c r="H134" s="73"/>
      <c r="I134" s="73"/>
      <c r="J134" s="73"/>
      <c r="K134" s="73"/>
      <c r="L134" s="73"/>
      <c r="M134" s="73"/>
      <c r="N134" s="73"/>
    </row>
    <row r="135" spans="1:14" ht="12.75">
      <c r="A135" s="114" t="s">
        <v>175</v>
      </c>
      <c r="B135" s="130">
        <f>C134</f>
        <v>84.5</v>
      </c>
      <c r="D135" s="73"/>
      <c r="E135" s="139" t="s">
        <v>92</v>
      </c>
      <c r="F135" s="73"/>
      <c r="G135" s="73"/>
      <c r="H135" s="126"/>
      <c r="I135" s="126"/>
      <c r="J135" s="73"/>
      <c r="K135" s="73"/>
      <c r="L135" s="126"/>
      <c r="M135" s="73"/>
      <c r="N135" s="73"/>
    </row>
    <row r="136" spans="1:14" ht="12.75">
      <c r="A136" s="114" t="s">
        <v>176</v>
      </c>
      <c r="B136" s="175">
        <f>0.8/(Rls/(Rhs+Rls))</f>
        <v>7.427450980392157</v>
      </c>
      <c r="D136" s="73"/>
      <c r="E136" s="139" t="s">
        <v>21</v>
      </c>
      <c r="F136" s="113" t="s">
        <v>177</v>
      </c>
      <c r="G136" s="73"/>
      <c r="H136" s="73"/>
      <c r="I136" s="90"/>
      <c r="J136" s="73"/>
      <c r="K136" s="73"/>
      <c r="L136" s="73"/>
      <c r="M136" s="113"/>
      <c r="N136" s="73"/>
    </row>
    <row r="137" spans="5:14" ht="12.75">
      <c r="E137" s="139"/>
      <c r="F137" s="73"/>
      <c r="G137" s="73"/>
      <c r="H137" s="73"/>
      <c r="I137" s="90"/>
      <c r="J137" s="73"/>
      <c r="K137" s="73"/>
      <c r="L137" s="73"/>
      <c r="M137" s="113"/>
      <c r="N137" s="73"/>
    </row>
    <row r="138" spans="1:14" s="60" customFormat="1" ht="15">
      <c r="A138" s="125" t="s">
        <v>178</v>
      </c>
      <c r="B138" s="126" t="s">
        <v>17</v>
      </c>
      <c r="D138" s="113"/>
      <c r="E138" s="127" t="s">
        <v>18</v>
      </c>
      <c r="F138" s="131" t="s">
        <v>86</v>
      </c>
      <c r="G138" s="113"/>
      <c r="H138" s="126"/>
      <c r="I138" s="113"/>
      <c r="J138" s="113"/>
      <c r="K138" s="113"/>
      <c r="L138" s="113"/>
      <c r="M138" s="113"/>
      <c r="N138" s="113"/>
    </row>
    <row r="139" spans="1:6" s="113" customFormat="1" ht="12.75">
      <c r="A139" s="195" t="s">
        <v>179</v>
      </c>
      <c r="B139" s="130">
        <v>3.5</v>
      </c>
      <c r="C139" s="195"/>
      <c r="D139" s="195"/>
      <c r="E139" s="195" t="s">
        <v>180</v>
      </c>
      <c r="F139" s="195"/>
    </row>
    <row r="140" spans="1:8" s="113" customFormat="1" ht="12.75">
      <c r="A140" s="195" t="s">
        <v>181</v>
      </c>
      <c r="B140" s="196" t="str">
        <f>IF(B189="internal ss","internal ss",tss*Iss/(Vref*0.8)*10^9)</f>
        <v>internal ss</v>
      </c>
      <c r="C140" s="197" t="e">
        <f ca="1">IF(B140*10^15&lt;10000,IF((10^(LOG(B140*10^15)-INT(LOG(B140*10^15))))-VLOOKUP((10^(LOG(B140*10^15)-INT(LOG(B140*10^15)))),c_s1:C_f1,1)&lt;VLOOKUP((10^(LOG(B140*10^15)-INT(LOG(B140*10^15)))),c_s1:C_f1,2)-(10^(LOG(B140*10^15)-INT(LOG(B140*10^15)))),VLOOKUP((10^(LOG(B140*10^15)-INT(LOG(B140*10^15)))),c_s1:C_f1,1),VLOOKUP((10^(LOG(B140*10^15)-INT(LOG(B140*10^15)))),c_s1:C_f1,2))*10^INT(LOG(B140*10^15)),IF((10^(LOG(B140*10^15)-INT(LOG(B140*10^15))))-VLOOKUP((10^(LOG(B140*10^15)-INT(LOG(B140*10^15)))),C_s2:C_f2,1)&lt;VLOOKUP((10^(LOG(B140*10^15)-INT(LOG(B140*10^15)))),C_s2:C_f2,2)-(10^(LOG(B140*10^15)-INT(LOG(B140*10^15)))),VLOOKUP((10^(LOG(B140*10^15)-INT(LOG(B140*10^15)))),C_s2:C_f2,1),VLOOKUP((10^(LOG(B140*10^15)-INT(LOG(B140*10^15)))),C_s2:C_f2,2))*10^INT(LOG(B140*10^15)))*10^-15</f>
        <v>#VALUE!</v>
      </c>
      <c r="D140" s="195"/>
      <c r="E140" s="195" t="s">
        <v>182</v>
      </c>
      <c r="F140" s="195"/>
      <c r="H140" s="126"/>
    </row>
    <row r="141" spans="1:8" s="113" customFormat="1" ht="12.75">
      <c r="A141" s="195" t="s">
        <v>183</v>
      </c>
      <c r="B141" s="130" t="e">
        <f>C140</f>
        <v>#VALUE!</v>
      </c>
      <c r="C141" s="195"/>
      <c r="D141" s="195"/>
      <c r="E141" s="195" t="s">
        <v>182</v>
      </c>
      <c r="F141" s="195"/>
      <c r="H141" s="126"/>
    </row>
    <row r="142" spans="1:14" s="60" customFormat="1" ht="12.75">
      <c r="A142" s="195" t="s">
        <v>179</v>
      </c>
      <c r="B142" s="197">
        <f>IF(B189="internal ss",1024/fsw*1000,Css*Vref*0.8/Iss*1000)</f>
        <v>1.7066666666666666</v>
      </c>
      <c r="C142" s="195"/>
      <c r="D142" s="195"/>
      <c r="E142" s="163" t="s">
        <v>180</v>
      </c>
      <c r="F142" s="195" t="s">
        <v>96</v>
      </c>
      <c r="G142" s="113"/>
      <c r="H142" s="113"/>
      <c r="I142" s="113"/>
      <c r="J142" s="113"/>
      <c r="K142" s="113"/>
      <c r="L142" s="113"/>
      <c r="M142" s="113"/>
      <c r="N142" s="113"/>
    </row>
    <row r="143" spans="1:14" ht="12.75">
      <c r="A143" s="195"/>
      <c r="B143" s="198"/>
      <c r="C143" s="198"/>
      <c r="D143" s="198"/>
      <c r="E143" s="163"/>
      <c r="F143" s="198"/>
      <c r="G143" s="73"/>
      <c r="H143" s="73"/>
      <c r="I143" s="189"/>
      <c r="J143" s="73"/>
      <c r="K143" s="136"/>
      <c r="L143" s="73"/>
      <c r="M143" s="73"/>
      <c r="N143" s="73"/>
    </row>
    <row r="144" spans="1:14" ht="15">
      <c r="A144" s="125" t="s">
        <v>184</v>
      </c>
      <c r="D144" s="73"/>
      <c r="E144" s="139"/>
      <c r="F144" s="73"/>
      <c r="G144" s="73"/>
      <c r="H144" s="73"/>
      <c r="I144" s="189"/>
      <c r="J144" s="73"/>
      <c r="K144" s="136"/>
      <c r="L144" s="73"/>
      <c r="M144" s="73"/>
      <c r="N144" s="73"/>
    </row>
    <row r="145" spans="1:14" ht="12.75">
      <c r="A145" s="199" t="s">
        <v>185</v>
      </c>
      <c r="B145" s="126" t="s">
        <v>17</v>
      </c>
      <c r="C145" s="73"/>
      <c r="D145" s="73"/>
      <c r="E145" s="127" t="s">
        <v>18</v>
      </c>
      <c r="F145" s="131" t="s">
        <v>86</v>
      </c>
      <c r="G145" s="73"/>
      <c r="H145" s="73"/>
      <c r="I145" s="189"/>
      <c r="J145" s="73"/>
      <c r="K145" s="136"/>
      <c r="L145" s="73"/>
      <c r="M145" s="73"/>
      <c r="N145" s="73"/>
    </row>
    <row r="146" spans="1:14" ht="12.75">
      <c r="A146" s="200" t="s">
        <v>186</v>
      </c>
      <c r="B146" s="175">
        <f>(Iout)/(2*PI()*Vout*Co)/1000</f>
        <v>3.81971863420549</v>
      </c>
      <c r="C146" s="155"/>
      <c r="D146" s="155"/>
      <c r="E146" s="67" t="s">
        <v>53</v>
      </c>
      <c r="F146" s="180" t="s">
        <v>187</v>
      </c>
      <c r="G146" s="73"/>
      <c r="H146" s="73"/>
      <c r="I146" s="189"/>
      <c r="J146" s="73"/>
      <c r="K146" s="73"/>
      <c r="L146" s="73"/>
      <c r="M146" s="126"/>
      <c r="N146" s="73"/>
    </row>
    <row r="147" spans="1:14" ht="12.75">
      <c r="A147" s="114" t="s">
        <v>188</v>
      </c>
      <c r="B147" s="158">
        <f>1/(2*PI()*Co*ESR)/1000</f>
        <v>1884.3945262080415</v>
      </c>
      <c r="C147" s="73"/>
      <c r="D147" s="73"/>
      <c r="E147" s="67" t="s">
        <v>53</v>
      </c>
      <c r="F147" s="180" t="s">
        <v>189</v>
      </c>
      <c r="G147" s="73"/>
      <c r="H147" s="73"/>
      <c r="I147" s="155"/>
      <c r="J147" s="73"/>
      <c r="K147" s="73"/>
      <c r="L147" s="73"/>
      <c r="M147" s="73"/>
      <c r="N147" s="73"/>
    </row>
    <row r="148" spans="1:14" ht="12.75">
      <c r="A148" s="114" t="s">
        <v>190</v>
      </c>
      <c r="B148" s="169">
        <f>SQRT(fpole*fzero)/1000</f>
        <v>84.84018438188168</v>
      </c>
      <c r="C148" s="73"/>
      <c r="D148" s="73"/>
      <c r="E148" s="67" t="s">
        <v>53</v>
      </c>
      <c r="F148" s="180" t="s">
        <v>191</v>
      </c>
      <c r="G148" s="73"/>
      <c r="H148" s="73"/>
      <c r="I148" s="155"/>
      <c r="J148" s="73"/>
      <c r="K148" s="73"/>
      <c r="L148" s="180"/>
      <c r="M148" s="73"/>
      <c r="N148" s="73"/>
    </row>
    <row r="149" spans="1:7" ht="12.75">
      <c r="A149" s="114" t="s">
        <v>192</v>
      </c>
      <c r="B149" s="169">
        <f>SQRT(fpole*(fsw/2))/1000</f>
        <v>33.85137501286538</v>
      </c>
      <c r="C149" s="73"/>
      <c r="D149" s="73"/>
      <c r="E149" s="67" t="s">
        <v>53</v>
      </c>
      <c r="F149" s="180" t="s">
        <v>193</v>
      </c>
      <c r="G149" s="73"/>
    </row>
    <row r="150" spans="1:14" ht="12.75">
      <c r="A150" s="114" t="s">
        <v>194</v>
      </c>
      <c r="B150" s="130">
        <f>MIN(B148:B149)</f>
        <v>33.85137501286538</v>
      </c>
      <c r="C150" s="73"/>
      <c r="D150" s="73"/>
      <c r="E150" s="163" t="s">
        <v>53</v>
      </c>
      <c r="F150" s="73"/>
      <c r="G150" s="73"/>
      <c r="H150" s="73"/>
      <c r="I150" s="73"/>
      <c r="J150" s="73"/>
      <c r="K150" s="73"/>
      <c r="L150" s="73"/>
      <c r="M150" s="73"/>
      <c r="N150" s="73"/>
    </row>
    <row r="151" spans="1:8" ht="12.75">
      <c r="A151" s="199" t="s">
        <v>195</v>
      </c>
      <c r="G151" s="73"/>
      <c r="H151" s="176"/>
    </row>
    <row r="152" spans="1:14" ht="12.75">
      <c r="A152" s="129" t="s">
        <v>196</v>
      </c>
      <c r="B152" s="184">
        <f>(2*PI()*fco*Co/gmps)*(Vout/(gmea*Vref))/1000</f>
        <v>7.912740405828195</v>
      </c>
      <c r="C152" s="193">
        <f ca="1">(IF((10^(LOG(B152)-INT(LOG(B152)))*100)-VLOOKUP((10^(LOG(B152)-INT(LOG(B152)))*100),E96_s:E96_f,1)&lt;VLOOKUP((10^(LOG(B152)-INT(LOG(B152)))*100),E96_s:E96_f,2)-(10^(LOG(B152)-INT(LOG(B152)))*100),VLOOKUP((10^(LOG(B152)-INT(LOG(B152)))*100),E96_s:E96_f,1),VLOOKUP((10^(LOG(B152)-INT(LOG(B152)))*100),E96_s:E96_f,2)))*10^INT(LOG(B152))/100</f>
        <v>7.87</v>
      </c>
      <c r="D152" s="90"/>
      <c r="E152" s="139" t="s">
        <v>92</v>
      </c>
      <c r="F152" s="60" t="s">
        <v>197</v>
      </c>
      <c r="G152" s="73"/>
      <c r="H152" s="73"/>
      <c r="I152" s="136"/>
      <c r="J152" s="73"/>
      <c r="K152" s="73"/>
      <c r="L152" s="73"/>
      <c r="M152" s="73"/>
      <c r="N152" s="73"/>
    </row>
    <row r="153" spans="1:14" ht="12.75">
      <c r="A153" s="114" t="s">
        <v>198</v>
      </c>
      <c r="B153" s="134">
        <f>C152</f>
        <v>7.87</v>
      </c>
      <c r="C153" s="73"/>
      <c r="D153" s="73"/>
      <c r="E153" s="139" t="s">
        <v>92</v>
      </c>
      <c r="G153" s="73"/>
      <c r="H153" s="126"/>
      <c r="I153" s="126"/>
      <c r="J153" s="73"/>
      <c r="K153" s="73"/>
      <c r="L153" s="126"/>
      <c r="M153" s="126"/>
      <c r="N153" s="73"/>
    </row>
    <row r="154" spans="1:14" ht="12.75">
      <c r="A154" s="129" t="s">
        <v>199</v>
      </c>
      <c r="B154" s="184">
        <f>1/(2*PI()*Rcomp*fpole)*10^9</f>
        <v>5.294366793731467</v>
      </c>
      <c r="C154" s="193">
        <f ca="1">IF(B154*10^15&lt;10000,IF((10^(LOG(B154*10^15)-INT(LOG(B154*10^15))))-VLOOKUP((10^(LOG(B154*10^15)-INT(LOG(B154*10^15)))),c_s1:C_f1,1)&lt;VLOOKUP((10^(LOG(B154*10^15)-INT(LOG(B154*10^15)))),c_s1:C_f1,2)-(10^(LOG(B154*10^15)-INT(LOG(B154*10^15)))),VLOOKUP((10^(LOG(B154*10^15)-INT(LOG(B154*10^15)))),c_s1:C_f1,1),VLOOKUP((10^(LOG(B154*10^15)-INT(LOG(B154*10^15)))),c_s1:C_f1,2))*10^INT(LOG(B154*10^15)),IF((10^(LOG(B154*10^15)-INT(LOG(B154*10^15))))-VLOOKUP((10^(LOG(B154*10^15)-INT(LOG(B154*10^15)))),C_s2:C_f2,1)&lt;VLOOKUP((10^(LOG(B154*10^15)-INT(LOG(B154*10^15)))),C_s2:C_f2,2)-(10^(LOG(B154*10^15)-INT(LOG(B154*10^15)))),VLOOKUP((10^(LOG(B154*10^15)-INT(LOG(B154*10^15)))),C_s2:C_f2,1),VLOOKUP((10^(LOG(B154*10^15)-INT(LOG(B154*10^15)))),C_s2:C_f2,2))*10^INT(LOG(B154*10^15)))*10^-15</f>
        <v>4.7</v>
      </c>
      <c r="D154" s="192"/>
      <c r="E154" s="139" t="s">
        <v>182</v>
      </c>
      <c r="F154" s="60" t="s">
        <v>200</v>
      </c>
      <c r="G154" s="73"/>
      <c r="H154" s="73"/>
      <c r="I154" s="136"/>
      <c r="J154" s="73"/>
      <c r="K154" s="73"/>
      <c r="L154" s="73"/>
      <c r="M154" s="73"/>
      <c r="N154" s="73"/>
    </row>
    <row r="155" spans="1:14" ht="12.75">
      <c r="A155" s="114" t="s">
        <v>201</v>
      </c>
      <c r="B155" s="134">
        <f>C154</f>
        <v>4.7</v>
      </c>
      <c r="C155" s="90"/>
      <c r="D155" s="73"/>
      <c r="E155" s="139" t="s">
        <v>182</v>
      </c>
      <c r="G155" s="73"/>
      <c r="H155" s="73"/>
      <c r="I155" s="73"/>
      <c r="J155" s="73"/>
      <c r="K155" s="73"/>
      <c r="L155" s="113"/>
      <c r="M155" s="73"/>
      <c r="N155" s="73"/>
    </row>
    <row r="156" spans="1:14" ht="12.75">
      <c r="A156" s="129" t="s">
        <v>202</v>
      </c>
      <c r="B156" s="184">
        <f>Co*ESR/Rcomp*10^12</f>
        <v>10.73182458188811</v>
      </c>
      <c r="C156" s="201">
        <f ca="1">IF(B156*10^12&lt;10000,IF((10^(LOG(B156*10^12)-INT(LOG(B156*10^12))))-VLOOKUP((10^(LOG(B156*10^12)-INT(LOG(B156*10^12)))),c_s1:C_f1,1)&lt;VLOOKUP((10^(LOG(B156*10^12)-INT(LOG(B156*10^12)))),c_s1:C_f1,2)-(10^(LOG(B156*10^12)-INT(LOG(B156*10^12)))),VLOOKUP((10^(LOG(B156*10^12)-INT(LOG(B156*10^12)))),c_s1:C_f1,1),VLOOKUP((10^(LOG(B156*10^12)-INT(LOG(B156*10^12)))),c_s1:C_f1,2))*10^INT(LOG(B156*10^12)),IF((10^(LOG(B156*10^12)-INT(LOG(B156*10^12))))-VLOOKUP((10^(LOG(B156*10^12)-INT(LOG(B156*10^12)))),C_s2:C_f2,1)&lt;VLOOKUP((10^(LOG(B156*10^12)-INT(LOG(B156*10^12)))),C_s2:C_f2,2)-(10^(LOG(B156*10^12)-INT(LOG(B156*10^12)))),VLOOKUP((10^(LOG(B156*10^12)-INT(LOG(B156*10^12)))),C_s2:C_f2,1),VLOOKUP((10^(LOG(B156*10^12)-INT(LOG(B156*10^12)))),C_s2:C_f2,2))*10^INT(LOG(B156*10^12)))*10^-12</f>
        <v>10</v>
      </c>
      <c r="D156" s="73"/>
      <c r="E156" s="139" t="s">
        <v>145</v>
      </c>
      <c r="F156" s="60" t="s">
        <v>203</v>
      </c>
      <c r="G156" s="73"/>
      <c r="H156" s="126"/>
      <c r="I156" s="126"/>
      <c r="J156" s="73"/>
      <c r="K156" s="73"/>
      <c r="L156" s="126"/>
      <c r="M156" s="126"/>
      <c r="N156" s="73"/>
    </row>
    <row r="157" spans="1:14" ht="12.75">
      <c r="A157" s="129" t="s">
        <v>204</v>
      </c>
      <c r="B157" s="169">
        <f>1/(Rcomp*PI()*fsw)*10^12</f>
        <v>67.4099716611162</v>
      </c>
      <c r="C157" s="201">
        <f ca="1">IF(B157*10^12&lt;10000,IF((10^(LOG(B157*10^12)-INT(LOG(B157*10^12))))-VLOOKUP((10^(LOG(B157*10^12)-INT(LOG(B157*10^12)))),c_s1:C_f1,1)&lt;VLOOKUP((10^(LOG(B157*10^12)-INT(LOG(B157*10^12)))),c_s1:C_f1,2)-(10^(LOG(B157*10^12)-INT(LOG(B157*10^12)))),VLOOKUP((10^(LOG(B157*10^12)-INT(LOG(B157*10^12)))),c_s1:C_f1,1),VLOOKUP((10^(LOG(B157*10^12)-INT(LOG(B157*10^12)))),c_s1:C_f1,2))*10^INT(LOG(B157*10^12)),IF((10^(LOG(B157*10^12)-INT(LOG(B157*10^12))))-VLOOKUP((10^(LOG(B157*10^12)-INT(LOG(B157*10^12)))),C_s2:C_f2,1)&lt;VLOOKUP((10^(LOG(B157*10^12)-INT(LOG(B157*10^12)))),C_s2:C_f2,2)-(10^(LOG(B157*10^12)-INT(LOG(B157*10^12)))),VLOOKUP((10^(LOG(B157*10^12)-INT(LOG(B157*10^12)))),C_s2:C_f2,1),VLOOKUP((10^(LOG(B157*10^12)-INT(LOG(B157*10^12)))),C_s2:C_f2,2))*10^INT(LOG(B157*10^12)))*10^-12</f>
        <v>68</v>
      </c>
      <c r="E157" s="139" t="s">
        <v>145</v>
      </c>
      <c r="F157" s="60" t="s">
        <v>205</v>
      </c>
      <c r="G157" s="73"/>
      <c r="I157" s="189"/>
      <c r="J157" s="73"/>
      <c r="K157" s="136"/>
      <c r="L157" s="73"/>
      <c r="M157" s="73"/>
      <c r="N157" s="73"/>
    </row>
    <row r="158" spans="1:8" ht="12.75">
      <c r="A158" s="114" t="s">
        <v>206</v>
      </c>
      <c r="B158" s="130">
        <f>MAX(C156:C157)</f>
        <v>68</v>
      </c>
      <c r="E158" s="139" t="s">
        <v>145</v>
      </c>
      <c r="G158" s="73"/>
      <c r="H158" s="176"/>
    </row>
    <row r="159" spans="1:8" ht="12.75">
      <c r="A159" s="202" t="s">
        <v>207</v>
      </c>
      <c r="B159" s="203"/>
      <c r="E159" s="66"/>
      <c r="G159" s="73"/>
      <c r="H159" s="176"/>
    </row>
    <row r="160" spans="2:7" ht="12.75">
      <c r="B160" s="90"/>
      <c r="E160" s="66"/>
      <c r="G160" s="176"/>
    </row>
    <row r="161" spans="1:13" ht="30">
      <c r="A161" s="125" t="s">
        <v>208</v>
      </c>
      <c r="B161" s="126" t="s">
        <v>17</v>
      </c>
      <c r="E161" s="127" t="s">
        <v>18</v>
      </c>
      <c r="F161" s="131" t="s">
        <v>86</v>
      </c>
      <c r="G161" s="73"/>
      <c r="H161" s="136"/>
      <c r="I161" s="73"/>
      <c r="J161" s="73"/>
      <c r="K161" s="73"/>
      <c r="L161" s="73"/>
      <c r="M161" s="73"/>
    </row>
    <row r="162" spans="1:13" ht="12.75">
      <c r="A162" s="129" t="s">
        <v>104</v>
      </c>
      <c r="B162" s="137">
        <f>Rdson</f>
        <v>0.092</v>
      </c>
      <c r="C162" s="73"/>
      <c r="D162" s="73"/>
      <c r="E162" s="139" t="s">
        <v>105</v>
      </c>
      <c r="F162" s="171" t="s">
        <v>209</v>
      </c>
      <c r="G162" s="204"/>
      <c r="H162" s="136"/>
      <c r="I162" s="73"/>
      <c r="J162" s="73"/>
      <c r="K162" s="73"/>
      <c r="L162" s="73"/>
      <c r="M162" s="73"/>
    </row>
    <row r="163" spans="1:13" ht="12.75">
      <c r="A163" s="129" t="s">
        <v>210</v>
      </c>
      <c r="B163" s="96">
        <f>Iout^2*Vout/Vin_nom*B162</f>
        <v>0.122544</v>
      </c>
      <c r="C163" s="96">
        <f>Iout^2*Vout/Vin_max*B162</f>
        <v>0.10212</v>
      </c>
      <c r="D163" s="96">
        <f>Iout^2*Vout/Vin_min*B162</f>
        <v>0.7208470588235295</v>
      </c>
      <c r="E163" s="139" t="s">
        <v>147</v>
      </c>
      <c r="F163" s="171" t="s">
        <v>209</v>
      </c>
      <c r="G163" s="204"/>
      <c r="H163" s="136"/>
      <c r="I163" s="73"/>
      <c r="J163" s="73"/>
      <c r="K163" s="73"/>
      <c r="L163" s="73"/>
      <c r="M163" s="73"/>
    </row>
    <row r="164" spans="1:13" ht="12.75">
      <c r="A164" s="129" t="s">
        <v>211</v>
      </c>
      <c r="B164" s="96">
        <f>Vin_nom*fsw*Iout*(Vin_nom*0.16*10^-9+0.000000003)</f>
        <v>0.9900000000000001</v>
      </c>
      <c r="C164" s="96">
        <f>Vin_max*fsw*Iout*(Vin_max*0.16*10^-9+0.000000003)</f>
        <v>1.3608</v>
      </c>
      <c r="D164" s="96">
        <f>Vin_min*fsw*Iout*(Vin_min*0.16*10^-9+0.000000003)</f>
        <v>0.066708</v>
      </c>
      <c r="E164" s="139" t="s">
        <v>147</v>
      </c>
      <c r="F164" s="171" t="s">
        <v>212</v>
      </c>
      <c r="G164" s="205"/>
      <c r="H164" s="136"/>
      <c r="I164" s="73"/>
      <c r="J164" s="73"/>
      <c r="K164" s="73"/>
      <c r="L164" s="73"/>
      <c r="M164" s="73"/>
    </row>
    <row r="165" spans="1:14" ht="12.75">
      <c r="A165" s="129" t="s">
        <v>213</v>
      </c>
      <c r="B165" s="96">
        <f>Vin_nom*0.000000003*fsw</f>
        <v>0.09</v>
      </c>
      <c r="C165" s="96">
        <f>Vin_max*0.000000003*fsw</f>
        <v>0.108</v>
      </c>
      <c r="D165" s="96">
        <f>Vin_min*0.000000003*fsw</f>
        <v>0.0153</v>
      </c>
      <c r="E165" s="139" t="s">
        <v>147</v>
      </c>
      <c r="F165" s="206" t="s">
        <v>214</v>
      </c>
      <c r="G165" s="204"/>
      <c r="H165" s="113"/>
      <c r="I165" s="192"/>
      <c r="J165" s="192"/>
      <c r="K165" s="192"/>
      <c r="L165" s="113"/>
      <c r="M165" s="113"/>
      <c r="N165" s="73"/>
    </row>
    <row r="166" spans="1:14" ht="12.75">
      <c r="A166" s="129" t="s">
        <v>215</v>
      </c>
      <c r="B166" s="96">
        <f>Iq*Vin_nom</f>
        <v>0.0073</v>
      </c>
      <c r="C166" s="96">
        <f>Iq*Vin_max</f>
        <v>0.00876</v>
      </c>
      <c r="D166" s="96">
        <f>Iq*Vin_min</f>
        <v>0.001241</v>
      </c>
      <c r="E166" s="139" t="s">
        <v>147</v>
      </c>
      <c r="F166" s="113" t="s">
        <v>216</v>
      </c>
      <c r="H166" s="113"/>
      <c r="I166" s="192"/>
      <c r="J166" s="192"/>
      <c r="K166" s="192"/>
      <c r="L166" s="113"/>
      <c r="M166" s="180"/>
      <c r="N166" s="73"/>
    </row>
    <row r="167" spans="1:14" ht="12.75">
      <c r="A167" s="129" t="s">
        <v>217</v>
      </c>
      <c r="B167" s="183">
        <f>B163+B164+B165+B166</f>
        <v>1.2098440000000004</v>
      </c>
      <c r="C167" s="183">
        <f>C163+C164+C165+C166</f>
        <v>1.5796800000000002</v>
      </c>
      <c r="D167" s="183">
        <f>D163+D164+D165+D166</f>
        <v>0.8040960588235295</v>
      </c>
      <c r="E167" s="139" t="s">
        <v>147</v>
      </c>
      <c r="F167" s="113" t="s">
        <v>218</v>
      </c>
      <c r="H167" s="113"/>
      <c r="I167" s="155"/>
      <c r="J167" s="155"/>
      <c r="K167" s="155"/>
      <c r="L167" s="113"/>
      <c r="M167" s="180"/>
      <c r="N167" s="73"/>
    </row>
    <row r="168" spans="1:14" ht="12.75">
      <c r="A168" s="129" t="s">
        <v>219</v>
      </c>
      <c r="B168" s="130">
        <v>30</v>
      </c>
      <c r="C168" s="73"/>
      <c r="D168" s="73"/>
      <c r="E168" s="139" t="s">
        <v>220</v>
      </c>
      <c r="F168" s="126"/>
      <c r="H168" s="113"/>
      <c r="I168" s="155"/>
      <c r="J168" s="155"/>
      <c r="K168" s="155"/>
      <c r="L168" s="113"/>
      <c r="M168" s="180"/>
      <c r="N168" s="73"/>
    </row>
    <row r="169" spans="1:14" ht="12.75">
      <c r="A169" s="129" t="s">
        <v>221</v>
      </c>
      <c r="B169" s="130">
        <v>85</v>
      </c>
      <c r="C169" s="93"/>
      <c r="E169" s="163" t="s">
        <v>222</v>
      </c>
      <c r="F169" s="73"/>
      <c r="H169" s="73"/>
      <c r="I169" s="176"/>
      <c r="J169" s="73"/>
      <c r="K169" s="73"/>
      <c r="L169" s="113"/>
      <c r="M169" s="180"/>
      <c r="N169" s="73"/>
    </row>
    <row r="170" spans="1:14" ht="12.75">
      <c r="A170" s="129" t="s">
        <v>223</v>
      </c>
      <c r="B170" s="183">
        <f>(150-B169)/B168</f>
        <v>2.1666666666666665</v>
      </c>
      <c r="C170" s="93"/>
      <c r="E170" s="163" t="s">
        <v>147</v>
      </c>
      <c r="F170" s="73"/>
      <c r="H170" s="73"/>
      <c r="I170" s="176"/>
      <c r="J170" s="73"/>
      <c r="K170" s="73"/>
      <c r="L170" s="113"/>
      <c r="M170" s="180"/>
      <c r="N170" s="73"/>
    </row>
    <row r="172" spans="1:14" ht="15">
      <c r="A172" s="125" t="s">
        <v>224</v>
      </c>
      <c r="B172" s="131" t="s">
        <v>17</v>
      </c>
      <c r="D172" s="131"/>
      <c r="E172" s="145" t="s">
        <v>18</v>
      </c>
      <c r="G172" s="73"/>
      <c r="H172" s="73"/>
      <c r="I172" s="189"/>
      <c r="J172" s="73"/>
      <c r="K172" s="73"/>
      <c r="L172" s="113"/>
      <c r="M172" s="180"/>
      <c r="N172" s="73"/>
    </row>
    <row r="173" spans="1:14" ht="12.75">
      <c r="A173" s="129" t="s">
        <v>225</v>
      </c>
      <c r="B173" s="207">
        <f>LOOKUP(B$3,partdata!A3:A10,partdata!E3:E10)</f>
        <v>4.5</v>
      </c>
      <c r="C173" s="60"/>
      <c r="D173" s="60"/>
      <c r="E173" s="67" t="s">
        <v>21</v>
      </c>
      <c r="G173" s="73"/>
      <c r="H173" s="73"/>
      <c r="I173" s="73"/>
      <c r="J173" s="73"/>
      <c r="K173" s="73"/>
      <c r="L173" s="180"/>
      <c r="M173" s="73"/>
      <c r="N173" s="73"/>
    </row>
    <row r="174" spans="1:14" ht="12.75">
      <c r="A174" s="129" t="s">
        <v>226</v>
      </c>
      <c r="B174" s="208">
        <f>LOOKUP(B$3,partdata!A3:A10,partdata!F3:F10)</f>
        <v>60</v>
      </c>
      <c r="C174" s="60"/>
      <c r="D174" s="60"/>
      <c r="E174" s="67" t="s">
        <v>21</v>
      </c>
      <c r="G174" s="73"/>
      <c r="H174" s="73"/>
      <c r="I174" s="90"/>
      <c r="J174" s="90"/>
      <c r="K174" s="73"/>
      <c r="L174" s="73"/>
      <c r="M174" s="73"/>
      <c r="N174" s="73"/>
    </row>
    <row r="175" spans="1:14" ht="12.75">
      <c r="A175" s="114" t="s">
        <v>227</v>
      </c>
      <c r="B175" s="64">
        <f>LOOKUP(B$3,partdata!A3:A10,partdata!G3:G10)</f>
        <v>350</v>
      </c>
      <c r="D175" s="73"/>
      <c r="E175" s="139" t="s">
        <v>228</v>
      </c>
      <c r="G175" s="73"/>
      <c r="H175" s="113"/>
      <c r="I175" s="90"/>
      <c r="J175" s="90"/>
      <c r="K175" s="90"/>
      <c r="L175" s="73"/>
      <c r="M175" s="73"/>
      <c r="N175" s="73"/>
    </row>
    <row r="176" spans="1:14" ht="12.75">
      <c r="A176" s="114" t="s">
        <v>229</v>
      </c>
      <c r="B176" s="209">
        <f>LOOKUP(B$3,partdata!A3:A10,partdata!H3:H10)</f>
        <v>12</v>
      </c>
      <c r="E176" s="66" t="s">
        <v>230</v>
      </c>
      <c r="G176" s="73"/>
      <c r="H176" s="73"/>
      <c r="I176" s="90"/>
      <c r="J176" s="90"/>
      <c r="K176" s="73"/>
      <c r="L176" s="73"/>
      <c r="M176" s="73"/>
      <c r="N176" s="73"/>
    </row>
    <row r="177" spans="1:14" ht="12.75">
      <c r="A177" s="66" t="s">
        <v>231</v>
      </c>
      <c r="B177" s="210">
        <f>LOOKUP(B$3,partdata!A3:A10,partdata!I3:I10)</f>
        <v>1</v>
      </c>
      <c r="D177" s="73"/>
      <c r="E177" s="67" t="s">
        <v>230</v>
      </c>
      <c r="G177" s="73"/>
      <c r="H177" s="73"/>
      <c r="I177" s="90"/>
      <c r="J177" s="73"/>
      <c r="K177" s="73"/>
      <c r="L177" s="73"/>
      <c r="M177" s="73"/>
      <c r="N177" s="73"/>
    </row>
    <row r="178" spans="1:14" ht="12.75">
      <c r="A178" s="114" t="s">
        <v>232</v>
      </c>
      <c r="B178" s="211">
        <f>LOOKUP(B$3,partdata!A3:A10,partdata!J3:J10)</f>
        <v>0.8</v>
      </c>
      <c r="D178" s="73"/>
      <c r="E178" s="66" t="s">
        <v>21</v>
      </c>
      <c r="F178" s="212"/>
      <c r="G178" s="73"/>
      <c r="H178" s="73"/>
      <c r="I178" s="90"/>
      <c r="J178" s="73"/>
      <c r="K178" s="73"/>
      <c r="L178" s="73"/>
      <c r="M178" s="73"/>
      <c r="N178" s="73"/>
    </row>
    <row r="179" spans="1:14" ht="12.75">
      <c r="A179" s="114" t="s">
        <v>233</v>
      </c>
      <c r="B179" s="70">
        <f>LOOKUP(B$3,partdata!A3:A10,partdata!K3:K10)</f>
        <v>1.2</v>
      </c>
      <c r="D179" s="73"/>
      <c r="E179" s="66" t="s">
        <v>40</v>
      </c>
      <c r="F179" s="212"/>
      <c r="G179" s="73"/>
      <c r="H179" s="73"/>
      <c r="I179" s="90"/>
      <c r="J179" s="73"/>
      <c r="K179" s="73"/>
      <c r="L179" s="73"/>
      <c r="M179" s="73"/>
      <c r="N179" s="73"/>
    </row>
    <row r="180" spans="1:14" ht="12.75">
      <c r="A180" s="129" t="s">
        <v>234</v>
      </c>
      <c r="B180" s="70">
        <f>LOOKUP(B$3,partdata!A3:A10,partdata!L3:L10)</f>
        <v>3.4</v>
      </c>
      <c r="D180" s="73"/>
      <c r="E180" s="66" t="s">
        <v>40</v>
      </c>
      <c r="F180" s="154"/>
      <c r="G180" s="73"/>
      <c r="H180" s="73"/>
      <c r="I180" s="73"/>
      <c r="J180" s="73"/>
      <c r="K180" s="73"/>
      <c r="L180" s="73"/>
      <c r="M180" s="73"/>
      <c r="N180" s="73"/>
    </row>
    <row r="181" spans="1:14" ht="12.75">
      <c r="A181" s="114" t="s">
        <v>235</v>
      </c>
      <c r="B181" s="213">
        <f>LOOKUP(B$3,partdata!A3:A10,partdata!M3:M10)</f>
        <v>1.2</v>
      </c>
      <c r="D181" s="73"/>
      <c r="E181" s="66" t="s">
        <v>21</v>
      </c>
      <c r="F181" s="214"/>
      <c r="G181" s="73"/>
      <c r="H181" s="126"/>
      <c r="I181" s="126"/>
      <c r="J181" s="73"/>
      <c r="K181" s="73"/>
      <c r="L181" s="126"/>
      <c r="M181" s="73"/>
      <c r="N181" s="73"/>
    </row>
    <row r="182" spans="1:14" ht="12.75">
      <c r="A182" s="114" t="s">
        <v>236</v>
      </c>
      <c r="B182" s="213">
        <f>LOOKUP(B$3,partdata!A3:A10,partdata!N3:N10)</f>
        <v>20.631213753167923</v>
      </c>
      <c r="D182" s="73"/>
      <c r="E182" s="139" t="s">
        <v>129</v>
      </c>
      <c r="F182" s="73"/>
      <c r="H182" s="126"/>
      <c r="I182" s="126"/>
      <c r="J182" s="73"/>
      <c r="K182" s="73"/>
      <c r="L182" s="126"/>
      <c r="M182" s="73"/>
      <c r="N182" s="73"/>
    </row>
    <row r="183" spans="1:14" ht="12.75">
      <c r="A183" s="114" t="s">
        <v>237</v>
      </c>
      <c r="B183" s="64">
        <f>LOOKUP(B$3,partdata!A3:A10,partdata!O3:O10)</f>
        <v>2500</v>
      </c>
      <c r="D183" s="73"/>
      <c r="E183" s="66" t="s">
        <v>53</v>
      </c>
      <c r="F183" s="73"/>
      <c r="H183" s="73"/>
      <c r="I183" s="136"/>
      <c r="J183" s="73"/>
      <c r="K183" s="73"/>
      <c r="L183" s="73"/>
      <c r="M183" s="73"/>
      <c r="N183" s="73"/>
    </row>
    <row r="184" spans="1:9" ht="12.75">
      <c r="A184" s="114" t="s">
        <v>238</v>
      </c>
      <c r="B184" s="64">
        <f>LOOKUP(B$3,partdata!A3:A10,partdata!P3:P10)</f>
        <v>100</v>
      </c>
      <c r="D184" s="73"/>
      <c r="E184" s="66" t="s">
        <v>53</v>
      </c>
      <c r="F184" s="73"/>
      <c r="H184" s="176"/>
      <c r="I184" s="216"/>
    </row>
    <row r="185" spans="1:8" ht="12.75">
      <c r="A185" s="129" t="s">
        <v>239</v>
      </c>
      <c r="B185" s="70">
        <f>LOOKUP(B$3,partdata!A3:A10,partdata!Q3:Q10)</f>
        <v>4.7</v>
      </c>
      <c r="D185" s="73"/>
      <c r="E185" s="66" t="s">
        <v>40</v>
      </c>
      <c r="F185" s="73"/>
      <c r="H185" s="176"/>
    </row>
    <row r="186" spans="1:8" ht="12.75">
      <c r="A186" s="114" t="s">
        <v>240</v>
      </c>
      <c r="B186" s="64">
        <f>LOOKUP(B$3,partdata!A3:A10,partdata!R3:R10)</f>
        <v>146</v>
      </c>
      <c r="D186" s="73"/>
      <c r="E186" s="66" t="s">
        <v>40</v>
      </c>
      <c r="F186" s="73"/>
      <c r="H186" s="176"/>
    </row>
    <row r="187" spans="1:8" ht="12.75">
      <c r="A187" s="114" t="s">
        <v>241</v>
      </c>
      <c r="B187" s="64">
        <f>LOOKUP(B$3,partdata!A3:A10,partdata!S3:S10)</f>
        <v>135</v>
      </c>
      <c r="D187" s="73"/>
      <c r="E187" s="66" t="s">
        <v>242</v>
      </c>
      <c r="F187" s="73"/>
      <c r="H187" s="176"/>
    </row>
    <row r="188" spans="1:8" ht="12.75">
      <c r="A188" s="129" t="s">
        <v>104</v>
      </c>
      <c r="B188" s="64">
        <f>LOOKUP(B$3,partdata!A3:A11,partdata!T3:T11)</f>
        <v>92</v>
      </c>
      <c r="D188" s="73"/>
      <c r="E188" s="139" t="s">
        <v>114</v>
      </c>
      <c r="F188" s="73"/>
      <c r="H188" s="176"/>
    </row>
    <row r="189" spans="1:8" ht="12.75">
      <c r="A189" s="129" t="s">
        <v>243</v>
      </c>
      <c r="B189" s="209" t="str">
        <f>LOOKUP(B$3,partdata!A3:A10,partdata!V3:V10)</f>
        <v>internal ss</v>
      </c>
      <c r="D189" s="73"/>
      <c r="E189" s="139" t="s">
        <v>244</v>
      </c>
      <c r="F189" s="73"/>
      <c r="G189" s="73"/>
      <c r="H189" s="176"/>
    </row>
    <row r="190" spans="1:8" ht="12.75">
      <c r="A190" s="129" t="s">
        <v>245</v>
      </c>
      <c r="B190" s="70">
        <f>LOOKUP(B$3,partdata!A3:A11,partdata!W3:W11)</f>
        <v>8.4</v>
      </c>
      <c r="D190" s="73"/>
      <c r="E190" s="139" t="s">
        <v>21</v>
      </c>
      <c r="F190" s="73"/>
      <c r="G190" s="136"/>
      <c r="H190" s="176"/>
    </row>
    <row r="191" spans="1:14" ht="12.75">
      <c r="A191" s="117"/>
      <c r="B191" s="118"/>
      <c r="D191" s="73"/>
      <c r="E191" s="120"/>
      <c r="F191" s="126"/>
      <c r="G191" s="73"/>
      <c r="H191" s="73"/>
      <c r="I191" s="73"/>
      <c r="J191" s="73"/>
      <c r="K191" s="73"/>
      <c r="L191" s="73"/>
      <c r="M191" s="126"/>
      <c r="N191" s="73"/>
    </row>
  </sheetData>
  <sheetProtection sheet="1"/>
  <mergeCells count="2">
    <mergeCell ref="A1:F1"/>
    <mergeCell ref="C22:F22"/>
  </mergeCells>
  <conditionalFormatting sqref="B7">
    <cfRule type="cellIs" priority="19" dxfId="0" operator="greaterThan" stopIfTrue="1">
      <formula>$B$174</formula>
    </cfRule>
  </conditionalFormatting>
  <conditionalFormatting sqref="B8">
    <cfRule type="cellIs" priority="18" dxfId="0" operator="lessThan" stopIfTrue="1">
      <formula>$B$173</formula>
    </cfRule>
  </conditionalFormatting>
  <conditionalFormatting sqref="B9">
    <cfRule type="expression" priority="27" dxfId="0" stopIfTrue="1">
      <formula>$B$9&gt;$B$85</formula>
    </cfRule>
  </conditionalFormatting>
  <conditionalFormatting sqref="B14">
    <cfRule type="expression" priority="4" dxfId="0" stopIfTrue="1">
      <formula>$B$94&gt;Ilim</formula>
    </cfRule>
  </conditionalFormatting>
  <conditionalFormatting sqref="B19">
    <cfRule type="cellIs" priority="1" dxfId="0" operator="greaterThan" stopIfTrue="1">
      <formula>MIN($B$71,$B$72)</formula>
    </cfRule>
  </conditionalFormatting>
  <conditionalFormatting sqref="B73">
    <cfRule type="cellIs" priority="7" dxfId="0" operator="greaterThan" stopIfTrue="1">
      <formula>MIN($B$71,$B$72)</formula>
    </cfRule>
  </conditionalFormatting>
  <conditionalFormatting sqref="B85">
    <cfRule type="cellIs" priority="13" dxfId="0" operator="lessThan" stopIfTrue="1">
      <formula>$B$9</formula>
    </cfRule>
  </conditionalFormatting>
  <conditionalFormatting sqref="B94:D94">
    <cfRule type="cellIs" priority="20" dxfId="0" operator="greaterThan" stopIfTrue="1">
      <formula>$B$185</formula>
    </cfRule>
  </conditionalFormatting>
  <conditionalFormatting sqref="B130">
    <cfRule type="cellIs" priority="21" dxfId="0" operator="greaterThan" stopIfTrue="1">
      <formula>$B$190</formula>
    </cfRule>
  </conditionalFormatting>
  <conditionalFormatting sqref="B167:D167">
    <cfRule type="cellIs" priority="2" dxfId="0" operator="greaterThan" stopIfTrue="1">
      <formula>$B$170</formula>
    </cfRule>
  </conditionalFormatting>
  <conditionalFormatting sqref="A79:F85">
    <cfRule type="expression" priority="12" dxfId="1" stopIfTrue="1">
      <formula>OR($B$3="TPS5401",$B$3="TPS54040/A",$B$3="TPS54060/A",$B$3="TPS54140/A",$B$3="TPS54160/A",$B$3="TPS54240",$B$3="TPS54260")</formula>
    </cfRule>
  </conditionalFormatting>
  <dataValidations count="1">
    <dataValidation type="list" allowBlank="1" showInputMessage="1" showErrorMessage="1" promptTitle="Select Device" prompt="Please select a device." sqref="B3">
      <formula1>$E$8:$E$15</formula1>
    </dataValidation>
  </dataValidations>
  <printOptions/>
  <pageMargins left="0.75" right="0.75" top="1" bottom="1" header="0.5" footer="0.5"/>
  <pageSetup horizontalDpi="600" verticalDpi="600" orientation="portrait"/>
  <legacyDrawing r:id="rId3"/>
  <oleObjects>
    <oleObject progId="Visio.Drawing.11" shapeId="158" r:id="rId2"/>
  </oleObjects>
</worksheet>
</file>

<file path=xl/worksheets/sheet3.xml><?xml version="1.0" encoding="utf-8"?>
<worksheet xmlns="http://schemas.openxmlformats.org/spreadsheetml/2006/main" xmlns:r="http://schemas.openxmlformats.org/officeDocument/2006/relationships">
  <dimension ref="A1:AA212"/>
  <sheetViews>
    <sheetView zoomScale="85" zoomScaleNormal="85" workbookViewId="0" topLeftCell="A4">
      <selection activeCell="B4" sqref="B4"/>
    </sheetView>
  </sheetViews>
  <sheetFormatPr defaultColWidth="9.140625" defaultRowHeight="12.75"/>
  <cols>
    <col min="1" max="1" width="12.28125" style="61" bestFit="1" customWidth="1"/>
    <col min="2" max="2" width="10.00390625" style="0" customWidth="1"/>
    <col min="3" max="3" width="13.421875" style="0" customWidth="1"/>
    <col min="4" max="4" width="14.00390625" style="0" customWidth="1"/>
    <col min="5" max="5" width="2.7109375" style="0" customWidth="1"/>
    <col min="6" max="6" width="4.7109375" style="0" customWidth="1"/>
    <col min="7" max="7" width="9.8515625" style="0" customWidth="1"/>
    <col min="8" max="12" width="16.7109375" style="0" customWidth="1"/>
    <col min="13" max="13" width="15.7109375" style="0" customWidth="1"/>
    <col min="16" max="16" width="18.28125" style="0" customWidth="1"/>
    <col min="19" max="19" width="13.57421875" style="0" customWidth="1"/>
  </cols>
  <sheetData>
    <row r="1" spans="2:27" s="77" customFormat="1" ht="25.5">
      <c r="B1" s="78" t="s">
        <v>246</v>
      </c>
      <c r="C1" s="78" t="s">
        <v>247</v>
      </c>
      <c r="D1" s="78"/>
      <c r="F1" s="79"/>
      <c r="G1" s="80" t="s">
        <v>248</v>
      </c>
      <c r="H1" s="248" t="s">
        <v>249</v>
      </c>
      <c r="I1" s="80" t="s">
        <v>250</v>
      </c>
      <c r="J1" s="80" t="s">
        <v>251</v>
      </c>
      <c r="K1" s="80" t="s">
        <v>252</v>
      </c>
      <c r="L1" s="80" t="s">
        <v>253</v>
      </c>
      <c r="M1" s="112" t="s">
        <v>254</v>
      </c>
      <c r="N1" s="80" t="s">
        <v>255</v>
      </c>
      <c r="O1" s="112" t="s">
        <v>256</v>
      </c>
      <c r="P1" s="112" t="s">
        <v>257</v>
      </c>
      <c r="Q1" s="80" t="s">
        <v>255</v>
      </c>
      <c r="R1" s="112" t="s">
        <v>256</v>
      </c>
      <c r="S1" s="112" t="s">
        <v>258</v>
      </c>
      <c r="T1" s="112" t="s">
        <v>259</v>
      </c>
      <c r="U1" s="112" t="s">
        <v>260</v>
      </c>
      <c r="V1" s="112" t="s">
        <v>261</v>
      </c>
      <c r="W1" s="80" t="s">
        <v>255</v>
      </c>
      <c r="X1" s="112" t="s">
        <v>262</v>
      </c>
      <c r="Y1" s="112" t="s">
        <v>263</v>
      </c>
      <c r="Z1" s="80" t="s">
        <v>255</v>
      </c>
      <c r="AA1" s="112" t="s">
        <v>262</v>
      </c>
    </row>
    <row r="2" spans="1:27" ht="12.75">
      <c r="A2" s="81" t="s">
        <v>264</v>
      </c>
      <c r="B2" s="82">
        <f aca="true" t="shared" si="0" ref="B2:B14">C2</f>
        <v>50</v>
      </c>
      <c r="C2" s="83">
        <f>'Design Equations CCM'!B6</f>
        <v>50</v>
      </c>
      <c r="F2" s="84">
        <v>0</v>
      </c>
      <c r="G2" s="85">
        <f>10^('Small Signal'!F2/30)</f>
        <v>1</v>
      </c>
      <c r="H2" s="85" t="str">
        <f aca="true" t="shared" si="1" ref="H2:H65">COMPLEX(0,G2*2*PI())</f>
        <v>6.28318530717959i</v>
      </c>
      <c r="I2" s="85">
        <f>IF('Small Signal'!$B$37&gt;=1,Q2+0,N2+0)</f>
        <v>27.10833656582375</v>
      </c>
      <c r="J2" s="85">
        <f>IF('Small Signal'!$B$37&gt;=1,R2,O2)</f>
        <v>-0.01204177235251562</v>
      </c>
      <c r="K2" s="85">
        <f>IF('Small Signal'!$B$37&gt;=1,Z2+0,W2+0)</f>
        <v>67.721284004907</v>
      </c>
      <c r="L2" s="85">
        <f>IF('Small Signal'!$B$37&gt;=1,AA2,X2)</f>
        <v>175.08153074062218</v>
      </c>
      <c r="M2" s="85" t="str">
        <f>IMDIV(IMSUM('Small Signal'!$B$2*'Small Signal'!$B$16*'Small Signal'!$B$38,IMPRODUCT(H2,'Small Signal'!$B$2*'Small Signal'!$B$16*'Small Signal'!$B$38*'Small Signal'!$B$13*'Small Signal'!$B$14)),IMSUM(IMPRODUCT('Small Signal'!$B$11*'Small Signal'!$B$13*('Small Signal'!$B$14+'Small Signal'!$B$16),IMPOWER(H2,2)),IMSUM(IMPRODUCT(H2,('Small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22.6681886716216-0.00476414098850418i</v>
      </c>
      <c r="N2" s="85">
        <f aca="true" t="shared" si="2" ref="N2:N65">20*LOG(IMABS(M2))</f>
        <v>27.10833656582375</v>
      </c>
      <c r="O2" s="85">
        <f aca="true" t="shared" si="3" ref="O2:O65">(180/PI())*IMARGUMENT(M2)</f>
        <v>-0.01204177235251562</v>
      </c>
      <c r="P2" s="85" t="str">
        <f>IMDIV(IMSUM('Small Signal'!$B$48,IMPRODUCT(H2,'Small Signal'!$B$49)),IMSUM(IMPRODUCT('Small Signal'!$B$52,IMPOWER(H2,2)),IMSUM(IMPRODUCT(H2,'Small Signal'!$B$51),'Small Signal'!$B$50)))</f>
        <v>41.1543862884449-0.00683190298318165i</v>
      </c>
      <c r="Q2" s="85">
        <f aca="true" t="shared" si="4" ref="Q2:Q65">20*LOG(IMABS(P2))</f>
        <v>32.288322713492114</v>
      </c>
      <c r="R2" s="85">
        <f aca="true" t="shared" si="5" ref="R2:R65">(180/PI())*IMARGUMENT(P2)</f>
        <v>-0.009511481975209589</v>
      </c>
      <c r="S2" s="85" t="str">
        <f>IMPRODUCT(IMDIV(IMSUM(IMPRODUCT(H2,'Small Signal'!$B$33*'Small Signal'!$B$6*'Small Signal'!$B$27*'Small Signal'!$B$7*'Small Signal'!$B$8),'Small Signal'!$B$33*'Small Signal'!$B$6*'Small Signal'!$B$27),IMSUM(IMSUM(IMPRODUCT(H2,('Small Signal'!$B$5+'Small Signal'!$B$6)*('Small Signal'!$B$32*'Small Signal'!$B$33)+'Small Signal'!$B$5*'Small Signal'!$B$33*('Small Signal'!$B$8+'Small Signal'!$B$9)+'Small Signal'!$B$6*'Small Signal'!$B$33*('Small Signal'!$B$8+'Small Signal'!$B$9)+'Small Signal'!$B$7*'Small Signal'!$B$8*('Small Signal'!$B$5+'Small Signal'!$B$6)),'Small Signal'!$B$6+'Small Signal'!$B$5),IMPRODUCT(IMPOWER(H2,2),'Small Signal'!$B$32*'Small Signal'!$B$33*'Small Signal'!$B$8*'Small Signal'!$B$7*('Small Signal'!$B$5+'Small Signal'!$B$6)+('Small Signal'!$B$5+'Small Signal'!$B$6)*('Small Signal'!$B$9*'Small Signal'!$B$8*'Small Signal'!$B$33*'Small Signal'!$B$7)))),-1)</f>
        <v>-106.918551707443+9.17823576814463i</v>
      </c>
      <c r="T2" s="85">
        <f aca="true" t="shared" si="6" ref="T2:T65">20*LOG(IMABS(S2))</f>
        <v>40.612947439083264</v>
      </c>
      <c r="U2" s="85">
        <f aca="true" t="shared" si="7" ref="U2:U65">(180/PI())*IMARGUMENT(S2)</f>
        <v>175.0935725129747</v>
      </c>
      <c r="V2" s="85" t="str">
        <f aca="true" t="shared" si="8" ref="V2:V65">IMPRODUCT(M2,S2)</f>
        <v>-2423.60617619162+208.563355119549i</v>
      </c>
      <c r="W2" s="80">
        <f aca="true" t="shared" si="9" ref="W2:W65">20*LOG(IMABS(V2))</f>
        <v>67.721284004907</v>
      </c>
      <c r="X2" s="85">
        <f aca="true" t="shared" si="10" ref="X2:X65">(180/PI())*IMARGUMENT(V2)</f>
        <v>175.08153074062218</v>
      </c>
      <c r="Y2" s="85" t="str">
        <f aca="true" t="shared" si="11" ref="Y2:Y65">IMPRODUCT(P2,S2)</f>
        <v>-4400.10467355285+378.455117421013i</v>
      </c>
      <c r="Z2" s="80">
        <f aca="true" t="shared" si="12" ref="Z2:Z65">20*LOG(IMABS(Y2))</f>
        <v>72.90127015257538</v>
      </c>
      <c r="AA2" s="85">
        <f aca="true" t="shared" si="13" ref="AA2:AA65">(180/PI())*IMARGUMENT(Y2)</f>
        <v>175.0840610309995</v>
      </c>
    </row>
    <row r="3" spans="1:27" ht="12.75">
      <c r="A3" s="81" t="s">
        <v>265</v>
      </c>
      <c r="B3" s="82">
        <f t="shared" si="0"/>
        <v>7.4</v>
      </c>
      <c r="C3" s="83">
        <f>'Design Equations CCM'!B9</f>
        <v>7.4</v>
      </c>
      <c r="D3" s="86"/>
      <c r="F3" s="84">
        <v>1</v>
      </c>
      <c r="G3" s="85">
        <f>10^('Small Signal'!F3/30)</f>
        <v>1.0797751623277096</v>
      </c>
      <c r="H3" s="85" t="str">
        <f t="shared" si="1"/>
        <v>6.78442743499492i</v>
      </c>
      <c r="I3" s="85">
        <f>IF('Small Signal'!$B$37&gt;=1,Q3+0,N3+0)</f>
        <v>27.108336536418985</v>
      </c>
      <c r="J3" s="85">
        <f>IF('Small Signal'!$B$37&gt;=1,R3,O3)</f>
        <v>-0.013002406668523855</v>
      </c>
      <c r="K3" s="85">
        <f>IF('Small Signal'!$B$37&gt;=1,Z3+0,W3+0)</f>
        <v>67.71598816580094</v>
      </c>
      <c r="L3" s="85">
        <f>IF('Small Signal'!$B$37&gt;=1,AA3,X3)</f>
        <v>174.6913200817999</v>
      </c>
      <c r="M3" s="85" t="str">
        <f>IMDIV(IMSUM('Small Signal'!$B$2*'Small Signal'!$B$16*'Small Signal'!$B$38,IMPRODUCT(H3,'Small Signal'!$B$2*'Small Signal'!$B$16*'Small Signal'!$B$38*'Small Signal'!$B$13*'Small Signal'!$B$14)),IMSUM(IMPRODUCT('Small Signal'!$B$11*'Small Signal'!$B$13*('Small Signal'!$B$14+'Small Signal'!$B$16),IMPOWER(H3,2)),IMSUM(IMPRODUCT(H3,('Small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22.6681885118191-0.00514420107438798i</v>
      </c>
      <c r="N3" s="85">
        <f t="shared" si="2"/>
        <v>27.108336536418985</v>
      </c>
      <c r="O3" s="85">
        <f t="shared" si="3"/>
        <v>-0.013002406668523855</v>
      </c>
      <c r="P3" s="85" t="str">
        <f>IMDIV(IMSUM('Small Signal'!$B$48,IMPRODUCT(H3,'Small Signal'!$B$49)),IMSUM(IMPRODUCT('Small Signal'!$B$52,IMPOWER(H3,2)),IMSUM(IMPRODUCT(H3,'Small Signal'!$B$51),'Small Signal'!$B$50)))</f>
        <v>41.1543861338313-0.00737691913099196i</v>
      </c>
      <c r="Q3" s="85">
        <f t="shared" si="4"/>
        <v>32.28832270071722</v>
      </c>
      <c r="R3" s="85">
        <f t="shared" si="5"/>
        <v>-0.010270261986507143</v>
      </c>
      <c r="S3" s="85" t="str">
        <f>IMPRODUCT(IMDIV(IMSUM(IMPRODUCT(H3,'Small Signal'!$B$33*'Small Signal'!$B$6*'Small Signal'!$B$27*'Small Signal'!$B$7*'Small Signal'!$B$8),'Small Signal'!$B$33*'Small Signal'!$B$6*'Small Signal'!$B$27),IMSUM(IMSUM(IMPRODUCT(H3,('Small Signal'!$B$5+'Small Signal'!$B$6)*('Small Signal'!$B$32*'Small Signal'!$B$33)+'Small Signal'!$B$5*'Small Signal'!$B$33*('Small Signal'!$B$8+'Small Signal'!$B$9)+'Small Signal'!$B$6*'Small Signal'!$B$33*('Small Signal'!$B$8+'Small Signal'!$B$9)+'Small Signal'!$B$7*'Small Signal'!$B$8*('Small Signal'!$B$5+'Small Signal'!$B$6)),'Small Signal'!$B$6+'Small Signal'!$B$5),IMPRODUCT(IMPOWER(H3,2),'Small Signal'!$B$32*'Small Signal'!$B$33*'Small Signal'!$B$8*'Small Signal'!$B$7*('Small Signal'!$B$5+'Small Signal'!$B$6)+('Small Signal'!$B$5+'Small Signal'!$B$6)*('Small Signal'!$B$9*'Small Signal'!$B$8*'Small Signal'!$B$33*'Small Signal'!$B$7)))),-1)</f>
        <v>-106.788601548437+9.89835346281872i</v>
      </c>
      <c r="T3" s="85">
        <f t="shared" si="6"/>
        <v>40.607651629381955</v>
      </c>
      <c r="U3" s="85">
        <f t="shared" si="7"/>
        <v>174.70432248846842</v>
      </c>
      <c r="V3" s="85" t="str">
        <f t="shared" si="8"/>
        <v>-2420.65323169299+224.92708429061i</v>
      </c>
      <c r="W3" s="80">
        <f t="shared" si="9"/>
        <v>67.71598816580094</v>
      </c>
      <c r="X3" s="85">
        <f t="shared" si="10"/>
        <v>174.6913200817999</v>
      </c>
      <c r="Y3" s="85" t="str">
        <f t="shared" si="11"/>
        <v>-4394.74632346321+408.148431375722i</v>
      </c>
      <c r="Z3" s="80">
        <f t="shared" si="12"/>
        <v>72.89597433009918</v>
      </c>
      <c r="AA3" s="85">
        <f t="shared" si="13"/>
        <v>174.69405222648192</v>
      </c>
    </row>
    <row r="4" spans="1:27" ht="12.75">
      <c r="A4" s="81" t="s">
        <v>266</v>
      </c>
      <c r="B4" s="82">
        <f t="shared" si="0"/>
        <v>3</v>
      </c>
      <c r="C4" s="87">
        <f>Iout</f>
        <v>3</v>
      </c>
      <c r="D4" s="73"/>
      <c r="F4" s="84">
        <v>2</v>
      </c>
      <c r="G4" s="85">
        <f>10^('Small Signal'!F4/30)</f>
        <v>1.1659144011798317</v>
      </c>
      <c r="H4" s="85" t="str">
        <f t="shared" si="1"/>
        <v>7.3256562349222i</v>
      </c>
      <c r="I4" s="85">
        <f>IF('Small Signal'!$B$37&gt;=1,Q4+0,N4+0)</f>
        <v>27.108336502135444</v>
      </c>
      <c r="J4" s="85">
        <f>IF('Small Signal'!$B$37&gt;=1,R4,O4)</f>
        <v>-0.014039675735746241</v>
      </c>
      <c r="K4" s="85">
        <f>IF('Small Signal'!$B$37&gt;=1,Z4+0,W4+0)</f>
        <v>67.70982181358275</v>
      </c>
      <c r="L4" s="85">
        <f>IF('Small Signal'!$B$37&gt;=1,AA4,X4)</f>
        <v>174.27053554157914</v>
      </c>
      <c r="M4" s="85" t="str">
        <f>IMDIV(IMSUM('Small Signal'!$B$2*'Small Signal'!$B$16*'Small Signal'!$B$38,IMPRODUCT(H4,'Small Signal'!$B$2*'Small Signal'!$B$16*'Small Signal'!$B$38*'Small Signal'!$B$13*'Small Signal'!$B$14)),IMSUM(IMPRODUCT('Small Signal'!$B$11*'Small Signal'!$B$13*('Small Signal'!$B$14+'Small Signal'!$B$16),IMPOWER(H4,2)),IMSUM(IMPRODUCT(H4,('Small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22.6681883255028-0.00555458050629992i</v>
      </c>
      <c r="N4" s="85">
        <f t="shared" si="2"/>
        <v>27.108336502135444</v>
      </c>
      <c r="O4" s="85">
        <f t="shared" si="3"/>
        <v>-0.014039675735746241</v>
      </c>
      <c r="P4" s="85" t="str">
        <f>IMDIV(IMSUM('Small Signal'!$B$48,IMPRODUCT(H4,'Small Signal'!$B$49)),IMSUM(IMPRODUCT('Small Signal'!$B$52,IMPOWER(H4,2)),IMSUM(IMPRODUCT(H4,'Small Signal'!$B$51),'Small Signal'!$B$50)))</f>
        <v>41.1543859535651-0.00796541402485147i</v>
      </c>
      <c r="Q4" s="85">
        <f t="shared" si="4"/>
        <v>32.28832268582279</v>
      </c>
      <c r="R4" s="85">
        <f t="shared" si="5"/>
        <v>-0.011089573794499218</v>
      </c>
      <c r="S4" s="85" t="str">
        <f>IMPRODUCT(IMDIV(IMSUM(IMPRODUCT(H4,'Small Signal'!$B$33*'Small Signal'!$B$6*'Small Signal'!$B$27*'Small Signal'!$B$7*'Small Signal'!$B$8),'Small Signal'!$B$33*'Small Signal'!$B$6*'Small Signal'!$B$27),IMSUM(IMSUM(IMPRODUCT(H4,('Small Signal'!$B$5+'Small Signal'!$B$6)*('Small Signal'!$B$32*'Small Signal'!$B$33)+'Small Signal'!$B$5*'Small Signal'!$B$33*('Small Signal'!$B$8+'Small Signal'!$B$9)+'Small Signal'!$B$6*'Small Signal'!$B$33*('Small Signal'!$B$8+'Small Signal'!$B$9)+'Small Signal'!$B$7*'Small Signal'!$B$8*('Small Signal'!$B$5+'Small Signal'!$B$6)),'Small Signal'!$B$6+'Small Signal'!$B$5),IMPRODUCT(IMPOWER(H4,2),'Small Signal'!$B$32*'Small Signal'!$B$33*'Small Signal'!$B$8*'Small Signal'!$B$7*('Small Signal'!$B$5+'Small Signal'!$B$6)+('Small Signal'!$B$5+'Small Signal'!$B$6)*('Small Signal'!$B$9*'Small Signal'!$B$8*'Small Signal'!$B$33*'Small Signal'!$B$7)))),-1)</f>
        <v>-106.637490137471+10.6728315544681i</v>
      </c>
      <c r="T4" s="85">
        <f t="shared" si="6"/>
        <v>40.601485311447306</v>
      </c>
      <c r="U4" s="85">
        <f t="shared" si="7"/>
        <v>174.28457521731488</v>
      </c>
      <c r="V4" s="85" t="str">
        <f t="shared" si="8"/>
        <v>-2417.21942589304+242.52608216701i</v>
      </c>
      <c r="W4" s="80">
        <f t="shared" si="9"/>
        <v>67.70982181358275</v>
      </c>
      <c r="X4" s="85">
        <f t="shared" si="10"/>
        <v>174.27053554157914</v>
      </c>
      <c r="Y4" s="85" t="str">
        <f t="shared" si="11"/>
        <v>-4388.51541271482+440.083240769484i</v>
      </c>
      <c r="Z4" s="80">
        <f t="shared" si="12"/>
        <v>72.88980799727008</v>
      </c>
      <c r="AA4" s="85">
        <f t="shared" si="13"/>
        <v>174.27348564352036</v>
      </c>
    </row>
    <row r="5" spans="1:27" ht="12.75">
      <c r="A5" s="81" t="s">
        <v>267</v>
      </c>
      <c r="B5" s="82">
        <f t="shared" si="0"/>
        <v>84500</v>
      </c>
      <c r="C5" s="87">
        <f>Rhs</f>
        <v>84500</v>
      </c>
      <c r="D5" s="73"/>
      <c r="F5" s="84">
        <v>3</v>
      </c>
      <c r="G5" s="85">
        <f>10^('Small Signal'!F5/30)</f>
        <v>1.2589254117941673</v>
      </c>
      <c r="H5" s="85" t="str">
        <f t="shared" si="1"/>
        <v>7.91006165022012i</v>
      </c>
      <c r="I5" s="85">
        <f>IF('Small Signal'!$B$37&gt;=1,Q5+0,N5+0)</f>
        <v>27.10833646216383</v>
      </c>
      <c r="J5" s="85">
        <f>IF('Small Signal'!$B$37&gt;=1,R5,O5)</f>
        <v>-0.015159693102015457</v>
      </c>
      <c r="K5" s="85">
        <f>IF('Small Signal'!$B$37&gt;=1,Z5+0,W5+0)</f>
        <v>67.70264341215128</v>
      </c>
      <c r="L5" s="85">
        <f>IF('Small Signal'!$B$37&gt;=1,AA5,X5)</f>
        <v>173.81687985320215</v>
      </c>
      <c r="M5" s="85" t="str">
        <f>IMDIV(IMSUM('Small Signal'!$B$2*'Small Signal'!$B$16*'Small Signal'!$B$38,IMPRODUCT(H5,'Small Signal'!$B$2*'Small Signal'!$B$16*'Small Signal'!$B$38*'Small Signal'!$B$13*'Small Signal'!$B$14)),IMSUM(IMPRODUCT('Small Signal'!$B$11*'Small Signal'!$B$13*('Small Signal'!$B$14+'Small Signal'!$B$16),IMPOWER(H5,2)),IMSUM(IMPRODUCT(H5,('Small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22.6681881082741-0.00599769801265645i</v>
      </c>
      <c r="N5" s="85">
        <f t="shared" si="2"/>
        <v>27.10833646216383</v>
      </c>
      <c r="O5" s="85">
        <f t="shared" si="3"/>
        <v>-0.015159693102015457</v>
      </c>
      <c r="P5" s="85" t="str">
        <f>IMDIV(IMSUM('Small Signal'!$B$48,IMPRODUCT(H5,'Small Signal'!$B$49)),IMSUM(IMPRODUCT('Small Signal'!$B$52,IMPOWER(H5,2)),IMSUM(IMPRODUCT(H5,'Small Signal'!$B$51),'Small Signal'!$B$50)))</f>
        <v>41.1543857433901-0.00860085618733062i</v>
      </c>
      <c r="Q5" s="85">
        <f t="shared" si="4"/>
        <v>32.288322668457155</v>
      </c>
      <c r="R5" s="85">
        <f t="shared" si="5"/>
        <v>-0.01197424633260701</v>
      </c>
      <c r="S5" s="85" t="str">
        <f>IMPRODUCT(IMDIV(IMSUM(IMPRODUCT(H5,'Small Signal'!$B$33*'Small Signal'!$B$6*'Small Signal'!$B$27*'Small Signal'!$B$7*'Small Signal'!$B$8),'Small Signal'!$B$33*'Small Signal'!$B$6*'Small Signal'!$B$27),IMSUM(IMSUM(IMPRODUCT(H5,('Small Signal'!$B$5+'Small Signal'!$B$6)*('Small Signal'!$B$32*'Small Signal'!$B$33)+'Small Signal'!$B$5*'Small Signal'!$B$33*('Small Signal'!$B$8+'Small Signal'!$B$9)+'Small Signal'!$B$6*'Small Signal'!$B$33*('Small Signal'!$B$8+'Small Signal'!$B$9)+'Small Signal'!$B$7*'Small Signal'!$B$8*('Small Signal'!$B$5+'Small Signal'!$B$6)),'Small Signal'!$B$6+'Small Signal'!$B$5),IMPRODUCT(IMPOWER(H5,2),'Small Signal'!$B$32*'Small Signal'!$B$33*'Small Signal'!$B$8*'Small Signal'!$B$7*('Small Signal'!$B$5+'Small Signal'!$B$6)+('Small Signal'!$B$5+'Small Signal'!$B$6)*('Small Signal'!$B$9*'Small Signal'!$B$8*'Small Signal'!$B$33*'Small Signal'!$B$7)))),-1)</f>
        <v>-106.461847702331+11.5052258174425i</v>
      </c>
      <c r="T5" s="85">
        <f t="shared" si="6"/>
        <v>40.59430694998744</v>
      </c>
      <c r="U5" s="85">
        <f t="shared" si="7"/>
        <v>173.83203954630412</v>
      </c>
      <c r="V5" s="85" t="str">
        <f t="shared" si="8"/>
        <v>-2413.22818520085+261.441149070346i</v>
      </c>
      <c r="W5" s="80">
        <f t="shared" si="9"/>
        <v>67.70264341215128</v>
      </c>
      <c r="X5" s="85">
        <f t="shared" si="10"/>
        <v>173.81687985320215</v>
      </c>
      <c r="Y5" s="85" t="str">
        <f t="shared" si="11"/>
        <v>-4381.27299250312+474.406164397365i</v>
      </c>
      <c r="Z5" s="80">
        <f t="shared" si="12"/>
        <v>72.88262961844458</v>
      </c>
      <c r="AA5" s="85">
        <f t="shared" si="13"/>
        <v>173.82006529997153</v>
      </c>
    </row>
    <row r="6" spans="1:27" ht="12.75">
      <c r="A6" s="81" t="s">
        <v>268</v>
      </c>
      <c r="B6" s="82">
        <f t="shared" si="0"/>
        <v>10200</v>
      </c>
      <c r="C6" s="83">
        <f>Rls</f>
        <v>10200</v>
      </c>
      <c r="D6" s="73"/>
      <c r="F6" s="84">
        <v>4</v>
      </c>
      <c r="G6" s="85">
        <f>10^('Small Signal'!F6/30)</f>
        <v>1.3593563908785258</v>
      </c>
      <c r="H6" s="85" t="str">
        <f t="shared" si="1"/>
        <v>8.54108810238862i</v>
      </c>
      <c r="I6" s="85">
        <f>IF('Small Signal'!$B$37&gt;=1,Q6+0,N6+0)</f>
        <v>27.108336415560373</v>
      </c>
      <c r="J6" s="85">
        <f>IF('Small Signal'!$B$37&gt;=1,R6,O6)</f>
        <v>-0.01636906002394625</v>
      </c>
      <c r="K6" s="85">
        <f>IF('Small Signal'!$B$37&gt;=1,Z6+0,W6+0)</f>
        <v>67.69428896443944</v>
      </c>
      <c r="L6" s="85">
        <f>IF('Small Signal'!$B$37&gt;=1,AA6,X6)</f>
        <v>173.3279082729779</v>
      </c>
      <c r="M6" s="85" t="str">
        <f>IMDIV(IMSUM('Small Signal'!$B$2*'Small Signal'!$B$16*'Small Signal'!$B$38,IMPRODUCT(H6,'Small Signal'!$B$2*'Small Signal'!$B$16*'Small Signal'!$B$38*'Small Signal'!$B$13*'Small Signal'!$B$14)),IMSUM(IMPRODUCT('Small Signal'!$B$11*'Small Signal'!$B$13*('Small Signal'!$B$14+'Small Signal'!$B$16),IMPOWER(H6,2)),IMSUM(IMPRODUCT(H6,('Small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22.6681878550041-0.00647616527572125i</v>
      </c>
      <c r="N6" s="85">
        <f t="shared" si="2"/>
        <v>27.108336415560373</v>
      </c>
      <c r="O6" s="85">
        <f t="shared" si="3"/>
        <v>-0.01636906002394625</v>
      </c>
      <c r="P6" s="85" t="str">
        <f>IMDIV(IMSUM('Small Signal'!$B$48,IMPRODUCT(H6,'Small Signal'!$B$49)),IMSUM(IMPRODUCT('Small Signal'!$B$52,IMPOWER(H6,2)),IMSUM(IMPRODUCT(H6,'Small Signal'!$B$51),'Small Signal'!$B$50)))</f>
        <v>41.1543854983441-0.00928699084257453i</v>
      </c>
      <c r="Q6" s="85">
        <f t="shared" si="4"/>
        <v>32.28832264821032</v>
      </c>
      <c r="R6" s="85">
        <f t="shared" si="5"/>
        <v>-0.01292949376307324</v>
      </c>
      <c r="S6" s="85" t="str">
        <f>IMPRODUCT(IMDIV(IMSUM(IMPRODUCT(H6,'Small Signal'!$B$33*'Small Signal'!$B$6*'Small Signal'!$B$27*'Small Signal'!$B$7*'Small Signal'!$B$8),'Small Signal'!$B$33*'Small Signal'!$B$6*'Small Signal'!$B$27),IMSUM(IMSUM(IMPRODUCT(H6,('Small Signal'!$B$5+'Small Signal'!$B$6)*('Small Signal'!$B$32*'Small Signal'!$B$33)+'Small Signal'!$B$5*'Small Signal'!$B$33*('Small Signal'!$B$8+'Small Signal'!$B$9)+'Small Signal'!$B$6*'Small Signal'!$B$33*('Small Signal'!$B$8+'Small Signal'!$B$9)+'Small Signal'!$B$7*'Small Signal'!$B$8*('Small Signal'!$B$5+'Small Signal'!$B$6)),'Small Signal'!$B$6+'Small Signal'!$B$5),IMPRODUCT(IMPOWER(H6,2),'Small Signal'!$B$32*'Small Signal'!$B$33*'Small Signal'!$B$8*'Small Signal'!$B$7*('Small Signal'!$B$5+'Small Signal'!$B$6)+('Small Signal'!$B$5+'Small Signal'!$B$6)*('Small Signal'!$B$9*'Small Signal'!$B$8*'Small Signal'!$B$33*'Small Signal'!$B$7)))),-1)</f>
        <v>-106.257794775444+12.3991819862994i</v>
      </c>
      <c r="T6" s="85">
        <f t="shared" si="6"/>
        <v>40.585952548879064</v>
      </c>
      <c r="U6" s="85">
        <f t="shared" si="7"/>
        <v>173.34427733300186</v>
      </c>
      <c r="V6" s="85" t="str">
        <f t="shared" si="8"/>
        <v>-2408.59135387641+281.755129554617i</v>
      </c>
      <c r="W6" s="80">
        <f t="shared" si="9"/>
        <v>67.69428896443944</v>
      </c>
      <c r="X6" s="85">
        <f t="shared" si="10"/>
        <v>173.3279082729779</v>
      </c>
      <c r="Y6" s="85" t="str">
        <f t="shared" si="11"/>
        <v>-4372.85909730299+511.267530495321i</v>
      </c>
      <c r="Z6" s="80">
        <f t="shared" si="12"/>
        <v>72.87427519708939</v>
      </c>
      <c r="AA6" s="85">
        <f t="shared" si="13"/>
        <v>173.3313478392388</v>
      </c>
    </row>
    <row r="7" spans="1:27" ht="12.75">
      <c r="A7" s="81" t="s">
        <v>269</v>
      </c>
      <c r="B7" s="88">
        <f t="shared" si="0"/>
        <v>7870</v>
      </c>
      <c r="C7" s="89">
        <f>Rcomp</f>
        <v>7870</v>
      </c>
      <c r="D7" s="90"/>
      <c r="F7" s="84">
        <v>5</v>
      </c>
      <c r="G7" s="85">
        <f>10^('Small Signal'!F7/30)</f>
        <v>1.4677992676220697</v>
      </c>
      <c r="H7" s="85" t="str">
        <f t="shared" si="1"/>
        <v>9.22245479221194i</v>
      </c>
      <c r="I7" s="85">
        <f>IF('Small Signal'!$B$37&gt;=1,Q7+0,N7+0)</f>
        <v>27.108336361224747</v>
      </c>
      <c r="J7" s="85">
        <f>IF('Small Signal'!$B$37&gt;=1,R7,O7)</f>
        <v>-0.017674904373856624</v>
      </c>
      <c r="K7" s="85">
        <f>IF('Small Signal'!$B$37&gt;=1,Z7+0,W7+0)</f>
        <v>67.68456864255893</v>
      </c>
      <c r="L7" s="85">
        <f>IF('Small Signal'!$B$37&gt;=1,AA7,X7)</f>
        <v>172.8010256608983</v>
      </c>
      <c r="M7" s="85" t="str">
        <f>IMDIV(IMSUM('Small Signal'!$B$2*'Small Signal'!$B$16*'Small Signal'!$B$38,IMPRODUCT(H7,'Small Signal'!$B$2*'Small Signal'!$B$16*'Small Signal'!$B$38*'Small Signal'!$B$13*'Small Signal'!$B$14)),IMSUM(IMPRODUCT('Small Signal'!$B$11*'Small Signal'!$B$13*('Small Signal'!$B$14+'Small Signal'!$B$16),IMPOWER(H7,2)),IMSUM(IMPRODUCT(H7,('Small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22.668187559713-0.00699280232437344i</v>
      </c>
      <c r="N7" s="85">
        <f t="shared" si="2"/>
        <v>27.108336361224747</v>
      </c>
      <c r="O7" s="85">
        <f t="shared" si="3"/>
        <v>-0.017674904373856624</v>
      </c>
      <c r="P7" s="85" t="str">
        <f>IMDIV(IMSUM('Small Signal'!$B$48,IMPRODUCT(H7,'Small Signal'!$B$49)),IMSUM(IMPRODUCT('Small Signal'!$B$52,IMPOWER(H7,2)),IMSUM(IMPRODUCT(H7,'Small Signal'!$B$51),'Small Signal'!$B$50)))</f>
        <v>41.1543852126414-0.0100278619901187i</v>
      </c>
      <c r="Q7" s="85">
        <f t="shared" si="4"/>
        <v>32.28832262460423</v>
      </c>
      <c r="R7" s="85">
        <f t="shared" si="5"/>
        <v>-0.013960946208621568</v>
      </c>
      <c r="S7" s="85" t="str">
        <f>IMPRODUCT(IMDIV(IMSUM(IMPRODUCT(H7,'Small Signal'!$B$33*'Small Signal'!$B$6*'Small Signal'!$B$27*'Small Signal'!$B$7*'Small Signal'!$B$8),'Small Signal'!$B$33*'Small Signal'!$B$6*'Small Signal'!$B$27),IMSUM(IMSUM(IMPRODUCT(H7,('Small Signal'!$B$5+'Small Signal'!$B$6)*('Small Signal'!$B$32*'Small Signal'!$B$33)+'Small Signal'!$B$5*'Small Signal'!$B$33*('Small Signal'!$B$8+'Small Signal'!$B$9)+'Small Signal'!$B$6*'Small Signal'!$B$33*('Small Signal'!$B$8+'Small Signal'!$B$9)+'Small Signal'!$B$7*'Small Signal'!$B$8*('Small Signal'!$B$5+'Small Signal'!$B$6)),'Small Signal'!$B$6+'Small Signal'!$B$5),IMPRODUCT(IMPOWER(H7,2),'Small Signal'!$B$32*'Small Signal'!$B$33*'Small Signal'!$B$8*'Small Signal'!$B$7*('Small Signal'!$B$5+'Small Signal'!$B$6)+('Small Signal'!$B$5+'Small Signal'!$B$6)*('Small Signal'!$B$9*'Small Signal'!$B$8*'Small Signal'!$B$33*'Small Signal'!$B$7)))),-1)</f>
        <v>-106.02087461667+13.3583966199602i</v>
      </c>
      <c r="T7" s="85">
        <f t="shared" si="6"/>
        <v>40.576232281334164</v>
      </c>
      <c r="U7" s="85">
        <f t="shared" si="7"/>
        <v>172.81870056527217</v>
      </c>
      <c r="V7" s="85" t="str">
        <f t="shared" si="8"/>
        <v>-2403.20765842856+303.552023096746i</v>
      </c>
      <c r="W7" s="80">
        <f t="shared" si="9"/>
        <v>67.68456864255893</v>
      </c>
      <c r="X7" s="85">
        <f t="shared" si="10"/>
        <v>172.8010256608983</v>
      </c>
      <c r="Y7" s="85" t="str">
        <f t="shared" si="11"/>
        <v>-4363.08995839788+550.819763019817i</v>
      </c>
      <c r="Z7" s="80">
        <f t="shared" si="12"/>
        <v>72.8645549059384</v>
      </c>
      <c r="AA7" s="85">
        <f t="shared" si="13"/>
        <v>172.80473961906355</v>
      </c>
    </row>
    <row r="8" spans="1:27" ht="12.75">
      <c r="A8" s="81" t="s">
        <v>270</v>
      </c>
      <c r="B8" s="91">
        <f t="shared" si="0"/>
        <v>4.700000000000001E-09</v>
      </c>
      <c r="C8" s="92">
        <f>Ccomp</f>
        <v>4.700000000000001E-09</v>
      </c>
      <c r="D8" s="93"/>
      <c r="F8" s="84">
        <v>6</v>
      </c>
      <c r="G8" s="85">
        <f>10^('Small Signal'!F8/30)</f>
        <v>1.5848931924611136</v>
      </c>
      <c r="H8" s="85" t="str">
        <f t="shared" si="1"/>
        <v>9.95817762032062i</v>
      </c>
      <c r="I8" s="85">
        <f>IF('Small Signal'!$B$37&gt;=1,Q8+0,N8+0)</f>
        <v>27.108336297873997</v>
      </c>
      <c r="J8" s="85">
        <f>IF('Small Signal'!$B$37&gt;=1,R8,O8)</f>
        <v>-0.0190849226504622</v>
      </c>
      <c r="K8" s="85">
        <f>IF('Small Signal'!$B$37&gt;=1,Z8+0,W8+0)</f>
        <v>67.67326298105966</v>
      </c>
      <c r="L8" s="85">
        <f>IF('Small Signal'!$B$37&gt;=1,AA8,X8)</f>
        <v>172.2334854284934</v>
      </c>
      <c r="M8" s="85" t="str">
        <f>IMDIV(IMSUM('Small Signal'!$B$2*'Small Signal'!$B$16*'Small Signal'!$B$38,IMPRODUCT(H8,'Small Signal'!$B$2*'Small Signal'!$B$16*'Small Signal'!$B$38*'Small Signal'!$B$13*'Small Signal'!$B$14)),IMSUM(IMPRODUCT('Small Signal'!$B$11*'Small Signal'!$B$13*('Small Signal'!$B$14+'Small Signal'!$B$16),IMPOWER(H8,2)),IMSUM(IMPRODUCT(H8,('Small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22.6681872154287-0.00755065415479562i</v>
      </c>
      <c r="N8" s="85">
        <f t="shared" si="2"/>
        <v>27.108336297873997</v>
      </c>
      <c r="O8" s="85">
        <f t="shared" si="3"/>
        <v>-0.0190849226504622</v>
      </c>
      <c r="P8" s="85" t="str">
        <f>IMDIV(IMSUM('Small Signal'!$B$48,IMPRODUCT(H8,'Small Signal'!$B$49)),IMSUM(IMPRODUCT('Small Signal'!$B$52,IMPOWER(H8,2)),IMSUM(IMPRODUCT(H8,'Small Signal'!$B$51),'Small Signal'!$B$50)))</f>
        <v>41.1543848795364-0.0108278362396215i</v>
      </c>
      <c r="Q8" s="85">
        <f t="shared" si="4"/>
        <v>32.28832259708153</v>
      </c>
      <c r="R8" s="85">
        <f t="shared" si="5"/>
        <v>-0.015074682935730267</v>
      </c>
      <c r="S8" s="85" t="str">
        <f>IMPRODUCT(IMDIV(IMSUM(IMPRODUCT(H8,'Small Signal'!$B$33*'Small Signal'!$B$6*'Small Signal'!$B$27*'Small Signal'!$B$7*'Small Signal'!$B$8),'Small Signal'!$B$33*'Small Signal'!$B$6*'Small Signal'!$B$27),IMSUM(IMSUM(IMPRODUCT(H8,('Small Signal'!$B$5+'Small Signal'!$B$6)*('Small Signal'!$B$32*'Small Signal'!$B$33)+'Small Signal'!$B$5*'Small Signal'!$B$33*('Small Signal'!$B$8+'Small Signal'!$B$9)+'Small Signal'!$B$6*'Small Signal'!$B$33*('Small Signal'!$B$8+'Small Signal'!$B$9)+'Small Signal'!$B$7*'Small Signal'!$B$8*('Small Signal'!$B$5+'Small Signal'!$B$6)),'Small Signal'!$B$6+'Small Signal'!$B$5),IMPRODUCT(IMPOWER(H8,2),'Small Signal'!$B$32*'Small Signal'!$B$33*'Small Signal'!$B$8*'Small Signal'!$B$7*('Small Signal'!$B$5+'Small Signal'!$B$6)+('Small Signal'!$B$5+'Small Signal'!$B$6)*('Small Signal'!$B$9*'Small Signal'!$B$8*'Small Signal'!$B$33*'Small Signal'!$B$7)))),-1)</f>
        <v>-105.74598009842+14.3865645646918i</v>
      </c>
      <c r="T8" s="85">
        <f t="shared" si="6"/>
        <v>40.564926683185654</v>
      </c>
      <c r="U8" s="85">
        <f t="shared" si="7"/>
        <v>172.25257035114385</v>
      </c>
      <c r="V8" s="85" t="str">
        <f t="shared" si="8"/>
        <v>-2396.96104617648+326.915790263269i</v>
      </c>
      <c r="W8" s="80">
        <f t="shared" si="9"/>
        <v>67.67326298105966</v>
      </c>
      <c r="X8" s="85">
        <f t="shared" si="10"/>
        <v>172.2334854284934</v>
      </c>
      <c r="Y8" s="85" t="str">
        <f t="shared" si="11"/>
        <v>-4351.75498906902+593.21521534513i</v>
      </c>
      <c r="Z8" s="80">
        <f t="shared" si="12"/>
        <v>72.85324928026719</v>
      </c>
      <c r="AA8" s="85">
        <f t="shared" si="13"/>
        <v>172.23749566820814</v>
      </c>
    </row>
    <row r="9" spans="1:27" ht="12.75">
      <c r="A9" s="81" t="s">
        <v>271</v>
      </c>
      <c r="B9" s="91">
        <f t="shared" si="0"/>
        <v>6.8E-11</v>
      </c>
      <c r="C9" s="92">
        <f>Cpole</f>
        <v>6.8E-11</v>
      </c>
      <c r="D9" s="93"/>
      <c r="F9" s="84">
        <v>7</v>
      </c>
      <c r="G9" s="85">
        <f>10^('Small Signal'!F9/30)</f>
        <v>1.7113283041617808</v>
      </c>
      <c r="H9" s="85" t="str">
        <f t="shared" si="1"/>
        <v>10.7525928564699i</v>
      </c>
      <c r="I9" s="85">
        <f>IF('Small Signal'!$B$37&gt;=1,Q9+0,N9+0)</f>
        <v>27.10833622401249</v>
      </c>
      <c r="J9" s="85">
        <f>IF('Small Signal'!$B$37&gt;=1,R9,O9)</f>
        <v>-0.020607425340938918</v>
      </c>
      <c r="K9" s="85">
        <f>IF('Small Signal'!$B$37&gt;=1,Z9+0,W9+0)</f>
        <v>67.66011860138357</v>
      </c>
      <c r="L9" s="85">
        <f>IF('Small Signal'!$B$37&gt;=1,AA9,X9)</f>
        <v>171.6223909622397</v>
      </c>
      <c r="M9" s="85" t="str">
        <f>IMDIV(IMSUM('Small Signal'!$B$2*'Small Signal'!$B$16*'Small Signal'!$B$38,IMPRODUCT(H9,'Small Signal'!$B$2*'Small Signal'!$B$16*'Small Signal'!$B$38*'Small Signal'!$B$13*'Small Signal'!$B$14)),IMSUM(IMPRODUCT('Small Signal'!$B$11*'Small Signal'!$B$13*('Small Signal'!$B$14+'Small Signal'!$B$16),IMPOWER(H9,2)),IMSUM(IMPRODUCT(H9,('Small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22.6681868140228-0.00815300867702912i</v>
      </c>
      <c r="N9" s="85">
        <f t="shared" si="2"/>
        <v>27.10833622401249</v>
      </c>
      <c r="O9" s="85">
        <f t="shared" si="3"/>
        <v>-0.020607425340938918</v>
      </c>
      <c r="P9" s="85" t="str">
        <f>IMDIV(IMSUM('Small Signal'!$B$48,IMPRODUCT(H9,'Small Signal'!$B$49)),IMSUM(IMPRODUCT('Small Signal'!$B$52,IMPOWER(H9,2)),IMSUM(IMPRODUCT(H9,'Small Signal'!$B$51),'Small Signal'!$B$50)))</f>
        <v>41.1543844911647-0.0116916285469849i</v>
      </c>
      <c r="Q9" s="85">
        <f t="shared" si="4"/>
        <v>32.28832256499246</v>
      </c>
      <c r="R9" s="85">
        <f t="shared" si="5"/>
        <v>-0.016277268185096696</v>
      </c>
      <c r="S9" s="85" t="str">
        <f>IMPRODUCT(IMDIV(IMSUM(IMPRODUCT(H9,'Small Signal'!$B$33*'Small Signal'!$B$6*'Small Signal'!$B$27*'Small Signal'!$B$7*'Small Signal'!$B$8),'Small Signal'!$B$33*'Small Signal'!$B$6*'Small Signal'!$B$27),IMSUM(IMSUM(IMPRODUCT(H9,('Small Signal'!$B$5+'Small Signal'!$B$6)*('Small Signal'!$B$32*'Small Signal'!$B$33)+'Small Signal'!$B$5*'Small Signal'!$B$33*('Small Signal'!$B$8+'Small Signal'!$B$9)+'Small Signal'!$B$6*'Small Signal'!$B$33*('Small Signal'!$B$8+'Small Signal'!$B$9)+'Small Signal'!$B$7*'Small Signal'!$B$8*('Small Signal'!$B$5+'Small Signal'!$B$6)),'Small Signal'!$B$6+'Small Signal'!$B$5),IMPRODUCT(IMPOWER(H9,2),'Small Signal'!$B$32*'Small Signal'!$B$33*'Small Signal'!$B$8*'Small Signal'!$B$7*('Small Signal'!$B$5+'Small Signal'!$B$6)+('Small Signal'!$B$5+'Small Signal'!$B$6)*('Small Signal'!$B$9*'Small Signal'!$B$8*'Small Signal'!$B$33*'Small Signal'!$B$7)))),-1)</f>
        <v>-105.427275934487+15.4873100284024i</v>
      </c>
      <c r="T9" s="85">
        <f t="shared" si="6"/>
        <v>40.55178237737106</v>
      </c>
      <c r="U9" s="85">
        <f t="shared" si="7"/>
        <v>171.64299838758066</v>
      </c>
      <c r="V9" s="85" t="str">
        <f t="shared" si="8"/>
        <v>-2389.71891800344+351.928786466004i</v>
      </c>
      <c r="W9" s="80">
        <f t="shared" si="9"/>
        <v>67.66011860138357</v>
      </c>
      <c r="X9" s="85">
        <f t="shared" si="10"/>
        <v>171.6223909622397</v>
      </c>
      <c r="Y9" s="85" t="str">
        <f t="shared" si="11"/>
        <v>-4338.61357778795+638.60332819169i</v>
      </c>
      <c r="Z9" s="80">
        <f t="shared" si="12"/>
        <v>72.84010494236352</v>
      </c>
      <c r="AA9" s="85">
        <f t="shared" si="13"/>
        <v>171.62672111939554</v>
      </c>
    </row>
    <row r="10" spans="1:27" ht="12.75">
      <c r="A10" s="81" t="s">
        <v>52</v>
      </c>
      <c r="B10" s="82">
        <f t="shared" si="0"/>
        <v>600000</v>
      </c>
      <c r="C10" s="83">
        <f>fsw</f>
        <v>600000</v>
      </c>
      <c r="D10" s="94"/>
      <c r="F10" s="84">
        <v>8</v>
      </c>
      <c r="G10" s="85">
        <f>10^('Small Signal'!F10/30)</f>
        <v>1.8478497974222912</v>
      </c>
      <c r="H10" s="85" t="str">
        <f t="shared" si="1"/>
        <v>11.6103826970385i</v>
      </c>
      <c r="I10" s="85">
        <f>IF('Small Signal'!$B$37&gt;=1,Q10+0,N10+0)</f>
        <v>27.108336137896217</v>
      </c>
      <c r="J10" s="85">
        <f>IF('Small Signal'!$B$37&gt;=1,R10,O10)</f>
        <v>-0.02225138590169895</v>
      </c>
      <c r="K10" s="85">
        <f>IF('Small Signal'!$B$37&gt;=1,Z10+0,W10+0)</f>
        <v>67.64484344300989</v>
      </c>
      <c r="L10" s="85">
        <f>IF('Small Signal'!$B$37&gt;=1,AA10,X10)</f>
        <v>170.96470026191096</v>
      </c>
      <c r="M10" s="85" t="str">
        <f>IMDIV(IMSUM('Small Signal'!$B$2*'Small Signal'!$B$16*'Small Signal'!$B$38,IMPRODUCT(H10,'Small Signal'!$B$2*'Small Signal'!$B$16*'Small Signal'!$B$38*'Small Signal'!$B$13*'Small Signal'!$B$14)),IMSUM(IMPRODUCT('Small Signal'!$B$11*'Small Signal'!$B$13*('Small Signal'!$B$14+'Small Signal'!$B$16),IMPOWER(H10,2)),IMSUM(IMPRODUCT(H10,('Small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22.6681863460177-0.00880341609315346i</v>
      </c>
      <c r="N10" s="85">
        <f t="shared" si="2"/>
        <v>27.108336137896217</v>
      </c>
      <c r="O10" s="85">
        <f t="shared" si="3"/>
        <v>-0.02225138590169895</v>
      </c>
      <c r="P10" s="85" t="str">
        <f>IMDIV(IMSUM('Small Signal'!$B$48,IMPRODUCT(H10,'Small Signal'!$B$49)),IMSUM(IMPRODUCT('Small Signal'!$B$52,IMPOWER(H10,2)),IMSUM(IMPRODUCT(H10,'Small Signal'!$B$51),'Small Signal'!$B$50)))</f>
        <v>41.1543840383564-0.0126243300035374i</v>
      </c>
      <c r="Q10" s="85">
        <f t="shared" si="4"/>
        <v>32.288322527579325</v>
      </c>
      <c r="R10" s="85">
        <f t="shared" si="5"/>
        <v>-0.01757578986046862</v>
      </c>
      <c r="S10" s="85" t="str">
        <f>IMPRODUCT(IMDIV(IMSUM(IMPRODUCT(H10,'Small Signal'!$B$33*'Small Signal'!$B$6*'Small Signal'!$B$27*'Small Signal'!$B$7*'Small Signal'!$B$8),'Small Signal'!$B$33*'Small Signal'!$B$6*'Small Signal'!$B$27),IMSUM(IMSUM(IMPRODUCT(H10,('Small Signal'!$B$5+'Small Signal'!$B$6)*('Small Signal'!$B$32*'Small Signal'!$B$33)+'Small Signal'!$B$5*'Small Signal'!$B$33*('Small Signal'!$B$8+'Small Signal'!$B$9)+'Small Signal'!$B$6*'Small Signal'!$B$33*('Small Signal'!$B$8+'Small Signal'!$B$9)+'Small Signal'!$B$7*'Small Signal'!$B$8*('Small Signal'!$B$5+'Small Signal'!$B$6)),'Small Signal'!$B$6+'Small Signal'!$B$5),IMPRODUCT(IMPOWER(H10,2),'Small Signal'!$B$32*'Small Signal'!$B$33*'Small Signal'!$B$8*'Small Signal'!$B$7*('Small Signal'!$B$5+'Small Signal'!$B$6)+('Small Signal'!$B$5+'Small Signal'!$B$6)*('Small Signal'!$B$9*'Small Signal'!$B$8*'Small Signal'!$B$33*'Small Signal'!$B$7)))),-1)</f>
        <v>-105.058117797705+16.6640978524123i</v>
      </c>
      <c r="T10" s="85">
        <f t="shared" si="6"/>
        <v>40.53650730511368</v>
      </c>
      <c r="U10" s="85">
        <f t="shared" si="7"/>
        <v>170.98695164781267</v>
      </c>
      <c r="V10" s="85" t="str">
        <f t="shared" si="8"/>
        <v>-2381.33029041304+378.669745731692i</v>
      </c>
      <c r="W10" s="80">
        <f t="shared" si="9"/>
        <v>67.64484344300989</v>
      </c>
      <c r="X10" s="85">
        <f t="shared" si="10"/>
        <v>170.96470026191096</v>
      </c>
      <c r="Y10" s="85" t="str">
        <f t="shared" si="11"/>
        <v>-4323.39175312314+687.126971019555i</v>
      </c>
      <c r="Z10" s="80">
        <f t="shared" si="12"/>
        <v>72.82482983269301</v>
      </c>
      <c r="AA10" s="85">
        <f t="shared" si="13"/>
        <v>170.9693758579522</v>
      </c>
    </row>
    <row r="11" spans="1:27" ht="12.75">
      <c r="A11" s="81" t="s">
        <v>272</v>
      </c>
      <c r="B11" s="91">
        <f t="shared" si="0"/>
        <v>1.2013580246913582E-05</v>
      </c>
      <c r="C11" s="92">
        <f>L</f>
        <v>1.2013580246913582E-05</v>
      </c>
      <c r="D11" s="93"/>
      <c r="F11" s="84">
        <v>9</v>
      </c>
      <c r="G11" s="85">
        <f>10^('Small Signal'!F11/30)</f>
        <v>1.9952623149688797</v>
      </c>
      <c r="H11" s="85" t="str">
        <f t="shared" si="1"/>
        <v>12.5366028613816i</v>
      </c>
      <c r="I11" s="85">
        <f>IF('Small Signal'!$B$37&gt;=1,Q11+0,N11+0)</f>
        <v>27.10833603749212</v>
      </c>
      <c r="J11" s="85">
        <f>IF('Small Signal'!$B$37&gt;=1,R11,O11)</f>
        <v>-0.024026493646553855</v>
      </c>
      <c r="K11" s="85">
        <f>IF('Small Signal'!$B$37&gt;=1,Z11+0,W11+0)</f>
        <v>67.62710148902222</v>
      </c>
      <c r="L11" s="85">
        <f>IF('Small Signal'!$B$37&gt;=1,AA11,X11)</f>
        <v>170.25723468120933</v>
      </c>
      <c r="M11" s="85" t="str">
        <f>IMDIV(IMSUM('Small Signal'!$B$2*'Small Signal'!$B$16*'Small Signal'!$B$38,IMPRODUCT(H11,'Small Signal'!$B$2*'Small Signal'!$B$16*'Small Signal'!$B$38*'Small Signal'!$B$13*'Small Signal'!$B$14)),IMSUM(IMPRODUCT('Small Signal'!$B$11*'Small Signal'!$B$13*('Small Signal'!$B$14+'Small Signal'!$B$16),IMPOWER(H11,2)),IMSUM(IMPRODUCT(H11,('Small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22.6681858003641-0.00950570982128447i</v>
      </c>
      <c r="N11" s="85">
        <f t="shared" si="2"/>
        <v>27.10833603749212</v>
      </c>
      <c r="O11" s="85">
        <f t="shared" si="3"/>
        <v>-0.024026493646553855</v>
      </c>
      <c r="P11" s="85" t="str">
        <f>IMDIV(IMSUM('Small Signal'!$B$48,IMPRODUCT(H11,'Small Signal'!$B$49)),IMSUM(IMPRODUCT('Small Signal'!$B$52,IMPOWER(H11,2)),IMSUM(IMPRODUCT(H11,'Small Signal'!$B$51),'Small Signal'!$B$50)))</f>
        <v>41.1543835104208-0.0136314378420556i</v>
      </c>
      <c r="Q11" s="85">
        <f t="shared" si="4"/>
        <v>32.28832248395883</v>
      </c>
      <c r="R11" s="85">
        <f t="shared" si="5"/>
        <v>-0.018977901303869015</v>
      </c>
      <c r="S11" s="85" t="str">
        <f>IMPRODUCT(IMDIV(IMSUM(IMPRODUCT(H11,'Small Signal'!$B$33*'Small Signal'!$B$6*'Small Signal'!$B$27*'Small Signal'!$B$7*'Small Signal'!$B$8),'Small Signal'!$B$33*'Small Signal'!$B$6*'Small Signal'!$B$27),IMSUM(IMSUM(IMPRODUCT(H11,('Small Signal'!$B$5+'Small Signal'!$B$6)*('Small Signal'!$B$32*'Small Signal'!$B$33)+'Small Signal'!$B$5*'Small Signal'!$B$33*('Small Signal'!$B$8+'Small Signal'!$B$9)+'Small Signal'!$B$6*'Small Signal'!$B$33*('Small Signal'!$B$8+'Small Signal'!$B$9)+'Small Signal'!$B$7*'Small Signal'!$B$8*('Small Signal'!$B$5+'Small Signal'!$B$6)),'Small Signal'!$B$6+'Small Signal'!$B$5),IMPRODUCT(IMPOWER(H11,2),'Small Signal'!$B$32*'Small Signal'!$B$33*'Small Signal'!$B$8*'Small Signal'!$B$7*('Small Signal'!$B$5+'Small Signal'!$B$6)+('Small Signal'!$B$5+'Small Signal'!$B$6)*('Small Signal'!$B$9*'Small Signal'!$B$8*'Small Signal'!$B$33*'Small Signal'!$B$7)))),-1)</f>
        <v>-104.630970764031+17.9201211768456i</v>
      </c>
      <c r="T11" s="85">
        <f t="shared" si="6"/>
        <v>40.51876545153011</v>
      </c>
      <c r="U11" s="85">
        <f t="shared" si="7"/>
        <v>170.28126117485587</v>
      </c>
      <c r="V11" s="85" t="str">
        <f t="shared" si="8"/>
        <v>-2371.62394227965+407.211228048178i</v>
      </c>
      <c r="W11" s="80">
        <f t="shared" si="9"/>
        <v>67.62710148902222</v>
      </c>
      <c r="X11" s="85">
        <f t="shared" si="10"/>
        <v>170.25723468120933</v>
      </c>
      <c r="Y11" s="85" t="str">
        <f t="shared" si="11"/>
        <v>-4305.77882087261+738.917810039441i</v>
      </c>
      <c r="Z11" s="80">
        <f t="shared" si="12"/>
        <v>72.80708793548894</v>
      </c>
      <c r="AA11" s="85">
        <f t="shared" si="13"/>
        <v>170.262283273552</v>
      </c>
    </row>
    <row r="12" spans="1:27" ht="12.75">
      <c r="A12" s="81" t="s">
        <v>113</v>
      </c>
      <c r="B12" s="95">
        <f t="shared" si="0"/>
        <v>0.12</v>
      </c>
      <c r="C12" s="96">
        <f>Rdc</f>
        <v>0.12</v>
      </c>
      <c r="D12" s="97"/>
      <c r="F12" s="84">
        <v>10</v>
      </c>
      <c r="G12" s="85">
        <f>10^('Small Signal'!F12/30)</f>
        <v>2.154434690031884</v>
      </c>
      <c r="H12" s="85" t="str">
        <f t="shared" si="1"/>
        <v>13.5367123896863i</v>
      </c>
      <c r="I12" s="85">
        <f>IF('Small Signal'!$B$37&gt;=1,Q12+0,N12+0)</f>
        <v>27.108335920429486</v>
      </c>
      <c r="J12" s="85">
        <f>IF('Small Signal'!$B$37&gt;=1,R12,O12)</f>
        <v>-0.02594321085395213</v>
      </c>
      <c r="K12" s="85">
        <f>IF('Small Signal'!$B$37&gt;=1,Z12+0,W12+0)</f>
        <v>67.60650699242144</v>
      </c>
      <c r="L12" s="85">
        <f>IF('Small Signal'!$B$37&gt;=1,AA12,X12)</f>
        <v>169.49669282020224</v>
      </c>
      <c r="M12" s="85" t="str">
        <f>IMDIV(IMSUM('Small Signal'!$B$2*'Small Signal'!$B$16*'Small Signal'!$B$38,IMPRODUCT(H12,'Small Signal'!$B$2*'Small Signal'!$B$16*'Small Signal'!$B$38*'Small Signal'!$B$13*'Small Signal'!$B$14)),IMSUM(IMPRODUCT('Small Signal'!$B$11*'Small Signal'!$B$13*('Small Signal'!$B$14+'Small Signal'!$B$16),IMPOWER(H12,2)),IMSUM(IMPRODUCT(H12,('Small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22.6681851641786-0.0102640290886828i</v>
      </c>
      <c r="N12" s="85">
        <f t="shared" si="2"/>
        <v>27.108335920429486</v>
      </c>
      <c r="O12" s="85">
        <f t="shared" si="3"/>
        <v>-0.02594321085395213</v>
      </c>
      <c r="P12" s="85" t="str">
        <f>IMDIV(IMSUM('Small Signal'!$B$48,IMPRODUCT(H12,'Small Signal'!$B$49)),IMSUM(IMPRODUCT('Small Signal'!$B$52,IMPOWER(H12,2)),IMSUM(IMPRODUCT(H12,'Small Signal'!$B$51),'Small Signal'!$B$50)))</f>
        <v>41.154382894893-0.0147188878364537i</v>
      </c>
      <c r="Q12" s="85">
        <f t="shared" si="4"/>
        <v>32.28832243310106</v>
      </c>
      <c r="R12" s="85">
        <f t="shared" si="5"/>
        <v>-0.020491866403420354</v>
      </c>
      <c r="S12" s="85" t="str">
        <f>IMPRODUCT(IMDIV(IMSUM(IMPRODUCT(H12,'Small Signal'!$B$33*'Small Signal'!$B$6*'Small Signal'!$B$27*'Small Signal'!$B$7*'Small Signal'!$B$8),'Small Signal'!$B$33*'Small Signal'!$B$6*'Small Signal'!$B$27),IMSUM(IMSUM(IMPRODUCT(H12,('Small Signal'!$B$5+'Small Signal'!$B$6)*('Small Signal'!$B$32*'Small Signal'!$B$33)+'Small Signal'!$B$5*'Small Signal'!$B$33*('Small Signal'!$B$8+'Small Signal'!$B$9)+'Small Signal'!$B$6*'Small Signal'!$B$33*('Small Signal'!$B$8+'Small Signal'!$B$9)+'Small Signal'!$B$7*'Small Signal'!$B$8*('Small Signal'!$B$5+'Small Signal'!$B$6)),'Small Signal'!$B$6+'Small Signal'!$B$5),IMPRODUCT(IMPOWER(H12,2),'Small Signal'!$B$32*'Small Signal'!$B$33*'Small Signal'!$B$8*'Small Signal'!$B$7*('Small Signal'!$B$5+'Small Signal'!$B$6)+('Small Signal'!$B$5+'Small Signal'!$B$6)*('Small Signal'!$B$9*'Small Signal'!$B$8*'Small Signal'!$B$33*'Small Signal'!$B$7)))),-1)</f>
        <v>-104.13733068937+19.2581614027735i</v>
      </c>
      <c r="T12" s="85">
        <f t="shared" si="6"/>
        <v>40.49817107199193</v>
      </c>
      <c r="U12" s="85">
        <f t="shared" si="7"/>
        <v>169.52263603105618</v>
      </c>
      <c r="V12" s="85" t="str">
        <f t="shared" si="8"/>
        <v>-2360.40662824111+437.616437191121i</v>
      </c>
      <c r="W12" s="80">
        <f t="shared" si="9"/>
        <v>67.60650699242144</v>
      </c>
      <c r="X12" s="85">
        <f t="shared" si="10"/>
        <v>169.49669282020224</v>
      </c>
      <c r="Y12" s="85" t="str">
        <f t="shared" si="11"/>
        <v>-4285.4241221248+794.090533911395i</v>
      </c>
      <c r="Z12" s="80">
        <f t="shared" si="12"/>
        <v>72.78649350509299</v>
      </c>
      <c r="AA12" s="85">
        <f t="shared" si="13"/>
        <v>169.50214416465275</v>
      </c>
    </row>
    <row r="13" spans="1:27" ht="12.75">
      <c r="A13" s="81" t="s">
        <v>273</v>
      </c>
      <c r="B13" s="91">
        <f t="shared" si="0"/>
        <v>1.6891891891891885E-05</v>
      </c>
      <c r="C13" s="92">
        <f>Co</f>
        <v>1.6891891891891885E-05</v>
      </c>
      <c r="D13" s="93"/>
      <c r="F13" s="84">
        <v>11</v>
      </c>
      <c r="G13" s="85">
        <f>10^('Small Signal'!F13/30)</f>
        <v>2.3263050671536263</v>
      </c>
      <c r="H13" s="85" t="str">
        <f t="shared" si="1"/>
        <v>14.6166058179571i</v>
      </c>
      <c r="I13" s="85">
        <f>IF('Small Signal'!$B$37&gt;=1,Q13+0,N13+0)</f>
        <v>27.108335783944554</v>
      </c>
      <c r="J13" s="85">
        <f>IF('Small Signal'!$B$37&gt;=1,R13,O13)</f>
        <v>-0.028012834429857962</v>
      </c>
      <c r="K13" s="85">
        <f>IF('Small Signal'!$B$37&gt;=1,Z13+0,W13+0)</f>
        <v>67.58261823634106</v>
      </c>
      <c r="L13" s="85">
        <f>IF('Small Signal'!$B$37&gt;=1,AA13,X13)</f>
        <v>168.67967078980712</v>
      </c>
      <c r="M13" s="85" t="str">
        <f>IMDIV(IMSUM('Small Signal'!$B$2*'Small Signal'!$B$16*'Small Signal'!$B$38,IMPRODUCT(H13,'Small Signal'!$B$2*'Small Signal'!$B$16*'Small Signal'!$B$38*'Small Signal'!$B$13*'Small Signal'!$B$14)),IMSUM(IMPRODUCT('Small Signal'!$B$11*'Small Signal'!$B$13*('Small Signal'!$B$14+'Small Signal'!$B$16),IMPOWER(H13,2)),IMSUM(IMPRODUCT(H13,('Small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22.668184422441-0.0110828433271066i</v>
      </c>
      <c r="N13" s="85">
        <f t="shared" si="2"/>
        <v>27.108335783944554</v>
      </c>
      <c r="O13" s="85">
        <f t="shared" si="3"/>
        <v>-0.028012834429857962</v>
      </c>
      <c r="P13" s="85" t="str">
        <f>IMDIV(IMSUM('Small Signal'!$B$48,IMPRODUCT(H13,'Small Signal'!$B$49)),IMSUM(IMPRODUCT('Small Signal'!$B$52,IMPOWER(H13,2)),IMSUM(IMPRODUCT(H13,'Small Signal'!$B$51),'Small Signal'!$B$50)))</f>
        <v>41.1543821772403-0.0158930892860883i</v>
      </c>
      <c r="Q13" s="85">
        <f t="shared" si="4"/>
        <v>32.28832237380524</v>
      </c>
      <c r="R13" s="85">
        <f t="shared" si="5"/>
        <v>-0.022126608299631974</v>
      </c>
      <c r="S13" s="85" t="str">
        <f>IMPRODUCT(IMDIV(IMSUM(IMPRODUCT(H13,'Small Signal'!$B$33*'Small Signal'!$B$6*'Small Signal'!$B$27*'Small Signal'!$B$7*'Small Signal'!$B$8),'Small Signal'!$B$33*'Small Signal'!$B$6*'Small Signal'!$B$27),IMSUM(IMSUM(IMPRODUCT(H13,('Small Signal'!$B$5+'Small Signal'!$B$6)*('Small Signal'!$B$32*'Small Signal'!$B$33)+'Small Signal'!$B$5*'Small Signal'!$B$33*('Small Signal'!$B$8+'Small Signal'!$B$9)+'Small Signal'!$B$6*'Small Signal'!$B$33*('Small Signal'!$B$8+'Small Signal'!$B$9)+'Small Signal'!$B$7*'Small Signal'!$B$8*('Small Signal'!$B$5+'Small Signal'!$B$6)),'Small Signal'!$B$6+'Small Signal'!$B$5),IMPRODUCT(IMPOWER(H13,2),'Small Signal'!$B$32*'Small Signal'!$B$33*'Small Signal'!$B$8*'Small Signal'!$B$7*('Small Signal'!$B$5+'Small Signal'!$B$6)+('Small Signal'!$B$5+'Small Signal'!$B$6)*('Small Signal'!$B$9*'Small Signal'!$B$8*'Small Signal'!$B$33*'Small Signal'!$B$7)))),-1)</f>
        <v>-103.567653614838+20.6804162477448i</v>
      </c>
      <c r="T13" s="85">
        <f t="shared" si="6"/>
        <v>40.474282452396515</v>
      </c>
      <c r="U13" s="85">
        <f t="shared" si="7"/>
        <v>168.707683624237</v>
      </c>
      <c r="V13" s="85" t="str">
        <f t="shared" si="8"/>
        <v>-2347.46147452742+469.935313515494i</v>
      </c>
      <c r="W13" s="80">
        <f t="shared" si="9"/>
        <v>67.58261823634106</v>
      </c>
      <c r="X13" s="85">
        <f t="shared" si="10"/>
        <v>168.67967078980712</v>
      </c>
      <c r="Y13" s="85" t="str">
        <f t="shared" si="11"/>
        <v>-4261.93412236319+852.735763810151i</v>
      </c>
      <c r="Z13" s="80">
        <f t="shared" si="12"/>
        <v>72.76260482620177</v>
      </c>
      <c r="AA13" s="85">
        <f t="shared" si="13"/>
        <v>168.68555701593738</v>
      </c>
    </row>
    <row r="14" spans="1:27" ht="12.75">
      <c r="A14" s="81" t="s">
        <v>274</v>
      </c>
      <c r="B14" s="95">
        <f t="shared" si="0"/>
        <v>0.005</v>
      </c>
      <c r="C14" s="96">
        <f>ESR</f>
        <v>0.005</v>
      </c>
      <c r="F14" s="84">
        <v>12</v>
      </c>
      <c r="G14" s="85">
        <f>10^('Small Signal'!F14/30)</f>
        <v>2.5118864315095806</v>
      </c>
      <c r="H14" s="85" t="str">
        <f t="shared" si="1"/>
        <v>15.7826479197648i</v>
      </c>
      <c r="I14" s="85">
        <f>IF('Small Signal'!$B$37&gt;=1,Q14+0,N14+0)</f>
        <v>27.10833562481473</v>
      </c>
      <c r="J14" s="85">
        <f>IF('Small Signal'!$B$37&gt;=1,R14,O14)</f>
        <v>-0.030247562489660484</v>
      </c>
      <c r="K14" s="85">
        <f>IF('Small Signal'!$B$37&gt;=1,Z14+0,W14+0)</f>
        <v>67.55493089846883</v>
      </c>
      <c r="L14" s="85">
        <f>IF('Small Signal'!$B$37&gt;=1,AA14,X14)</f>
        <v>167.80269023776563</v>
      </c>
      <c r="M14" s="85" t="str">
        <f>IMDIV(IMSUM('Small Signal'!$B$2*'Small Signal'!$B$16*'Small Signal'!$B$38,IMPRODUCT(H14,'Small Signal'!$B$2*'Small Signal'!$B$16*'Small Signal'!$B$38*'Small Signal'!$B$13*'Small Signal'!$B$14)),IMSUM(IMPRODUCT('Small Signal'!$B$11*'Small Signal'!$B$13*('Small Signal'!$B$14+'Small Signal'!$B$16),IMPOWER(H14,2)),IMSUM(IMPRODUCT(H14,('Small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22.6681835576383-0.0119669785141427i</v>
      </c>
      <c r="N14" s="85">
        <f t="shared" si="2"/>
        <v>27.10833562481473</v>
      </c>
      <c r="O14" s="85">
        <f t="shared" si="3"/>
        <v>-0.030247562489660484</v>
      </c>
      <c r="P14" s="85" t="str">
        <f>IMDIV(IMSUM('Small Signal'!$B$48,IMPRODUCT(H14,'Small Signal'!$B$49)),IMSUM(IMPRODUCT('Small Signal'!$B$52,IMPOWER(H14,2)),IMSUM(IMPRODUCT(H14,'Small Signal'!$B$51),'Small Signal'!$B$50)))</f>
        <v>41.1543813405187-0.0171609627908375i</v>
      </c>
      <c r="Q14" s="85">
        <f t="shared" si="4"/>
        <v>32.2883223046714</v>
      </c>
      <c r="R14" s="85">
        <f t="shared" si="5"/>
        <v>-0.023891761977200877</v>
      </c>
      <c r="S14" s="85" t="str">
        <f>IMPRODUCT(IMDIV(IMSUM(IMPRODUCT(H14,'Small Signal'!$B$33*'Small Signal'!$B$6*'Small Signal'!$B$27*'Small Signal'!$B$7*'Small Signal'!$B$8),'Small Signal'!$B$33*'Small Signal'!$B$6*'Small Signal'!$B$27),IMSUM(IMSUM(IMPRODUCT(H14,('Small Signal'!$B$5+'Small Signal'!$B$6)*('Small Signal'!$B$32*'Small Signal'!$B$33)+'Small Signal'!$B$5*'Small Signal'!$B$33*('Small Signal'!$B$8+'Small Signal'!$B$9)+'Small Signal'!$B$6*'Small Signal'!$B$33*('Small Signal'!$B$8+'Small Signal'!$B$9)+'Small Signal'!$B$7*'Small Signal'!$B$8*('Small Signal'!$B$5+'Small Signal'!$B$6)),'Small Signal'!$B$6+'Small Signal'!$B$5),IMPRODUCT(IMPOWER(H14,2),'Small Signal'!$B$32*'Small Signal'!$B$33*'Small Signal'!$B$8*'Small Signal'!$B$7*('Small Signal'!$B$5+'Small Signal'!$B$6)+('Small Signal'!$B$5+'Small Signal'!$B$6)*('Small Signal'!$B$9*'Small Signal'!$B$8*'Small Signal'!$B$33*'Small Signal'!$B$7)))),-1)</f>
        <v>-102.911300137825+22.1882918970641i</v>
      </c>
      <c r="T14" s="85">
        <f t="shared" si="6"/>
        <v>40.44659527365408</v>
      </c>
      <c r="U14" s="85">
        <f t="shared" si="7"/>
        <v>167.83293780025528</v>
      </c>
      <c r="V14" s="85" t="str">
        <f t="shared" si="8"/>
        <v>-2332.54671486703+504.199810870719i</v>
      </c>
      <c r="W14" s="80">
        <f t="shared" si="9"/>
        <v>67.55493089846883</v>
      </c>
      <c r="X14" s="85">
        <f t="shared" si="10"/>
        <v>167.80269023776563</v>
      </c>
      <c r="Y14" s="85" t="str">
        <f t="shared" si="11"/>
        <v>-4234.87011766899+914.911483018939i</v>
      </c>
      <c r="Z14" s="80">
        <f t="shared" si="12"/>
        <v>72.73491757832548</v>
      </c>
      <c r="AA14" s="85">
        <f t="shared" si="13"/>
        <v>167.80904603827807</v>
      </c>
    </row>
    <row r="15" spans="6:27" ht="12.75">
      <c r="F15" s="84">
        <v>13</v>
      </c>
      <c r="G15" s="85">
        <f>10^('Small Signal'!F15/30)</f>
        <v>2.7122725793320286</v>
      </c>
      <c r="H15" s="85" t="str">
        <f t="shared" si="1"/>
        <v>17.0417112195251i</v>
      </c>
      <c r="I15" s="85">
        <f>IF('Small Signal'!$B$37&gt;=1,Q15+0,N15+0)</f>
        <v>27.108335439283003</v>
      </c>
      <c r="J15" s="85">
        <f>IF('Small Signal'!$B$37&gt;=1,R15,O15)</f>
        <v>-0.032660566251506706</v>
      </c>
      <c r="K15" s="85">
        <f>IF('Small Signal'!$B$37&gt;=1,Z15+0,W15+0)</f>
        <v>67.52287113967525</v>
      </c>
      <c r="L15" s="85">
        <f>IF('Small Signal'!$B$37&gt;=1,AA15,X15)</f>
        <v>166.86223567711806</v>
      </c>
      <c r="M15" s="85" t="str">
        <f>IMDIV(IMSUM('Small Signal'!$B$2*'Small Signal'!$B$16*'Small Signal'!$B$38,IMPRODUCT(H15,'Small Signal'!$B$2*'Small Signal'!$B$16*'Small Signal'!$B$38*'Small Signal'!$B$13*'Small Signal'!$B$14)),IMSUM(IMPRODUCT('Small Signal'!$B$11*'Small Signal'!$B$13*('Small Signal'!$B$14+'Small Signal'!$B$16),IMPOWER(H15,2)),IMSUM(IMPRODUCT(H15,('Small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22.6681825493525-0.0129216456157219i</v>
      </c>
      <c r="N15" s="85">
        <f t="shared" si="2"/>
        <v>27.108335439283003</v>
      </c>
      <c r="O15" s="85">
        <f t="shared" si="3"/>
        <v>-0.032660566251506706</v>
      </c>
      <c r="P15" s="85" t="str">
        <f>IMDIV(IMSUM('Small Signal'!$B$48,IMPRODUCT(H15,'Small Signal'!$B$49)),IMSUM(IMPRODUCT('Small Signal'!$B$52,IMPOWER(H15,2)),IMSUM(IMPRODUCT(H15,'Small Signal'!$B$51),'Small Signal'!$B$50)))</f>
        <v>41.154380364973-0.0185299810395685i</v>
      </c>
      <c r="Q15" s="85">
        <f t="shared" si="4"/>
        <v>32.28832222406726</v>
      </c>
      <c r="R15" s="85">
        <f t="shared" si="5"/>
        <v>-0.025797731052292088</v>
      </c>
      <c r="S15" s="85" t="str">
        <f>IMPRODUCT(IMDIV(IMSUM(IMPRODUCT(H15,'Small Signal'!$B$33*'Small Signal'!$B$6*'Small Signal'!$B$27*'Small Signal'!$B$7*'Small Signal'!$B$8),'Small Signal'!$B$33*'Small Signal'!$B$6*'Small Signal'!$B$27),IMSUM(IMSUM(IMPRODUCT(H15,('Small Signal'!$B$5+'Small Signal'!$B$6)*('Small Signal'!$B$32*'Small Signal'!$B$33)+'Small Signal'!$B$5*'Small Signal'!$B$33*('Small Signal'!$B$8+'Small Signal'!$B$9)+'Small Signal'!$B$6*'Small Signal'!$B$33*('Small Signal'!$B$8+'Small Signal'!$B$9)+'Small Signal'!$B$7*'Small Signal'!$B$8*('Small Signal'!$B$5+'Small Signal'!$B$6)),'Small Signal'!$B$6+'Small Signal'!$B$5),IMPRODUCT(IMPOWER(H15,2),'Small Signal'!$B$32*'Small Signal'!$B$33*'Small Signal'!$B$8*'Small Signal'!$B$7*('Small Signal'!$B$5+'Small Signal'!$B$6)+('Small Signal'!$B$5+'Small Signal'!$B$6)*('Small Signal'!$B$9*'Small Signal'!$B$8*'Small Signal'!$B$33*'Small Signal'!$B$7)))),-1)</f>
        <v>-102.156503883856+23.7821559397547i</v>
      </c>
      <c r="T15" s="85">
        <f t="shared" si="6"/>
        <v>40.414535700392264</v>
      </c>
      <c r="U15" s="85">
        <f t="shared" si="7"/>
        <v>166.8948962433696</v>
      </c>
      <c r="V15" s="85" t="str">
        <f t="shared" si="8"/>
        <v>-2315.39497405185+540.418282400056i</v>
      </c>
      <c r="W15" s="80">
        <f t="shared" si="9"/>
        <v>67.52287113967525</v>
      </c>
      <c r="X15" s="85">
        <f t="shared" si="10"/>
        <v>166.86223567711806</v>
      </c>
      <c r="Y15" s="85" t="str">
        <f t="shared" si="11"/>
        <v>-4203.74693469341+980.632849523803i</v>
      </c>
      <c r="Z15" s="80">
        <f t="shared" si="12"/>
        <v>72.70285792445952</v>
      </c>
      <c r="AA15" s="85">
        <f t="shared" si="13"/>
        <v>166.86909851231732</v>
      </c>
    </row>
    <row r="16" spans="1:27" ht="12.75">
      <c r="A16" s="98" t="s">
        <v>275</v>
      </c>
      <c r="B16" s="99">
        <f>B3/B4</f>
        <v>2.466666666666667</v>
      </c>
      <c r="F16" s="84">
        <v>14</v>
      </c>
      <c r="G16" s="85">
        <f>10^('Small Signal'!F16/30)</f>
        <v>2.9286445646252366</v>
      </c>
      <c r="H16" s="85" t="str">
        <f t="shared" si="1"/>
        <v>18.4012164984046i</v>
      </c>
      <c r="I16" s="85">
        <f>IF('Small Signal'!$B$37&gt;=1,Q16+0,N16+0)</f>
        <v>27.108335222968826</v>
      </c>
      <c r="J16" s="85">
        <f>IF('Small Signal'!$B$37&gt;=1,R16,O16)</f>
        <v>-0.035266067664726786</v>
      </c>
      <c r="K16" s="85">
        <f>IF('Small Signal'!$B$37&gt;=1,Z16+0,W16+0)</f>
        <v>67.48578860118522</v>
      </c>
      <c r="L16" s="85">
        <f>IF('Small Signal'!$B$37&gt;=1,AA16,X16)</f>
        <v>165.85480276824984</v>
      </c>
      <c r="M16" s="85" t="str">
        <f>IMDIV(IMSUM('Small Signal'!$B$2*'Small Signal'!$B$16*'Small Signal'!$B$38,IMPRODUCT(H16,'Small Signal'!$B$2*'Small Signal'!$B$16*'Small Signal'!$B$38*'Small Signal'!$B$13*'Small Signal'!$B$14)),IMSUM(IMPRODUCT('Small Signal'!$B$11*'Small Signal'!$B$13*('Small Signal'!$B$14+'Small Signal'!$B$16),IMPOWER(H16,2)),IMSUM(IMPRODUCT(H16,('Small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22.6681813737775-0.0139524712973823i</v>
      </c>
      <c r="N16" s="85">
        <f t="shared" si="2"/>
        <v>27.108335222968826</v>
      </c>
      <c r="O16" s="85">
        <f t="shared" si="3"/>
        <v>-0.035266067664726786</v>
      </c>
      <c r="P16" s="85" t="str">
        <f>IMDIV(IMSUM('Small Signal'!$B$48,IMPRODUCT(H16,'Small Signal'!$B$49)),IMSUM(IMPRODUCT('Small Signal'!$B$52,IMPOWER(H16,2)),IMSUM(IMPRODUCT(H16,'Small Signal'!$B$51),'Small Signal'!$B$50)))</f>
        <v>41.1543792275703-0.0200082128523528i</v>
      </c>
      <c r="Q16" s="85">
        <f t="shared" si="4"/>
        <v>32.288322130089746</v>
      </c>
      <c r="R16" s="85">
        <f t="shared" si="5"/>
        <v>-0.027855749089980654</v>
      </c>
      <c r="S16" s="85" t="str">
        <f>IMPRODUCT(IMDIV(IMSUM(IMPRODUCT(H16,'Small Signal'!$B$33*'Small Signal'!$B$6*'Small Signal'!$B$27*'Small Signal'!$B$7*'Small Signal'!$B$8),'Small Signal'!$B$33*'Small Signal'!$B$6*'Small Signal'!$B$27),IMSUM(IMSUM(IMPRODUCT(H16,('Small Signal'!$B$5+'Small Signal'!$B$6)*('Small Signal'!$B$32*'Small Signal'!$B$33)+'Small Signal'!$B$5*'Small Signal'!$B$33*('Small Signal'!$B$8+'Small Signal'!$B$9)+'Small Signal'!$B$6*'Small Signal'!$B$33*('Small Signal'!$B$8+'Small Signal'!$B$9)+'Small Signal'!$B$7*'Small Signal'!$B$8*('Small Signal'!$B$5+'Small Signal'!$B$6)),'Small Signal'!$B$6+'Small Signal'!$B$5),IMPRODUCT(IMPOWER(H16,2),'Small Signal'!$B$32*'Small Signal'!$B$33*'Small Signal'!$B$8*'Small Signal'!$B$7*('Small Signal'!$B$5+'Small Signal'!$B$6)+('Small Signal'!$B$5+'Small Signal'!$B$6)*('Small Signal'!$B$9*'Small Signal'!$B$8*'Small Signal'!$B$33*'Small Signal'!$B$7)))),-1)</f>
        <v>-101.290375721413+25.4610491601235i</v>
      </c>
      <c r="T16" s="85">
        <f t="shared" si="6"/>
        <v>40.377453378216394</v>
      </c>
      <c r="U16" s="85">
        <f t="shared" si="7"/>
        <v>165.89006883591458</v>
      </c>
      <c r="V16" s="85" t="str">
        <f t="shared" si="8"/>
        <v>-2295.71336371345+578.568931388299i</v>
      </c>
      <c r="W16" s="80">
        <f t="shared" si="9"/>
        <v>67.48578860118522</v>
      </c>
      <c r="X16" s="85">
        <f t="shared" si="10"/>
        <v>165.85480276824984</v>
      </c>
      <c r="Y16" s="85" t="str">
        <f t="shared" si="11"/>
        <v>-4168.03310445107+1049.86031206486i</v>
      </c>
      <c r="Z16" s="80">
        <f t="shared" si="12"/>
        <v>72.66577550830615</v>
      </c>
      <c r="AA16" s="85">
        <f t="shared" si="13"/>
        <v>165.86221308682462</v>
      </c>
    </row>
    <row r="17" spans="1:27" ht="12.75">
      <c r="A17" s="98" t="s">
        <v>273</v>
      </c>
      <c r="B17" s="100">
        <f>B13</f>
        <v>1.6891891891891885E-05</v>
      </c>
      <c r="F17" s="84">
        <v>15</v>
      </c>
      <c r="G17" s="85">
        <f>10^('Small Signal'!F17/30)</f>
        <v>3.1622776601683795</v>
      </c>
      <c r="H17" s="85" t="str">
        <f t="shared" si="1"/>
        <v>19.8691765315922i</v>
      </c>
      <c r="I17" s="85">
        <f>IF('Small Signal'!$B$37&gt;=1,Q17+0,N17+0)</f>
        <v>27.1083349707651</v>
      </c>
      <c r="J17" s="85">
        <f>IF('Small Signal'!$B$37&gt;=1,R17,O17)</f>
        <v>-0.038079423230820995</v>
      </c>
      <c r="K17" s="85">
        <f>IF('Small Signal'!$B$37&gt;=1,Z17+0,W17+0)</f>
        <v>67.44294957518039</v>
      </c>
      <c r="L17" s="85">
        <f>IF('Small Signal'!$B$37&gt;=1,AA17,X17)</f>
        <v>164.77695924049362</v>
      </c>
      <c r="M17" s="85" t="str">
        <f>IMDIV(IMSUM('Small Signal'!$B$2*'Small Signal'!$B$16*'Small Signal'!$B$38,IMPRODUCT(H17,'Small Signal'!$B$2*'Small Signal'!$B$16*'Small Signal'!$B$38*'Small Signal'!$B$13*'Small Signal'!$B$14)),IMSUM(IMPRODUCT('Small Signal'!$B$11*'Small Signal'!$B$13*('Small Signal'!$B$14+'Small Signal'!$B$16),IMPOWER(H17,2)),IMSUM(IMPRODUCT(H17,('Small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22.668180003158-0.0150655310852084i</v>
      </c>
      <c r="N17" s="85">
        <f t="shared" si="2"/>
        <v>27.1083349707651</v>
      </c>
      <c r="O17" s="85">
        <f t="shared" si="3"/>
        <v>-0.038079423230820995</v>
      </c>
      <c r="P17" s="85" t="str">
        <f>IMDIV(IMSUM('Small Signal'!$B$48,IMPRODUCT(H17,'Small Signal'!$B$49)),IMSUM(IMPRODUCT('Small Signal'!$B$52,IMPOWER(H17,2)),IMSUM(IMPRODUCT(H17,'Small Signal'!$B$51),'Small Signal'!$B$50)))</f>
        <v>41.1543779014561-0.0216043707359551i</v>
      </c>
      <c r="Q17" s="85">
        <f t="shared" si="4"/>
        <v>32.28832202052</v>
      </c>
      <c r="R17" s="85">
        <f t="shared" si="5"/>
        <v>-0.03007794581323442</v>
      </c>
      <c r="S17" s="85" t="str">
        <f>IMPRODUCT(IMDIV(IMSUM(IMPRODUCT(H17,'Small Signal'!$B$33*'Small Signal'!$B$6*'Small Signal'!$B$27*'Small Signal'!$B$7*'Small Signal'!$B$8),'Small Signal'!$B$33*'Small Signal'!$B$6*'Small Signal'!$B$27),IMSUM(IMSUM(IMPRODUCT(H17,('Small Signal'!$B$5+'Small Signal'!$B$6)*('Small Signal'!$B$32*'Small Signal'!$B$33)+'Small Signal'!$B$5*'Small Signal'!$B$33*('Small Signal'!$B$8+'Small Signal'!$B$9)+'Small Signal'!$B$6*'Small Signal'!$B$33*('Small Signal'!$B$8+'Small Signal'!$B$9)+'Small Signal'!$B$7*'Small Signal'!$B$8*('Small Signal'!$B$5+'Small Signal'!$B$6)),'Small Signal'!$B$6+'Small Signal'!$B$5),IMPRODUCT(IMPOWER(H17,2),'Small Signal'!$B$32*'Small Signal'!$B$33*'Small Signal'!$B$8*'Small Signal'!$B$7*('Small Signal'!$B$5+'Small Signal'!$B$6)+('Small Signal'!$B$5+'Small Signal'!$B$6)*('Small Signal'!$B$9*'Small Signal'!$B$8*'Small Signal'!$B$33*'Small Signal'!$B$7)))),-1)</f>
        <v>-100.29895805123+27.2223565897207i</v>
      </c>
      <c r="T17" s="85">
        <f t="shared" si="6"/>
        <v>40.33461460441529</v>
      </c>
      <c r="U17" s="85">
        <f t="shared" si="7"/>
        <v>164.81503866372444</v>
      </c>
      <c r="V17" s="85" t="str">
        <f t="shared" si="8"/>
        <v>-2273.18471597506+618.592336356278i</v>
      </c>
      <c r="W17" s="80">
        <f t="shared" si="9"/>
        <v>67.44294957518039</v>
      </c>
      <c r="X17" s="85">
        <f t="shared" si="10"/>
        <v>164.77695924049362</v>
      </c>
      <c r="Y17" s="85" t="str">
        <f t="shared" si="11"/>
        <v>-4127.15310087854+1122.48604633573i</v>
      </c>
      <c r="Z17" s="80">
        <f t="shared" si="12"/>
        <v>72.62293662493528</v>
      </c>
      <c r="AA17" s="85">
        <f t="shared" si="13"/>
        <v>164.78496071791116</v>
      </c>
    </row>
    <row r="18" spans="1:27" ht="12.75">
      <c r="A18" s="98" t="s">
        <v>276</v>
      </c>
      <c r="B18" s="101">
        <f>B14</f>
        <v>0.005</v>
      </c>
      <c r="F18" s="84">
        <v>16</v>
      </c>
      <c r="G18" s="85">
        <f>10^('Small Signal'!F18/30)</f>
        <v>3.4145488738336023</v>
      </c>
      <c r="H18" s="85" t="str">
        <f t="shared" si="1"/>
        <v>21.4542433147179i</v>
      </c>
      <c r="I18" s="85">
        <f>IF('Small Signal'!$B$37&gt;=1,Q18+0,N18+0)</f>
        <v>27.108334676717234</v>
      </c>
      <c r="J18" s="85">
        <f>IF('Small Signal'!$B$37&gt;=1,R18,O18)</f>
        <v>-0.041117214510950365</v>
      </c>
      <c r="K18" s="85">
        <f>IF('Small Signal'!$B$37&gt;=1,Z18+0,W18+0)</f>
        <v>67.39353071093008</v>
      </c>
      <c r="L18" s="85">
        <f>IF('Small Signal'!$B$37&gt;=1,AA18,X18)</f>
        <v>163.62542005439488</v>
      </c>
      <c r="M18" s="85" t="str">
        <f>IMDIV(IMSUM('Small Signal'!$B$2*'Small Signal'!$B$16*'Small Signal'!$B$38,IMPRODUCT(H18,'Small Signal'!$B$2*'Small Signal'!$B$16*'Small Signal'!$B$38*'Small Signal'!$B$13*'Small Signal'!$B$14)),IMSUM(IMPRODUCT('Small Signal'!$B$11*'Small Signal'!$B$13*('Small Signal'!$B$14+'Small Signal'!$B$16),IMPOWER(H18,2)),IMSUM(IMPRODUCT(H18,('Small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22.6681784051334-0.0162673851717824i</v>
      </c>
      <c r="N18" s="85">
        <f t="shared" si="2"/>
        <v>27.108334676717234</v>
      </c>
      <c r="O18" s="85">
        <f t="shared" si="3"/>
        <v>-0.041117214510950365</v>
      </c>
      <c r="P18" s="85" t="str">
        <f>IMDIV(IMSUM('Small Signal'!$B$48,IMPRODUCT(H18,'Small Signal'!$B$49)),IMSUM(IMPRODUCT('Small Signal'!$B$52,IMPOWER(H18,2)),IMSUM(IMPRODUCT(H18,'Small Signal'!$B$51),'Small Signal'!$B$50)))</f>
        <v>41.1543763553206-0.0233278622328164i</v>
      </c>
      <c r="Q18" s="85">
        <f t="shared" si="4"/>
        <v>32.28832189277106</v>
      </c>
      <c r="R18" s="85">
        <f t="shared" si="5"/>
        <v>-0.03247741859364402</v>
      </c>
      <c r="S18" s="85" t="str">
        <f>IMPRODUCT(IMDIV(IMSUM(IMPRODUCT(H18,'Small Signal'!$B$33*'Small Signal'!$B$6*'Small Signal'!$B$27*'Small Signal'!$B$7*'Small Signal'!$B$8),'Small Signal'!$B$33*'Small Signal'!$B$6*'Small Signal'!$B$27),IMSUM(IMSUM(IMPRODUCT(H18,('Small Signal'!$B$5+'Small Signal'!$B$6)*('Small Signal'!$B$32*'Small Signal'!$B$33)+'Small Signal'!$B$5*'Small Signal'!$B$33*('Small Signal'!$B$8+'Small Signal'!$B$9)+'Small Signal'!$B$6*'Small Signal'!$B$33*('Small Signal'!$B$8+'Small Signal'!$B$9)+'Small Signal'!$B$7*'Small Signal'!$B$8*('Small Signal'!$B$5+'Small Signal'!$B$6)),'Small Signal'!$B$6+'Small Signal'!$B$5),IMPRODUCT(IMPOWER(H18,2),'Small Signal'!$B$32*'Small Signal'!$B$33*'Small Signal'!$B$8*'Small Signal'!$B$7*('Small Signal'!$B$5+'Small Signal'!$B$6)+('Small Signal'!$B$5+'Small Signal'!$B$6)*('Small Signal'!$B$9*'Small Signal'!$B$8*'Small Signal'!$B$33*'Small Signal'!$B$7)))),-1)</f>
        <v>-99.1673461270481+29.0614417909527i</v>
      </c>
      <c r="T18" s="85">
        <f t="shared" si="6"/>
        <v>40.285196034212845</v>
      </c>
      <c r="U18" s="85">
        <f t="shared" si="7"/>
        <v>163.6665372689058</v>
      </c>
      <c r="V18" s="85" t="str">
        <f t="shared" si="8"/>
        <v>-2247.47034030428+660.383140643627i</v>
      </c>
      <c r="W18" s="80">
        <f t="shared" si="9"/>
        <v>67.39353071093008</v>
      </c>
      <c r="X18" s="85">
        <f t="shared" si="10"/>
        <v>163.62542005439488</v>
      </c>
      <c r="Y18" s="85" t="str">
        <f t="shared" si="11"/>
        <v>-4080.4923433605+1198.31887508156i</v>
      </c>
      <c r="Z18" s="80">
        <f t="shared" si="12"/>
        <v>72.57351792698393</v>
      </c>
      <c r="AA18" s="85">
        <f t="shared" si="13"/>
        <v>163.63405985031213</v>
      </c>
    </row>
    <row r="19" spans="1:27" ht="12.75">
      <c r="A19" s="98" t="s">
        <v>272</v>
      </c>
      <c r="B19" s="100">
        <f>B11</f>
        <v>1.2013580246913582E-05</v>
      </c>
      <c r="F19" s="84">
        <v>17</v>
      </c>
      <c r="G19" s="85">
        <f>10^('Small Signal'!F19/30)</f>
        <v>3.6869450645195756</v>
      </c>
      <c r="H19" s="85" t="str">
        <f t="shared" si="1"/>
        <v>23.1657590577677i</v>
      </c>
      <c r="I19" s="85">
        <f>IF('Small Signal'!$B$37&gt;=1,Q19+0,N19+0)</f>
        <v>27.10833433388252</v>
      </c>
      <c r="J19" s="85">
        <f>IF('Small Signal'!$B$37&gt;=1,R19,O19)</f>
        <v>-0.04439734585326694</v>
      </c>
      <c r="K19" s="85">
        <f>IF('Small Signal'!$B$37&gt;=1,Z19+0,W19+0)</f>
        <v>67.33661373084908</v>
      </c>
      <c r="L19" s="85">
        <f>IF('Small Signal'!$B$37&gt;=1,AA19,X19)</f>
        <v>162.3971381449985</v>
      </c>
      <c r="M19" s="85" t="str">
        <f>IMDIV(IMSUM('Small Signal'!$B$2*'Small Signal'!$B$16*'Small Signal'!$B$38,IMPRODUCT(H19,'Small Signal'!$B$2*'Small Signal'!$B$16*'Small Signal'!$B$38*'Small Signal'!$B$13*'Small Signal'!$B$14)),IMSUM(IMPRODUCT('Small Signal'!$B$11*'Small Signal'!$B$13*('Small Signal'!$B$14+'Small Signal'!$B$16),IMPOWER(H19,2)),IMSUM(IMPRODUCT(H19,('Small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22.6681765419735-0.0175651170780519i</v>
      </c>
      <c r="N19" s="85">
        <f t="shared" si="2"/>
        <v>27.10833433388252</v>
      </c>
      <c r="O19" s="85">
        <f t="shared" si="3"/>
        <v>-0.04439734585326694</v>
      </c>
      <c r="P19" s="85" t="str">
        <f>IMDIV(IMSUM('Small Signal'!$B$48,IMPRODUCT(H19,'Small Signal'!$B$49)),IMSUM(IMPRODUCT('Small Signal'!$B$52,IMPOWER(H19,2)),IMSUM(IMPRODUCT(H19,'Small Signal'!$B$51),'Small Signal'!$B$50)))</f>
        <v>41.154374552659-0.0251888453660942i</v>
      </c>
      <c r="Q19" s="85">
        <f t="shared" si="4"/>
        <v>32.288321743826735</v>
      </c>
      <c r="R19" s="85">
        <f t="shared" si="5"/>
        <v>-0.03506830964523358</v>
      </c>
      <c r="S19" s="85" t="str">
        <f>IMPRODUCT(IMDIV(IMSUM(IMPRODUCT(H19,'Small Signal'!$B$33*'Small Signal'!$B$6*'Small Signal'!$B$27*'Small Signal'!$B$7*'Small Signal'!$B$8),'Small Signal'!$B$33*'Small Signal'!$B$6*'Small Signal'!$B$27),IMSUM(IMSUM(IMPRODUCT(H19,('Small Signal'!$B$5+'Small Signal'!$B$6)*('Small Signal'!$B$32*'Small Signal'!$B$33)+'Small Signal'!$B$5*'Small Signal'!$B$33*('Small Signal'!$B$8+'Small Signal'!$B$9)+'Small Signal'!$B$6*'Small Signal'!$B$33*('Small Signal'!$B$8+'Small Signal'!$B$9)+'Small Signal'!$B$7*'Small Signal'!$B$8*('Small Signal'!$B$5+'Small Signal'!$B$6)),'Small Signal'!$B$6+'Small Signal'!$B$5),IMPRODUCT(IMPOWER(H19,2),'Small Signal'!$B$32*'Small Signal'!$B$33*'Small Signal'!$B$8*'Small Signal'!$B$7*('Small Signal'!$B$5+'Small Signal'!$B$6)+('Small Signal'!$B$5+'Small Signal'!$B$6)*('Small Signal'!$B$9*'Small Signal'!$B$8*'Small Signal'!$B$33*'Small Signal'!$B$7)))),-1)</f>
        <v>-97.8798955187787+30.9712534090328i</v>
      </c>
      <c r="T19" s="85">
        <f t="shared" si="6"/>
        <v>40.228279396966556</v>
      </c>
      <c r="U19" s="85">
        <f t="shared" si="7"/>
        <v>162.4415354908518</v>
      </c>
      <c r="V19" s="85" t="str">
        <f t="shared" si="8"/>
        <v>-2218.21473783741+703.781111826529i</v>
      </c>
      <c r="W19" s="80">
        <f t="shared" si="9"/>
        <v>67.33661373084908</v>
      </c>
      <c r="X19" s="85">
        <f t="shared" si="10"/>
        <v>162.3971381449985</v>
      </c>
      <c r="Y19" s="85" t="str">
        <f t="shared" si="11"/>
        <v>-4027.40575124203+1277.06804471332i</v>
      </c>
      <c r="Z19" s="80">
        <f t="shared" si="12"/>
        <v>72.51660114079328</v>
      </c>
      <c r="AA19" s="85">
        <f t="shared" si="13"/>
        <v>162.40646718120664</v>
      </c>
    </row>
    <row r="20" spans="1:27" ht="12.75">
      <c r="A20" s="98" t="s">
        <v>113</v>
      </c>
      <c r="B20" s="102">
        <f>B12</f>
        <v>0.12</v>
      </c>
      <c r="F20" s="84">
        <v>18</v>
      </c>
      <c r="G20" s="85">
        <f>10^('Small Signal'!F20/30)</f>
        <v>3.9810717055349727</v>
      </c>
      <c r="H20" s="85" t="str">
        <f t="shared" si="1"/>
        <v>25.0138112470457i</v>
      </c>
      <c r="I20" s="85">
        <f>IF('Small Signal'!$B$37&gt;=1,Q20+0,N20+0)</f>
        <v>27.10833393416666</v>
      </c>
      <c r="J20" s="85">
        <f>IF('Small Signal'!$B$37&gt;=1,R20,O20)</f>
        <v>-0.047939149915939276</v>
      </c>
      <c r="K20" s="85">
        <f>IF('Small Signal'!$B$37&gt;=1,Z20+0,W20+0)</f>
        <v>67.27118175356976</v>
      </c>
      <c r="L20" s="85">
        <f>IF('Small Signal'!$B$37&gt;=1,AA20,X20)</f>
        <v>161.0894115843481</v>
      </c>
      <c r="M20" s="85" t="str">
        <f>IMDIV(IMSUM('Small Signal'!$B$2*'Small Signal'!$B$16*'Small Signal'!$B$38,IMPRODUCT(H20,'Small Signal'!$B$2*'Small Signal'!$B$16*'Small Signal'!$B$38*'Small Signal'!$B$13*'Small Signal'!$B$14)),IMSUM(IMPRODUCT('Small Signal'!$B$11*'Small Signal'!$B$13*('Small Signal'!$B$14+'Small Signal'!$B$16),IMPOWER(H20,2)),IMSUM(IMPRODUCT(H20,('Small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22.668174369689-0.0189663753988133i</v>
      </c>
      <c r="N20" s="85">
        <f t="shared" si="2"/>
        <v>27.10833393416666</v>
      </c>
      <c r="O20" s="85">
        <f t="shared" si="3"/>
        <v>-0.047939149915939276</v>
      </c>
      <c r="P20" s="85" t="str">
        <f>IMDIV(IMSUM('Small Signal'!$B$48,IMPRODUCT(H20,'Small Signal'!$B$49)),IMSUM(IMPRODUCT('Small Signal'!$B$52,IMPOWER(H20,2)),IMSUM(IMPRODUCT(H20,'Small Signal'!$B$51),'Small Signal'!$B$50)))</f>
        <v>41.1543724509101-0.027198288507439i</v>
      </c>
      <c r="Q20" s="85">
        <f t="shared" si="4"/>
        <v>32.28832157017042</v>
      </c>
      <c r="R20" s="85">
        <f t="shared" si="5"/>
        <v>-0.03786588937628442</v>
      </c>
      <c r="S20" s="85" t="str">
        <f>IMPRODUCT(IMDIV(IMSUM(IMPRODUCT(H20,'Small Signal'!$B$33*'Small Signal'!$B$6*'Small Signal'!$B$27*'Small Signal'!$B$7*'Small Signal'!$B$8),'Small Signal'!$B$33*'Small Signal'!$B$6*'Small Signal'!$B$27),IMSUM(IMSUM(IMPRODUCT(H20,('Small Signal'!$B$5+'Small Signal'!$B$6)*('Small Signal'!$B$32*'Small Signal'!$B$33)+'Small Signal'!$B$5*'Small Signal'!$B$33*('Small Signal'!$B$8+'Small Signal'!$B$9)+'Small Signal'!$B$6*'Small Signal'!$B$33*('Small Signal'!$B$8+'Small Signal'!$B$9)+'Small Signal'!$B$7*'Small Signal'!$B$8*('Small Signal'!$B$5+'Small Signal'!$B$6)),'Small Signal'!$B$6+'Small Signal'!$B$5),IMPRODUCT(IMPOWER(H20,2),'Small Signal'!$B$32*'Small Signal'!$B$33*'Small Signal'!$B$8*'Small Signal'!$B$7*('Small Signal'!$B$5+'Small Signal'!$B$6)+('Small Signal'!$B$5+'Small Signal'!$B$6)*('Small Signal'!$B$9*'Small Signal'!$B$8*'Small Signal'!$B$33*'Small Signal'!$B$7)))),-1)</f>
        <v>-96.4205359041523+32.9419197767645i</v>
      </c>
      <c r="T20" s="85">
        <f t="shared" si="6"/>
        <v>40.16284781940311</v>
      </c>
      <c r="U20" s="85">
        <f t="shared" si="7"/>
        <v>161.13735073426403</v>
      </c>
      <c r="V20" s="85" t="str">
        <f t="shared" si="8"/>
        <v>-2185.05273187734+748.561929652117i</v>
      </c>
      <c r="W20" s="80">
        <f t="shared" si="9"/>
        <v>67.27118175356976</v>
      </c>
      <c r="X20" s="85">
        <f t="shared" si="10"/>
        <v>161.0894115843481</v>
      </c>
      <c r="Y20" s="85" t="str">
        <f t="shared" si="11"/>
        <v>-3967.23068267776+1358.32650929453i</v>
      </c>
      <c r="Z20" s="80">
        <f t="shared" si="12"/>
        <v>72.45116938957354</v>
      </c>
      <c r="AA20" s="85">
        <f t="shared" si="13"/>
        <v>161.09948484488777</v>
      </c>
    </row>
    <row r="21" spans="1:27" ht="12.75">
      <c r="A21" s="98" t="s">
        <v>264</v>
      </c>
      <c r="B21" s="103">
        <f>B2</f>
        <v>50</v>
      </c>
      <c r="F21" s="84">
        <v>19</v>
      </c>
      <c r="G21" s="85">
        <f>10^('Small Signal'!F21/30)</f>
        <v>4.298662347082277</v>
      </c>
      <c r="H21" s="85" t="str">
        <f t="shared" si="1"/>
        <v>27.0092920997135i</v>
      </c>
      <c r="I21" s="85">
        <f>IF('Small Signal'!$B$37&gt;=1,Q21+0,N21+0)</f>
        <v>27.108333468132173</v>
      </c>
      <c r="J21" s="85">
        <f>IF('Small Signal'!$B$37&gt;=1,R21,O21)</f>
        <v>-0.05176350160763963</v>
      </c>
      <c r="K21" s="85">
        <f>IF('Small Signal'!$B$37&gt;=1,Z21+0,W21+0)</f>
        <v>67.19611794505055</v>
      </c>
      <c r="L21" s="85">
        <f>IF('Small Signal'!$B$37&gt;=1,AA21,X21)</f>
        <v>159.70000718817246</v>
      </c>
      <c r="M21" s="85" t="str">
        <f>IMDIV(IMSUM('Small Signal'!$B$2*'Small Signal'!$B$16*'Small Signal'!$B$38,IMPRODUCT(H21,'Small Signal'!$B$2*'Small Signal'!$B$16*'Small Signal'!$B$38*'Small Signal'!$B$13*'Small Signal'!$B$14)),IMSUM(IMPRODUCT('Small Signal'!$B$11*'Small Signal'!$B$13*('Small Signal'!$B$14+'Small Signal'!$B$16),IMPOWER(H21,2)),IMSUM(IMPRODUCT(H21,('Small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22.6681718369916-0.0204794188776367i</v>
      </c>
      <c r="N21" s="85">
        <f t="shared" si="2"/>
        <v>27.108333468132173</v>
      </c>
      <c r="O21" s="85">
        <f t="shared" si="3"/>
        <v>-0.05176350160763963</v>
      </c>
      <c r="P21" s="85" t="str">
        <f>IMDIV(IMSUM('Small Signal'!$B$48,IMPRODUCT(H21,'Small Signal'!$B$49)),IMSUM(IMPRODUCT('Small Signal'!$B$52,IMPOWER(H21,2)),IMSUM(IMPRODUCT(H21,'Small Signal'!$B$51),'Small Signal'!$B$50)))</f>
        <v>41.1543700004509-0.0293680350202291i</v>
      </c>
      <c r="Q21" s="85">
        <f t="shared" si="4"/>
        <v>32.288321367702004</v>
      </c>
      <c r="R21" s="85">
        <f t="shared" si="5"/>
        <v>-0.040886646390396714</v>
      </c>
      <c r="S21" s="85" t="str">
        <f>IMPRODUCT(IMDIV(IMSUM(IMPRODUCT(H21,'Small Signal'!$B$33*'Small Signal'!$B$6*'Small Signal'!$B$27*'Small Signal'!$B$7*'Small Signal'!$B$8),'Small Signal'!$B$33*'Small Signal'!$B$6*'Small Signal'!$B$27),IMSUM(IMSUM(IMPRODUCT(H21,('Small Signal'!$B$5+'Small Signal'!$B$6)*('Small Signal'!$B$32*'Small Signal'!$B$33)+'Small Signal'!$B$5*'Small Signal'!$B$33*('Small Signal'!$B$8+'Small Signal'!$B$9)+'Small Signal'!$B$6*'Small Signal'!$B$33*('Small Signal'!$B$8+'Small Signal'!$B$9)+'Small Signal'!$B$7*'Small Signal'!$B$8*('Small Signal'!$B$5+'Small Signal'!$B$6)),'Small Signal'!$B$6+'Small Signal'!$B$5),IMPRODUCT(IMPOWER(H21,2),'Small Signal'!$B$32*'Small Signal'!$B$33*'Small Signal'!$B$8*'Small Signal'!$B$7*('Small Signal'!$B$5+'Small Signal'!$B$6)+('Small Signal'!$B$5+'Small Signal'!$B$6)*('Small Signal'!$B$9*'Small Signal'!$B$8*'Small Signal'!$B$33*'Small Signal'!$B$7)))),-1)</f>
        <v>-94.7732105460074+34.9603557817945i</v>
      </c>
      <c r="T21" s="85">
        <f t="shared" si="6"/>
        <v>40.08778447691838</v>
      </c>
      <c r="U21" s="85">
        <f t="shared" si="7"/>
        <v>159.75177068978013</v>
      </c>
      <c r="V21" s="85" t="str">
        <f t="shared" si="8"/>
        <v>-2147.61945443011+794.428252621231i</v>
      </c>
      <c r="W21" s="80">
        <f t="shared" si="9"/>
        <v>67.19611794505055</v>
      </c>
      <c r="X21" s="85">
        <f t="shared" si="10"/>
        <v>159.70000718817246</v>
      </c>
      <c r="Y21" s="85" t="str">
        <f t="shared" si="11"/>
        <v>-3899.3050559881+1441.55472015767i</v>
      </c>
      <c r="Z21" s="80">
        <f t="shared" si="12"/>
        <v>72.37610584462037</v>
      </c>
      <c r="AA21" s="85">
        <f t="shared" si="13"/>
        <v>159.7108840433897</v>
      </c>
    </row>
    <row r="22" spans="1:27" ht="12.75">
      <c r="A22" s="98" t="s">
        <v>265</v>
      </c>
      <c r="B22" s="103">
        <f>B3</f>
        <v>7.4</v>
      </c>
      <c r="F22" s="84">
        <v>20</v>
      </c>
      <c r="G22" s="85">
        <f>10^('Small Signal'!F22/30)</f>
        <v>4.641588833612779</v>
      </c>
      <c r="H22" s="85" t="str">
        <f t="shared" si="1"/>
        <v>29.1639627613246i</v>
      </c>
      <c r="I22" s="85">
        <f>IF('Small Signal'!$B$37&gt;=1,Q22+0,N22+0)</f>
        <v>27.108332924775954</v>
      </c>
      <c r="J22" s="85">
        <f>IF('Small Signal'!$B$37&gt;=1,R22,O22)</f>
        <v>-0.055892941116830075</v>
      </c>
      <c r="K22" s="85">
        <f>IF('Small Signal'!$B$37&gt;=1,Z22+0,W22+0)</f>
        <v>67.11020732903687</v>
      </c>
      <c r="L22" s="85">
        <f>IF('Small Signal'!$B$37&gt;=1,AA22,X22)</f>
        <v>158.22729940427894</v>
      </c>
      <c r="M22" s="85" t="str">
        <f>IMDIV(IMSUM('Small Signal'!$B$2*'Small Signal'!$B$16*'Small Signal'!$B$38,IMPRODUCT(H22,'Small Signal'!$B$2*'Small Signal'!$B$16*'Small Signal'!$B$38*'Small Signal'!$B$13*'Small Signal'!$B$14)),IMSUM(IMPRODUCT('Small Signal'!$B$11*'Small Signal'!$B$13*('Small Signal'!$B$14+'Small Signal'!$B$16),IMPOWER(H22,2)),IMSUM(IMPRODUCT(H22,('Small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22.668168884084-0.022113165076634i</v>
      </c>
      <c r="N22" s="85">
        <f t="shared" si="2"/>
        <v>27.108332924775954</v>
      </c>
      <c r="O22" s="85">
        <f t="shared" si="3"/>
        <v>-0.055892941116830075</v>
      </c>
      <c r="P22" s="85" t="str">
        <f>IMDIV(IMSUM('Small Signal'!$B$48,IMPRODUCT(H22,'Small Signal'!$B$49)),IMSUM(IMPRODUCT('Small Signal'!$B$52,IMPOWER(H22,2)),IMSUM(IMPRODUCT(H22,'Small Signal'!$B$51),'Small Signal'!$B$50)))</f>
        <v>41.1543671434255-0.031710873059096i</v>
      </c>
      <c r="Q22" s="85">
        <f t="shared" si="4"/>
        <v>32.288321131641176</v>
      </c>
      <c r="R22" s="85">
        <f t="shared" si="5"/>
        <v>-0.04414838466718724</v>
      </c>
      <c r="S22" s="85" t="str">
        <f>IMPRODUCT(IMDIV(IMSUM(IMPRODUCT(H22,'Small Signal'!$B$33*'Small Signal'!$B$6*'Small Signal'!$B$27*'Small Signal'!$B$7*'Small Signal'!$B$8),'Small Signal'!$B$33*'Small Signal'!$B$6*'Small Signal'!$B$27),IMSUM(IMSUM(IMPRODUCT(H22,('Small Signal'!$B$5+'Small Signal'!$B$6)*('Small Signal'!$B$32*'Small Signal'!$B$33)+'Small Signal'!$B$5*'Small Signal'!$B$33*('Small Signal'!$B$8+'Small Signal'!$B$9)+'Small Signal'!$B$6*'Small Signal'!$B$33*('Small Signal'!$B$8+'Small Signal'!$B$9)+'Small Signal'!$B$7*'Small Signal'!$B$8*('Small Signal'!$B$5+'Small Signal'!$B$6)),'Small Signal'!$B$6+'Small Signal'!$B$5),IMPRODUCT(IMPOWER(H22,2),'Small Signal'!$B$32*'Small Signal'!$B$33*'Small Signal'!$B$8*'Small Signal'!$B$7*('Small Signal'!$B$5+'Small Signal'!$B$6)+('Small Signal'!$B$5+'Small Signal'!$B$6)*('Small Signal'!$B$9*'Small Signal'!$B$8*'Small Signal'!$B$33*'Small Signal'!$B$7)))),-1)</f>
        <v>-92.9224570629079+37.0099159715016i</v>
      </c>
      <c r="T22" s="85">
        <f t="shared" si="6"/>
        <v>40.0018744042609</v>
      </c>
      <c r="U22" s="85">
        <f t="shared" si="7"/>
        <v>158.28319234539578</v>
      </c>
      <c r="V22" s="85" t="str">
        <f t="shared" si="8"/>
        <v>-2105.56354344469+841.001835260114i</v>
      </c>
      <c r="W22" s="80">
        <f t="shared" si="9"/>
        <v>67.11020732903687</v>
      </c>
      <c r="X22" s="85">
        <f t="shared" si="10"/>
        <v>158.22729940427894</v>
      </c>
      <c r="Y22" s="85" t="str">
        <f t="shared" si="11"/>
        <v>-3822.9912970888+1526.06632207877i</v>
      </c>
      <c r="Z22" s="80">
        <f t="shared" si="12"/>
        <v>72.29019553590207</v>
      </c>
      <c r="AA22" s="85">
        <f t="shared" si="13"/>
        <v>158.2390439607285</v>
      </c>
    </row>
    <row r="23" spans="1:27" ht="12.75">
      <c r="A23" s="98" t="s">
        <v>52</v>
      </c>
      <c r="B23" s="103">
        <f>B10</f>
        <v>600000</v>
      </c>
      <c r="F23" s="84">
        <v>21</v>
      </c>
      <c r="G23" s="85">
        <f>10^('Small Signal'!F23/30)</f>
        <v>5.011872336272723</v>
      </c>
      <c r="H23" s="85" t="str">
        <f t="shared" si="1"/>
        <v>31.4905226247286i</v>
      </c>
      <c r="I23" s="85">
        <f>IF('Small Signal'!$B$37&gt;=1,Q23+0,N23+0)</f>
        <v>27.108332291269225</v>
      </c>
      <c r="J23" s="85">
        <f>IF('Small Signal'!$B$37&gt;=1,R23,O23)</f>
        <v>-0.060351806754695425</v>
      </c>
      <c r="K23" s="85">
        <f>IF('Small Signal'!$B$37&gt;=1,Z23+0,W23+0)</f>
        <v>67.01214266328881</v>
      </c>
      <c r="L23" s="85">
        <f>IF('Small Signal'!$B$37&gt;=1,AA23,X23)</f>
        <v>156.6704217187465</v>
      </c>
      <c r="M23" s="85" t="str">
        <f>IMDIV(IMSUM('Small Signal'!$B$2*'Small Signal'!$B$16*'Small Signal'!$B$38,IMPRODUCT(H23,'Small Signal'!$B$2*'Small Signal'!$B$16*'Small Signal'!$B$38*'Small Signal'!$B$13*'Small Signal'!$B$14)),IMSUM(IMPRODUCT('Small Signal'!$B$11*'Small Signal'!$B$13*('Small Signal'!$B$14+'Small Signal'!$B$16),IMPOWER(H23,2)),IMSUM(IMPRODUCT(H23,('Small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22.6681654412475-0.023877242927583i</v>
      </c>
      <c r="N23" s="85">
        <f t="shared" si="2"/>
        <v>27.108332291269225</v>
      </c>
      <c r="O23" s="85">
        <f t="shared" si="3"/>
        <v>-0.060351806754695425</v>
      </c>
      <c r="P23" s="85" t="str">
        <f>IMDIV(IMSUM('Small Signal'!$B$48,IMPRODUCT(H23,'Small Signal'!$B$49)),IMSUM(IMPRODUCT('Small Signal'!$B$52,IMPOWER(H23,2)),IMSUM(IMPRODUCT(H23,'Small Signal'!$B$51),'Small Signal'!$B$50)))</f>
        <v>41.1543638123789-0.0342406109369216i</v>
      </c>
      <c r="Q23" s="85">
        <f t="shared" si="4"/>
        <v>32.28832085641449</v>
      </c>
      <c r="R23" s="85">
        <f t="shared" si="5"/>
        <v>-0.04767032849532856</v>
      </c>
      <c r="S23" s="85" t="str">
        <f>IMPRODUCT(IMDIV(IMSUM(IMPRODUCT(H23,'Small Signal'!$B$33*'Small Signal'!$B$6*'Small Signal'!$B$27*'Small Signal'!$B$7*'Small Signal'!$B$8),'Small Signal'!$B$33*'Small Signal'!$B$6*'Small Signal'!$B$27),IMSUM(IMSUM(IMPRODUCT(H23,('Small Signal'!$B$5+'Small Signal'!$B$6)*('Small Signal'!$B$32*'Small Signal'!$B$33)+'Small Signal'!$B$5*'Small Signal'!$B$33*('Small Signal'!$B$8+'Small Signal'!$B$9)+'Small Signal'!$B$6*'Small Signal'!$B$33*('Small Signal'!$B$8+'Small Signal'!$B$9)+'Small Signal'!$B$7*'Small Signal'!$B$8*('Small Signal'!$B$5+'Small Signal'!$B$6)),'Small Signal'!$B$6+'Small Signal'!$B$5),IMPRODUCT(IMPOWER(H23,2),'Small Signal'!$B$32*'Small Signal'!$B$33*'Small Signal'!$B$8*'Small Signal'!$B$7*('Small Signal'!$B$5+'Small Signal'!$B$6)+('Small Signal'!$B$5+'Small Signal'!$B$6)*('Small Signal'!$B$9*'Small Signal'!$B$8*'Small Signal'!$B$33*'Small Signal'!$B$7)))),-1)</f>
        <v>-90.8541373277855+39.0701381396412i</v>
      </c>
      <c r="T23" s="85">
        <f t="shared" si="6"/>
        <v>39.90381037201958</v>
      </c>
      <c r="U23" s="85">
        <f t="shared" si="7"/>
        <v>156.73077352550115</v>
      </c>
      <c r="V23" s="85" t="str">
        <f t="shared" si="8"/>
        <v>-2058.56372878849+887.817701469732i</v>
      </c>
      <c r="W23" s="80">
        <f t="shared" si="9"/>
        <v>67.01214266328881</v>
      </c>
      <c r="X23" s="85">
        <f t="shared" si="10"/>
        <v>156.6704217187465</v>
      </c>
      <c r="Y23" s="85" t="str">
        <f t="shared" si="11"/>
        <v>-3737.70643604823+1611.01758036694i</v>
      </c>
      <c r="Z23" s="80">
        <f t="shared" si="12"/>
        <v>72.19213122843406</v>
      </c>
      <c r="AA23" s="85">
        <f t="shared" si="13"/>
        <v>156.6831031970059</v>
      </c>
    </row>
    <row r="24" spans="1:27" ht="12.75">
      <c r="A24" s="98" t="s">
        <v>277</v>
      </c>
      <c r="B24" s="99">
        <f>'Design Equations CCM'!B14</f>
        <v>3</v>
      </c>
      <c r="F24" s="84">
        <v>22</v>
      </c>
      <c r="G24" s="85">
        <f>10^('Small Signal'!F24/30)</f>
        <v>5.411695265464637</v>
      </c>
      <c r="H24" s="85" t="str">
        <f t="shared" si="1"/>
        <v>34.0026841789007i</v>
      </c>
      <c r="I24" s="85">
        <f>IF('Small Signal'!$B$37&gt;=1,Q24+0,N24+0)</f>
        <v>27.108331552654718</v>
      </c>
      <c r="J24" s="85">
        <f>IF('Small Signal'!$B$37&gt;=1,R24,O24)</f>
        <v>-0.06516637839433932</v>
      </c>
      <c r="K24" s="85">
        <f>IF('Small Signal'!$B$37&gt;=1,Z24+0,W24+0)</f>
        <v>66.9005352997687</v>
      </c>
      <c r="L24" s="85">
        <f>IF('Small Signal'!$B$37&gt;=1,AA24,X24)</f>
        <v>155.0294258081298</v>
      </c>
      <c r="M24" s="85" t="str">
        <f>IMDIV(IMSUM('Small Signal'!$B$2*'Small Signal'!$B$16*'Small Signal'!$B$38,IMPRODUCT(H24,'Small Signal'!$B$2*'Small Signal'!$B$16*'Small Signal'!$B$38*'Small Signal'!$B$13*'Small Signal'!$B$14)),IMSUM(IMPRODUCT('Small Signal'!$B$11*'Small Signal'!$B$13*('Small Signal'!$B$14+'Small Signal'!$B$16),IMPOWER(H24,2)),IMSUM(IMPRODUCT(H24,('Small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22.6681614271961-0.025782049473713i</v>
      </c>
      <c r="N24" s="85">
        <f t="shared" si="2"/>
        <v>27.108331552654718</v>
      </c>
      <c r="O24" s="85">
        <f t="shared" si="3"/>
        <v>-0.06516637839433932</v>
      </c>
      <c r="P24" s="85" t="str">
        <f>IMDIV(IMSUM('Small Signal'!$B$48,IMPRODUCT(H24,'Small Signal'!$B$49)),IMSUM(IMPRODUCT('Small Signal'!$B$52,IMPOWER(H24,2)),IMSUM(IMPRODUCT(H24,'Small Signal'!$B$51),'Small Signal'!$B$50)))</f>
        <v>41.1543599286641-0.0369721585032425i</v>
      </c>
      <c r="Q24" s="85">
        <f t="shared" si="4"/>
        <v>32.288320535523724</v>
      </c>
      <c r="R24" s="85">
        <f t="shared" si="5"/>
        <v>-0.051473235776298504</v>
      </c>
      <c r="S24" s="85" t="str">
        <f>IMPRODUCT(IMDIV(IMSUM(IMPRODUCT(H24,'Small Signal'!$B$33*'Small Signal'!$B$6*'Small Signal'!$B$27*'Small Signal'!$B$7*'Small Signal'!$B$8),'Small Signal'!$B$33*'Small Signal'!$B$6*'Small Signal'!$B$27),IMSUM(IMSUM(IMPRODUCT(H24,('Small Signal'!$B$5+'Small Signal'!$B$6)*('Small Signal'!$B$32*'Small Signal'!$B$33)+'Small Signal'!$B$5*'Small Signal'!$B$33*('Small Signal'!$B$8+'Small Signal'!$B$9)+'Small Signal'!$B$6*'Small Signal'!$B$33*('Small Signal'!$B$8+'Small Signal'!$B$9)+'Small Signal'!$B$7*'Small Signal'!$B$8*('Small Signal'!$B$5+'Small Signal'!$B$6)),'Small Signal'!$B$6+'Small Signal'!$B$5),IMPRODUCT(IMPOWER(H24,2),'Small Signal'!$B$32*'Small Signal'!$B$33*'Small Signal'!$B$8*'Small Signal'!$B$7*('Small Signal'!$B$5+'Small Signal'!$B$6)+('Small Signal'!$B$5+'Small Signal'!$B$6)*('Small Signal'!$B$9*'Small Signal'!$B$8*'Small Signal'!$B$33*'Small Signal'!$B$7)))),-1)</f>
        <v>-88.5563115603356+41.1166309179537i</v>
      </c>
      <c r="T24" s="85">
        <f t="shared" si="6"/>
        <v>39.79220374711399</v>
      </c>
      <c r="U24" s="85">
        <f t="shared" si="7"/>
        <v>155.09459218652412</v>
      </c>
      <c r="V24" s="85" t="str">
        <f t="shared" si="8"/>
        <v>-2006.34869483424+934.321590196475i</v>
      </c>
      <c r="W24" s="80">
        <f t="shared" si="9"/>
        <v>66.9005352997687</v>
      </c>
      <c r="X24" s="85">
        <f t="shared" si="10"/>
        <v>155.0294258081298</v>
      </c>
      <c r="Y24" s="85" t="str">
        <f t="shared" si="11"/>
        <v>-3642.95814931355+1695.40274583898i</v>
      </c>
      <c r="Z24" s="80">
        <f t="shared" si="12"/>
        <v>72.08052428263771</v>
      </c>
      <c r="AA24" s="85">
        <f t="shared" si="13"/>
        <v>155.04311895074778</v>
      </c>
    </row>
    <row r="25" spans="1:27" ht="12.75">
      <c r="A25" s="98" t="s">
        <v>278</v>
      </c>
      <c r="B25" s="103">
        <f>'Design Equations CCM'!B15</f>
        <v>0.1</v>
      </c>
      <c r="F25" s="84">
        <v>23</v>
      </c>
      <c r="G25" s="85">
        <f>10^('Small Signal'!F25/30)</f>
        <v>5.843414133735178</v>
      </c>
      <c r="H25" s="85" t="str">
        <f t="shared" si="1"/>
        <v>36.7152538288504i</v>
      </c>
      <c r="I25" s="85">
        <f>IF('Small Signal'!$B$37&gt;=1,Q25+0,N25+0)</f>
        <v>27.108330691493627</v>
      </c>
      <c r="J25" s="85">
        <f>IF('Small Signal'!$B$37&gt;=1,R25,O25)</f>
        <v>-0.07036503235122517</v>
      </c>
      <c r="K25" s="85">
        <f>IF('Small Signal'!$B$37&gt;=1,Z25+0,W25+0)</f>
        <v>66.77393186254464</v>
      </c>
      <c r="L25" s="85">
        <f>IF('Small Signal'!$B$37&gt;=1,AA25,X25)</f>
        <v>153.30544133515482</v>
      </c>
      <c r="M25" s="85" t="str">
        <f>IMDIV(IMSUM('Small Signal'!$B$2*'Small Signal'!$B$16*'Small Signal'!$B$38,IMPRODUCT(H25,'Small Signal'!$B$2*'Small Signal'!$B$16*'Small Signal'!$B$38*'Small Signal'!$B$13*'Small Signal'!$B$14)),IMSUM(IMPRODUCT('Small Signal'!$B$11*'Small Signal'!$B$13*('Small Signal'!$B$14+'Small Signal'!$B$16),IMPOWER(H25,2)),IMSUM(IMPRODUCT(H25,('Small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22.6681567471576-0.0278388111360445i</v>
      </c>
      <c r="N25" s="85">
        <f t="shared" si="2"/>
        <v>27.108330691493627</v>
      </c>
      <c r="O25" s="85">
        <f t="shared" si="3"/>
        <v>-0.07036503235122517</v>
      </c>
      <c r="P25" s="85" t="str">
        <f>IMDIV(IMSUM('Small Signal'!$B$48,IMPRODUCT(H25,'Small Signal'!$B$49)),IMSUM(IMPRODUCT('Small Signal'!$B$52,IMPOWER(H25,2)),IMSUM(IMPRODUCT(H25,'Small Signal'!$B$51),'Small Signal'!$B$50)))</f>
        <v>41.1543554005858-0.0399216150133695i</v>
      </c>
      <c r="Q25" s="85">
        <f t="shared" si="4"/>
        <v>32.2883201613926</v>
      </c>
      <c r="R25" s="85">
        <f t="shared" si="5"/>
        <v>-0.05557952036653688</v>
      </c>
      <c r="S25" s="85" t="str">
        <f>IMPRODUCT(IMDIV(IMSUM(IMPRODUCT(H25,'Small Signal'!$B$33*'Small Signal'!$B$6*'Small Signal'!$B$27*'Small Signal'!$B$7*'Small Signal'!$B$8),'Small Signal'!$B$33*'Small Signal'!$B$6*'Small Signal'!$B$27),IMSUM(IMSUM(IMPRODUCT(H25,('Small Signal'!$B$5+'Small Signal'!$B$6)*('Small Signal'!$B$32*'Small Signal'!$B$33)+'Small Signal'!$B$5*'Small Signal'!$B$33*('Small Signal'!$B$8+'Small Signal'!$B$9)+'Small Signal'!$B$6*'Small Signal'!$B$33*('Small Signal'!$B$8+'Small Signal'!$B$9)+'Small Signal'!$B$7*'Small Signal'!$B$8*('Small Signal'!$B$5+'Small Signal'!$B$6)),'Small Signal'!$B$6+'Small Signal'!$B$5),IMPRODUCT(IMPOWER(H25,2),'Small Signal'!$B$32*'Small Signal'!$B$33*'Small Signal'!$B$8*'Small Signal'!$B$7*('Small Signal'!$B$5+'Small Signal'!$B$6)+('Small Signal'!$B$5+'Small Signal'!$B$6)*('Small Signal'!$B$9*'Small Signal'!$B$8*'Small Signal'!$B$33*'Small Signal'!$B$7)))),-1)</f>
        <v>-86.0202334232073+43.1211649584723i</v>
      </c>
      <c r="T25" s="85">
        <f t="shared" si="6"/>
        <v>39.66560117105102</v>
      </c>
      <c r="U25" s="85">
        <f t="shared" si="7"/>
        <v>153.3758063675061</v>
      </c>
      <c r="V25" s="85" t="str">
        <f t="shared" si="8"/>
        <v>-1948.7196926971+979.872027430837i</v>
      </c>
      <c r="W25" s="80">
        <f t="shared" si="9"/>
        <v>66.77393186254464</v>
      </c>
      <c r="X25" s="85">
        <f t="shared" si="10"/>
        <v>153.30544133515482</v>
      </c>
      <c r="Y25" s="85" t="str">
        <f t="shared" si="11"/>
        <v>-3538.38579139362+1778.05781463034i</v>
      </c>
      <c r="Z25" s="80">
        <f t="shared" si="12"/>
        <v>71.95392133244363</v>
      </c>
      <c r="AA25" s="85">
        <f t="shared" si="13"/>
        <v>153.3202268471395</v>
      </c>
    </row>
    <row r="26" spans="6:27" ht="12.75">
      <c r="F26" s="84">
        <v>24</v>
      </c>
      <c r="G26" s="85">
        <f>10^('Small Signal'!F26/30)</f>
        <v>6.309573444801934</v>
      </c>
      <c r="H26" s="85" t="str">
        <f t="shared" si="1"/>
        <v>39.64421916295i</v>
      </c>
      <c r="I26" s="85">
        <f>IF('Small Signal'!$B$37&gt;=1,Q26+0,N26+0)</f>
        <v>27.10832968745363</v>
      </c>
      <c r="J26" s="85">
        <f>IF('Small Signal'!$B$37&gt;=1,R26,O26)</f>
        <v>-0.07597840861716218</v>
      </c>
      <c r="K26" s="85">
        <f>IF('Small Signal'!$B$37&gt;=1,Z26+0,W26+0)</f>
        <v>66.63083736326861</v>
      </c>
      <c r="L26" s="85">
        <f>IF('Small Signal'!$B$37&gt;=1,AA26,X26)</f>
        <v>151.50082682033639</v>
      </c>
      <c r="M26" s="85" t="str">
        <f>IMDIV(IMSUM('Small Signal'!$B$2*'Small Signal'!$B$16*'Small Signal'!$B$38,IMPRODUCT(H26,'Small Signal'!$B$2*'Small Signal'!$B$16*'Small Signal'!$B$38*'Small Signal'!$B$13*'Small Signal'!$B$14)),IMSUM(IMPRODUCT('Small Signal'!$B$11*'Small Signal'!$B$13*('Small Signal'!$B$14+'Small Signal'!$B$16),IMPOWER(H26,2)),IMSUM(IMPRODUCT(H26,('Small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22.6681512906354-0.0300596498647021i</v>
      </c>
      <c r="N26" s="85">
        <f t="shared" si="2"/>
        <v>27.10832968745363</v>
      </c>
      <c r="O26" s="85">
        <f t="shared" si="3"/>
        <v>-0.07597840861716218</v>
      </c>
      <c r="P26" s="85" t="str">
        <f>IMDIV(IMSUM('Small Signal'!$B$48,IMPRODUCT(H26,'Small Signal'!$B$49)),IMSUM(IMPRODUCT('Small Signal'!$B$52,IMPOWER(H26,2)),IMSUM(IMPRODUCT(H26,'Small Signal'!$B$51),'Small Signal'!$B$50)))</f>
        <v>41.154350121235-0.043106364005684i</v>
      </c>
      <c r="Q26" s="85">
        <f t="shared" si="4"/>
        <v>32.288319725187755</v>
      </c>
      <c r="R26" s="85">
        <f t="shared" si="5"/>
        <v>-0.060013384178929964</v>
      </c>
      <c r="S26" s="85" t="str">
        <f>IMPRODUCT(IMDIV(IMSUM(IMPRODUCT(H26,'Small Signal'!$B$33*'Small Signal'!$B$6*'Small Signal'!$B$27*'Small Signal'!$B$7*'Small Signal'!$B$8),'Small Signal'!$B$33*'Small Signal'!$B$6*'Small Signal'!$B$27),IMSUM(IMSUM(IMPRODUCT(H26,('Small Signal'!$B$5+'Small Signal'!$B$6)*('Small Signal'!$B$32*'Small Signal'!$B$33)+'Small Signal'!$B$5*'Small Signal'!$B$33*('Small Signal'!$B$8+'Small Signal'!$B$9)+'Small Signal'!$B$6*'Small Signal'!$B$33*('Small Signal'!$B$8+'Small Signal'!$B$9)+'Small Signal'!$B$7*'Small Signal'!$B$8*('Small Signal'!$B$5+'Small Signal'!$B$6)),'Small Signal'!$B$6+'Small Signal'!$B$5),IMPRODUCT(IMPOWER(H26,2),'Small Signal'!$B$32*'Small Signal'!$B$33*'Small Signal'!$B$8*'Small Signal'!$B$7*('Small Signal'!$B$5+'Small Signal'!$B$6)+('Small Signal'!$B$5+'Small Signal'!$B$6)*('Small Signal'!$B$9*'Small Signal'!$B$8*'Small Signal'!$B$33*'Small Signal'!$B$7)))),-1)</f>
        <v>-83.2414196495768+45.0520272783029i</v>
      </c>
      <c r="T26" s="85">
        <f t="shared" si="6"/>
        <v>39.52250767581497</v>
      </c>
      <c r="U26" s="85">
        <f t="shared" si="7"/>
        <v>151.5768052289535</v>
      </c>
      <c r="V26" s="85" t="str">
        <f t="shared" si="8"/>
        <v>-1885.5748460982+1023.74837822331i</v>
      </c>
      <c r="W26" s="80">
        <f t="shared" si="9"/>
        <v>66.63083736326861</v>
      </c>
      <c r="X26" s="85">
        <f t="shared" si="10"/>
        <v>151.50082682033639</v>
      </c>
      <c r="Y26" s="85" t="str">
        <f t="shared" si="11"/>
        <v>-3423.80449976028+1857.67513921847i</v>
      </c>
      <c r="Z26" s="80">
        <f t="shared" si="12"/>
        <v>71.81082740100273</v>
      </c>
      <c r="AA26" s="85">
        <f t="shared" si="13"/>
        <v>151.5167918447746</v>
      </c>
    </row>
    <row r="27" spans="1:27" ht="12.75">
      <c r="A27" s="104" t="s">
        <v>227</v>
      </c>
      <c r="B27" s="105">
        <f>gmea</f>
        <v>0.00035</v>
      </c>
      <c r="F27" s="84">
        <v>25</v>
      </c>
      <c r="G27" s="85">
        <f>10^('Small Signal'!F27/30)</f>
        <v>6.812920690579614</v>
      </c>
      <c r="H27" s="85" t="str">
        <f t="shared" si="1"/>
        <v>42.8068431820296i</v>
      </c>
      <c r="I27" s="85">
        <f>IF('Small Signal'!$B$37&gt;=1,Q27+0,N27+0)</f>
        <v>27.108328516829275</v>
      </c>
      <c r="J27" s="85">
        <f>IF('Small Signal'!$B$37&gt;=1,R27,O27)</f>
        <v>-0.082039591432814</v>
      </c>
      <c r="K27" s="85">
        <f>IF('Small Signal'!$B$37&gt;=1,Z27+0,W27+0)</f>
        <v>66.46974500460074</v>
      </c>
      <c r="L27" s="85">
        <f>IF('Small Signal'!$B$37&gt;=1,AA27,X27)</f>
        <v>149.61929973508927</v>
      </c>
      <c r="M27" s="85" t="str">
        <f>IMDIV(IMSUM('Small Signal'!$B$2*'Small Signal'!$B$16*'Small Signal'!$B$38,IMPRODUCT(H27,'Small Signal'!$B$2*'Small Signal'!$B$16*'Small Signal'!$B$38*'Small Signal'!$B$13*'Small Signal'!$B$14)),IMSUM(IMPRODUCT('Small Signal'!$B$11*'Small Signal'!$B$13*('Small Signal'!$B$14+'Small Signal'!$B$16),IMPOWER(H27,2)),IMSUM(IMPRODUCT(H27,('Small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22.6681449288009-0.0324576545642437i</v>
      </c>
      <c r="N27" s="85">
        <f t="shared" si="2"/>
        <v>27.108328516829275</v>
      </c>
      <c r="O27" s="85">
        <f t="shared" si="3"/>
        <v>-0.082039591432814</v>
      </c>
      <c r="P27" s="85" t="str">
        <f>IMDIV(IMSUM('Small Signal'!$B$48,IMPRODUCT(H27,'Small Signal'!$B$49)),IMSUM(IMPRODUCT('Small Signal'!$B$52,IMPOWER(H27,2)),IMSUM(IMPRODUCT(H27,'Small Signal'!$B$51),'Small Signal'!$B$50)))</f>
        <v>41.1543439659652-0.0465451757457849i</v>
      </c>
      <c r="Q27" s="85">
        <f t="shared" si="4"/>
        <v>32.28831921661032</v>
      </c>
      <c r="R27" s="85">
        <f t="shared" si="5"/>
        <v>-0.06480095982204521</v>
      </c>
      <c r="S27" s="85" t="str">
        <f>IMPRODUCT(IMDIV(IMSUM(IMPRODUCT(H27,'Small Signal'!$B$33*'Small Signal'!$B$6*'Small Signal'!$B$27*'Small Signal'!$B$7*'Small Signal'!$B$8),'Small Signal'!$B$33*'Small Signal'!$B$6*'Small Signal'!$B$27),IMSUM(IMSUM(IMPRODUCT(H27,('Small Signal'!$B$5+'Small Signal'!$B$6)*('Small Signal'!$B$32*'Small Signal'!$B$33)+'Small Signal'!$B$5*'Small Signal'!$B$33*('Small Signal'!$B$8+'Small Signal'!$B$9)+'Small Signal'!$B$6*'Small Signal'!$B$33*('Small Signal'!$B$8+'Small Signal'!$B$9)+'Small Signal'!$B$7*'Small Signal'!$B$8*('Small Signal'!$B$5+'Small Signal'!$B$6)),'Small Signal'!$B$6+'Small Signal'!$B$5),IMPRODUCT(IMPOWER(H27,2),'Small Signal'!$B$32*'Small Signal'!$B$33*'Small Signal'!$B$8*'Small Signal'!$B$7*('Small Signal'!$B$5+'Small Signal'!$B$6)+('Small Signal'!$B$5+'Small Signal'!$B$6)*('Small Signal'!$B$9*'Small Signal'!$B$8*'Small Signal'!$B$33*'Small Signal'!$B$7)))),-1)</f>
        <v>-80.220721333717+46.8746891417398i</v>
      </c>
      <c r="T27" s="85">
        <f t="shared" si="6"/>
        <v>39.361416487771464</v>
      </c>
      <c r="U27" s="85">
        <f t="shared" si="7"/>
        <v>149.701339326522</v>
      </c>
      <c r="V27" s="85" t="str">
        <f t="shared" si="8"/>
        <v>-1816.93349501768+1065.16602341939i</v>
      </c>
      <c r="W27" s="80">
        <f t="shared" si="9"/>
        <v>66.46974500460074</v>
      </c>
      <c r="X27" s="85">
        <f t="shared" si="10"/>
        <v>149.61929973508927</v>
      </c>
      <c r="Y27" s="85" t="str">
        <f t="shared" si="11"/>
        <v>-3299.2493683215+1932.83096780979i</v>
      </c>
      <c r="Z27" s="80">
        <f t="shared" si="12"/>
        <v>71.64973570438178</v>
      </c>
      <c r="AA27" s="85">
        <f t="shared" si="13"/>
        <v>149.63653836669988</v>
      </c>
    </row>
    <row r="28" spans="1:27" ht="12.75">
      <c r="A28" s="104" t="s">
        <v>279</v>
      </c>
      <c r="B28" s="69">
        <v>1000</v>
      </c>
      <c r="F28" s="84">
        <v>26</v>
      </c>
      <c r="G28" s="85">
        <f>10^('Small Signal'!F28/30)</f>
        <v>7.356422544596415</v>
      </c>
      <c r="H28" s="85" t="str">
        <f t="shared" si="1"/>
        <v>46.2217660456129i</v>
      </c>
      <c r="I28" s="85">
        <f>IF('Small Signal'!$B$37&gt;=1,Q28+0,N28+0)</f>
        <v>27.108327151981864</v>
      </c>
      <c r="J28" s="85">
        <f>IF('Small Signal'!$B$37&gt;=1,R28,O28)</f>
        <v>-0.08858430426212967</v>
      </c>
      <c r="K28" s="85">
        <f>IF('Small Signal'!$B$37&gt;=1,Z28+0,W28+0)</f>
        <v>66.28917238813816</v>
      </c>
      <c r="L28" s="85">
        <f>IF('Small Signal'!$B$37&gt;=1,AA28,X28)</f>
        <v>147.666032285919</v>
      </c>
      <c r="M28" s="85" t="str">
        <f>IMDIV(IMSUM('Small Signal'!$B$2*'Small Signal'!$B$16*'Small Signal'!$B$38,IMPRODUCT(H28,'Small Signal'!$B$2*'Small Signal'!$B$16*'Small Signal'!$B$38*'Small Signal'!$B$13*'Small Signal'!$B$14)),IMSUM(IMPRODUCT('Small Signal'!$B$11*'Small Signal'!$B$13*('Small Signal'!$B$14+'Small Signal'!$B$16),IMPOWER(H28,2)),IMSUM(IMPRODUCT(H28,('Small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22.6681375114507-0.0350469582128989i</v>
      </c>
      <c r="N28" s="85">
        <f t="shared" si="2"/>
        <v>27.108327151981864</v>
      </c>
      <c r="O28" s="85">
        <f t="shared" si="3"/>
        <v>-0.08858430426212967</v>
      </c>
      <c r="P28" s="85" t="str">
        <f>IMDIV(IMSUM('Small Signal'!$B$48,IMPRODUCT(H28,'Small Signal'!$B$49)),IMSUM(IMPRODUCT('Small Signal'!$B$52,IMPOWER(H28,2)),IMSUM(IMPRODUCT(H28,'Small Signal'!$B$51),'Small Signal'!$B$50)))</f>
        <v>41.1543367894492-0.0502583178406099i</v>
      </c>
      <c r="Q28" s="85">
        <f t="shared" si="4"/>
        <v>32.288318623652614</v>
      </c>
      <c r="R28" s="85">
        <f t="shared" si="5"/>
        <v>-0.06997046461758961</v>
      </c>
      <c r="S28" s="85" t="str">
        <f>IMPRODUCT(IMDIV(IMSUM(IMPRODUCT(H28,'Small Signal'!$B$33*'Small Signal'!$B$6*'Small Signal'!$B$27*'Small Signal'!$B$7*'Small Signal'!$B$8),'Small Signal'!$B$33*'Small Signal'!$B$6*'Small Signal'!$B$27),IMSUM(IMSUM(IMPRODUCT(H28,('Small Signal'!$B$5+'Small Signal'!$B$6)*('Small Signal'!$B$32*'Small Signal'!$B$33)+'Small Signal'!$B$5*'Small Signal'!$B$33*('Small Signal'!$B$8+'Small Signal'!$B$9)+'Small Signal'!$B$6*'Small Signal'!$B$33*('Small Signal'!$B$8+'Small Signal'!$B$9)+'Small Signal'!$B$7*'Small Signal'!$B$8*('Small Signal'!$B$5+'Small Signal'!$B$6)),'Small Signal'!$B$6+'Small Signal'!$B$5),IMPRODUCT(IMPOWER(H28,2),'Small Signal'!$B$32*'Small Signal'!$B$33*'Small Signal'!$B$8*'Small Signal'!$B$7*('Small Signal'!$B$5+'Small Signal'!$B$6)+('Small Signal'!$B$5+'Small Signal'!$B$6)*('Small Signal'!$B$9*'Small Signal'!$B$8*'Small Signal'!$B$33*'Small Signal'!$B$7)))),-1)</f>
        <v>-76.9652982352055+48.5528168685259i</v>
      </c>
      <c r="T28" s="85">
        <f t="shared" si="6"/>
        <v>39.1808452361563</v>
      </c>
      <c r="U28" s="85">
        <f t="shared" si="7"/>
        <v>147.75461659018112</v>
      </c>
      <c r="V28" s="85" t="str">
        <f t="shared" si="8"/>
        <v>-1742.95833546154+1103.29932893512i</v>
      </c>
      <c r="W28" s="80">
        <f t="shared" si="9"/>
        <v>66.28917238813816</v>
      </c>
      <c r="X28" s="85">
        <f t="shared" si="10"/>
        <v>147.666032285919</v>
      </c>
      <c r="Y28" s="85" t="str">
        <f t="shared" si="11"/>
        <v>-3165.01562176981+2002.02712390517i</v>
      </c>
      <c r="Z28" s="80">
        <f t="shared" si="12"/>
        <v>71.46916385980892</v>
      </c>
      <c r="AA28" s="85">
        <f t="shared" si="13"/>
        <v>147.6846461255635</v>
      </c>
    </row>
    <row r="29" spans="1:27" ht="12.75">
      <c r="A29" s="104" t="s">
        <v>280</v>
      </c>
      <c r="B29" s="69">
        <f>2*3.14159*4000000</f>
        <v>25132720</v>
      </c>
      <c r="F29" s="84">
        <v>27</v>
      </c>
      <c r="G29" s="85">
        <f>10^('Small Signal'!F29/30)</f>
        <v>7.943282347242818</v>
      </c>
      <c r="H29" s="85" t="str">
        <f t="shared" si="1"/>
        <v>49.9091149349751i</v>
      </c>
      <c r="I29" s="85">
        <f>IF('Small Signal'!$B$37&gt;=1,Q29+0,N29+0)</f>
        <v>27.108325560687163</v>
      </c>
      <c r="J29" s="85">
        <f>IF('Small Signal'!$B$37&gt;=1,R29,O29)</f>
        <v>-0.09565112031677574</v>
      </c>
      <c r="K29" s="85">
        <f>IF('Small Signal'!$B$37&gt;=1,Z29+0,W29+0)</f>
        <v>66.0877031653711</v>
      </c>
      <c r="L29" s="85">
        <f>IF('Small Signal'!$B$37&gt;=1,AA29,X29)</f>
        <v>145.6476988053123</v>
      </c>
      <c r="M29" s="85" t="str">
        <f>IMDIV(IMSUM('Small Signal'!$B$2*'Small Signal'!$B$16*'Small Signal'!$B$38,IMPRODUCT(H29,'Small Signal'!$B$2*'Small Signal'!$B$16*'Small Signal'!$B$38*'Small Signal'!$B$13*'Small Signal'!$B$14)),IMSUM(IMPRODUCT('Small Signal'!$B$11*'Small Signal'!$B$13*('Small Signal'!$B$14+'Small Signal'!$B$16),IMPOWER(H29,2)),IMSUM(IMPRODUCT(H29,('Small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22.6681288634612-0.0378428211289095i</v>
      </c>
      <c r="N29" s="85">
        <f t="shared" si="2"/>
        <v>27.108325560687163</v>
      </c>
      <c r="O29" s="85">
        <f t="shared" si="3"/>
        <v>-0.09565112031677574</v>
      </c>
      <c r="P29" s="85" t="str">
        <f>IMDIV(IMSUM('Small Signal'!$B$48,IMPRODUCT(H29,'Small Signal'!$B$49)),IMSUM(IMPRODUCT('Small Signal'!$B$52,IMPOWER(H29,2)),IMSUM(IMPRODUCT(H29,'Small Signal'!$B$51),'Small Signal'!$B$50)))</f>
        <v>41.1543284222481-0.0542676746736395i</v>
      </c>
      <c r="Q29" s="85">
        <f t="shared" si="4"/>
        <v>32.28831793231477</v>
      </c>
      <c r="R29" s="85">
        <f t="shared" si="5"/>
        <v>-0.07555236690357195</v>
      </c>
      <c r="S29" s="85" t="str">
        <f>IMPRODUCT(IMDIV(IMSUM(IMPRODUCT(H29,'Small Signal'!$B$33*'Small Signal'!$B$6*'Small Signal'!$B$27*'Small Signal'!$B$7*'Small Signal'!$B$8),'Small Signal'!$B$33*'Small Signal'!$B$6*'Small Signal'!$B$27),IMSUM(IMSUM(IMPRODUCT(H29,('Small Signal'!$B$5+'Small Signal'!$B$6)*('Small Signal'!$B$32*'Small Signal'!$B$33)+'Small Signal'!$B$5*'Small Signal'!$B$33*('Small Signal'!$B$8+'Small Signal'!$B$9)+'Small Signal'!$B$6*'Small Signal'!$B$33*('Small Signal'!$B$8+'Small Signal'!$B$9)+'Small Signal'!$B$7*'Small Signal'!$B$8*('Small Signal'!$B$5+'Small Signal'!$B$6)),'Small Signal'!$B$6+'Small Signal'!$B$5),IMPRODUCT(IMPOWER(H29,2),'Small Signal'!$B$32*'Small Signal'!$B$33*'Small Signal'!$B$8*'Small Signal'!$B$7*('Small Signal'!$B$5+'Small Signal'!$B$6)+('Small Signal'!$B$5+'Small Signal'!$B$6)*('Small Signal'!$B$9*'Small Signal'!$B$8*'Small Signal'!$B$33*'Small Signal'!$B$7)))),-1)</f>
        <v>-73.4893777913547+50.0496211485767i</v>
      </c>
      <c r="T29" s="85">
        <f t="shared" si="6"/>
        <v>38.97937760468393</v>
      </c>
      <c r="U29" s="85">
        <f t="shared" si="7"/>
        <v>145.74334992562896</v>
      </c>
      <c r="V29" s="85" t="str">
        <f t="shared" si="8"/>
        <v>-1663.97266700932+1137.31230714198i</v>
      </c>
      <c r="W29" s="80">
        <f t="shared" si="9"/>
        <v>66.0877031653711</v>
      </c>
      <c r="X29" s="85">
        <f t="shared" si="10"/>
        <v>145.6476988053123</v>
      </c>
      <c r="Y29" s="85" t="str">
        <f t="shared" si="11"/>
        <v>-3021.68991261405+2063.74664380357i</v>
      </c>
      <c r="Z29" s="80">
        <f t="shared" si="12"/>
        <v>71.2676955369987</v>
      </c>
      <c r="AA29" s="85">
        <f t="shared" si="13"/>
        <v>145.6677975587254</v>
      </c>
    </row>
    <row r="30" spans="1:27" ht="12.75">
      <c r="A30" s="104" t="s">
        <v>281</v>
      </c>
      <c r="B30" s="69">
        <f>1/'Design Equations CCM'!B176</f>
        <v>0.08333333333333333</v>
      </c>
      <c r="F30" s="84">
        <v>28</v>
      </c>
      <c r="G30" s="85">
        <f>10^('Small Signal'!F30/30)</f>
        <v>8.576958985908941</v>
      </c>
      <c r="H30" s="85" t="str">
        <f t="shared" si="1"/>
        <v>53.890622680545i</v>
      </c>
      <c r="I30" s="85">
        <f>IF('Small Signal'!$B$37&gt;=1,Q30+0,N30+0)</f>
        <v>27.10832370537449</v>
      </c>
      <c r="J30" s="85">
        <f>IF('Small Signal'!$B$37&gt;=1,R30,O30)</f>
        <v>-0.10328168986999624</v>
      </c>
      <c r="K30" s="85">
        <f>IF('Small Signal'!$B$37&gt;=1,Z30+0,W30+0)</f>
        <v>65.86403240615586</v>
      </c>
      <c r="L30" s="85">
        <f>IF('Small Signal'!$B$37&gt;=1,AA30,X30)</f>
        <v>143.57246173399793</v>
      </c>
      <c r="M30" s="85" t="str">
        <f>IMDIV(IMSUM('Small Signal'!$B$2*'Small Signal'!$B$16*'Small Signal'!$B$38,IMPRODUCT(H30,'Small Signal'!$B$2*'Small Signal'!$B$16*'Small Signal'!$B$38*'Small Signal'!$B$13*'Small Signal'!$B$14)),IMSUM(IMPRODUCT('Small Signal'!$B$11*'Small Signal'!$B$13*('Small Signal'!$B$14+'Small Signal'!$B$16),IMPOWER(H30,2)),IMSUM(IMPRODUCT(H30,('Small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22.6681187806537-0.0408617208730289i</v>
      </c>
      <c r="N30" s="85">
        <f t="shared" si="2"/>
        <v>27.10832370537449</v>
      </c>
      <c r="O30" s="85">
        <f t="shared" si="3"/>
        <v>-0.10328168986999624</v>
      </c>
      <c r="P30" s="85" t="str">
        <f>IMDIV(IMSUM('Small Signal'!$B$48,IMPRODUCT(H30,'Small Signal'!$B$49)),IMSUM(IMPRODUCT('Small Signal'!$B$52,IMPOWER(H30,2)),IMSUM(IMPRODUCT(H30,'Small Signal'!$B$51),'Small Signal'!$B$50)))</f>
        <v>41.1543186668111-0.058596876364066i</v>
      </c>
      <c r="Q30" s="85">
        <f t="shared" si="4"/>
        <v>32.28831712627415</v>
      </c>
      <c r="R30" s="85">
        <f t="shared" si="5"/>
        <v>-0.08157956560299055</v>
      </c>
      <c r="S30" s="85" t="str">
        <f>IMPRODUCT(IMDIV(IMSUM(IMPRODUCT(H30,'Small Signal'!$B$33*'Small Signal'!$B$6*'Small Signal'!$B$27*'Small Signal'!$B$7*'Small Signal'!$B$8),'Small Signal'!$B$33*'Small Signal'!$B$6*'Small Signal'!$B$27),IMSUM(IMSUM(IMPRODUCT(H30,('Small Signal'!$B$5+'Small Signal'!$B$6)*('Small Signal'!$B$32*'Small Signal'!$B$33)+'Small Signal'!$B$5*'Small Signal'!$B$33*('Small Signal'!$B$8+'Small Signal'!$B$9)+'Small Signal'!$B$6*'Small Signal'!$B$33*('Small Signal'!$B$8+'Small Signal'!$B$9)+'Small Signal'!$B$7*'Small Signal'!$B$8*('Small Signal'!$B$5+'Small Signal'!$B$6)),'Small Signal'!$B$6+'Small Signal'!$B$5),IMPRODUCT(IMPOWER(H30,2),'Small Signal'!$B$32*'Small Signal'!$B$33*'Small Signal'!$B$8*'Small Signal'!$B$7*('Small Signal'!$B$5+'Small Signal'!$B$6)+('Small Signal'!$B$5+'Small Signal'!$B$6)*('Small Signal'!$B$9*'Small Signal'!$B$8*'Small Signal'!$B$33*'Small Signal'!$B$7)))),-1)</f>
        <v>-69.8146735982842+51.3294955308053i</v>
      </c>
      <c r="T30" s="85">
        <f t="shared" si="6"/>
        <v>38.75570870078137</v>
      </c>
      <c r="U30" s="85">
        <f t="shared" si="7"/>
        <v>143.67574342386789</v>
      </c>
      <c r="V30" s="85" t="str">
        <f t="shared" si="8"/>
        <v>-1580.46990223954+1166.39584934874i</v>
      </c>
      <c r="W30" s="80">
        <f t="shared" si="9"/>
        <v>65.86403240615586</v>
      </c>
      <c r="X30" s="85">
        <f t="shared" si="10"/>
        <v>143.57246173399793</v>
      </c>
      <c r="Y30" s="85" t="str">
        <f t="shared" si="11"/>
        <v>-2870.16757677974+2116.52133787865i</v>
      </c>
      <c r="Z30" s="80">
        <f t="shared" si="12"/>
        <v>71.0440258270555</v>
      </c>
      <c r="AA30" s="85">
        <f t="shared" si="13"/>
        <v>143.59416385826495</v>
      </c>
    </row>
    <row r="31" spans="1:27" ht="12.75">
      <c r="A31" s="104" t="s">
        <v>231</v>
      </c>
      <c r="B31" s="69">
        <f>'Design Equations CCM'!B177*'Design Equations CCM'!B73*'Small Signal'!B30</f>
        <v>50</v>
      </c>
      <c r="F31" s="84">
        <v>29</v>
      </c>
      <c r="G31" s="85">
        <f>10^('Small Signal'!F31/30)</f>
        <v>9.261187281287938</v>
      </c>
      <c r="H31" s="85" t="str">
        <f t="shared" si="1"/>
        <v>58.1897558528268i</v>
      </c>
      <c r="I31" s="85">
        <f>IF('Small Signal'!$B$37&gt;=1,Q31+0,N31+0)</f>
        <v>27.108321542239693</v>
      </c>
      <c r="J31" s="85">
        <f>IF('Small Signal'!$B$37&gt;=1,R31,O31)</f>
        <v>-0.11152098569794865</v>
      </c>
      <c r="K31" s="85">
        <f>IF('Small Signal'!$B$37&gt;=1,Z31+0,W31+0)</f>
        <v>65.61701320805413</v>
      </c>
      <c r="L31" s="85">
        <f>IF('Small Signal'!$B$37&gt;=1,AA31,X31)</f>
        <v>141.449886229905</v>
      </c>
      <c r="M31" s="85" t="str">
        <f>IMDIV(IMSUM('Small Signal'!$B$2*'Small Signal'!$B$16*'Small Signal'!$B$38,IMPRODUCT(H31,'Small Signal'!$B$2*'Small Signal'!$B$16*'Small Signal'!$B$38*'Small Signal'!$B$13*'Small Signal'!$B$14)),IMSUM(IMPRODUCT('Small Signal'!$B$11*'Small Signal'!$B$13*('Small Signal'!$B$14+'Small Signal'!$B$16),IMPOWER(H31,2)),IMSUM(IMPRODUCT(H31,('Small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22.668107024974-0.044121449314925i</v>
      </c>
      <c r="N31" s="85">
        <f t="shared" si="2"/>
        <v>27.108321542239693</v>
      </c>
      <c r="O31" s="85">
        <f t="shared" si="3"/>
        <v>-0.11152098569794865</v>
      </c>
      <c r="P31" s="85" t="str">
        <f>IMDIV(IMSUM('Small Signal'!$B$48,IMPRODUCT(H31,'Small Signal'!$B$49)),IMSUM(IMPRODUCT('Small Signal'!$B$52,IMPOWER(H31,2)),IMSUM(IMPRODUCT(H31,'Small Signal'!$B$51),'Small Signal'!$B$50)))</f>
        <v>41.1543072928108-0.0632714380086667i</v>
      </c>
      <c r="Q31" s="85">
        <f t="shared" si="4"/>
        <v>32.28831618649992</v>
      </c>
      <c r="R31" s="85">
        <f t="shared" si="5"/>
        <v>-0.08808758411595936</v>
      </c>
      <c r="S31" s="85" t="str">
        <f>IMPRODUCT(IMDIV(IMSUM(IMPRODUCT(H31,'Small Signal'!$B$33*'Small Signal'!$B$6*'Small Signal'!$B$27*'Small Signal'!$B$7*'Small Signal'!$B$8),'Small Signal'!$B$33*'Small Signal'!$B$6*'Small Signal'!$B$27),IMSUM(IMSUM(IMPRODUCT(H31,('Small Signal'!$B$5+'Small Signal'!$B$6)*('Small Signal'!$B$32*'Small Signal'!$B$33)+'Small Signal'!$B$5*'Small Signal'!$B$33*('Small Signal'!$B$8+'Small Signal'!$B$9)+'Small Signal'!$B$6*'Small Signal'!$B$33*('Small Signal'!$B$8+'Small Signal'!$B$9)+'Small Signal'!$B$7*'Small Signal'!$B$8*('Small Signal'!$B$5+'Small Signal'!$B$6)),'Small Signal'!$B$6+'Small Signal'!$B$5),IMPRODUCT(IMPOWER(H31,2),'Small Signal'!$B$32*'Small Signal'!$B$33*'Small Signal'!$B$8*'Small Signal'!$B$7*('Small Signal'!$B$5+'Small Signal'!$B$6)+('Small Signal'!$B$5+'Small Signal'!$B$6)*('Small Signal'!$B$9*'Small Signal'!$B$8*'Small Signal'!$B$33*'Small Signal'!$B$7)))),-1)</f>
        <v>-65.97035010234+52.35984405913i</v>
      </c>
      <c r="T31" s="85">
        <f t="shared" si="6"/>
        <v>38.50869166581441</v>
      </c>
      <c r="U31" s="85">
        <f t="shared" si="7"/>
        <v>141.56140721560294</v>
      </c>
      <c r="V31" s="85" t="str">
        <f t="shared" si="8"/>
        <v>-1493.11276438906+1189.80925640164i</v>
      </c>
      <c r="W31" s="80">
        <f t="shared" si="9"/>
        <v>65.61701320805413</v>
      </c>
      <c r="X31" s="85">
        <f t="shared" si="10"/>
        <v>141.449886229905</v>
      </c>
      <c r="Y31" s="85" t="str">
        <f t="shared" si="11"/>
        <v>-2711.65117769848+2159.00715113i</v>
      </c>
      <c r="Z31" s="80">
        <f t="shared" si="12"/>
        <v>70.79700785231432</v>
      </c>
      <c r="AA31" s="85">
        <f t="shared" si="13"/>
        <v>141.47331963148696</v>
      </c>
    </row>
    <row r="32" spans="1:27" ht="12.75">
      <c r="A32" s="106" t="s">
        <v>282</v>
      </c>
      <c r="B32" s="107">
        <f>B27/B29</f>
        <v>1.3926069283388347E-11</v>
      </c>
      <c r="F32" s="84">
        <v>30</v>
      </c>
      <c r="G32" s="85">
        <f>10^('Small Signal'!F32/30)</f>
        <v>10</v>
      </c>
      <c r="H32" s="85" t="str">
        <f t="shared" si="1"/>
        <v>62.8318530717959i</v>
      </c>
      <c r="I32" s="85">
        <f>IF('Small Signal'!$B$37&gt;=1,Q32+0,N32+0)</f>
        <v>27.108319020211113</v>
      </c>
      <c r="J32" s="85">
        <f>IF('Small Signal'!$B$37&gt;=1,R32,O32)</f>
        <v>-0.12041756809293176</v>
      </c>
      <c r="K32" s="85">
        <f>IF('Small Signal'!$B$37&gt;=1,Z32+0,W32+0)</f>
        <v>65.34570146232427</v>
      </c>
      <c r="L32" s="85">
        <f>IF('Small Signal'!$B$37&gt;=1,AA32,X32)</f>
        <v>139.29077853683916</v>
      </c>
      <c r="M32" s="85" t="str">
        <f>IMDIV(IMSUM('Small Signal'!$B$2*'Small Signal'!$B$16*'Small Signal'!$B$38,IMPRODUCT(H32,'Small Signal'!$B$2*'Small Signal'!$B$16*'Small Signal'!$B$38*'Small Signal'!$B$13*'Small Signal'!$B$14)),IMSUM(IMPRODUCT('Small Signal'!$B$11*'Small Signal'!$B$13*('Small Signal'!$B$14+'Small Signal'!$B$16),IMPOWER(H32,2)),IMSUM(IMPRODUCT(H32,('Small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22.6680933188727-0.0476412174328885i</v>
      </c>
      <c r="N32" s="85">
        <f t="shared" si="2"/>
        <v>27.108319020211113</v>
      </c>
      <c r="O32" s="85">
        <f t="shared" si="3"/>
        <v>-0.12041756809293176</v>
      </c>
      <c r="P32" s="85" t="str">
        <f>IMDIV(IMSUM('Small Signal'!$B$48,IMPRODUCT(H32,'Small Signal'!$B$49)),IMSUM(IMPRODUCT('Small Signal'!$B$52,IMPOWER(H32,2)),IMSUM(IMPRODUCT(H32,'Small Signal'!$B$51),'Small Signal'!$B$50)))</f>
        <v>41.154294031706-0.0683189100253805i</v>
      </c>
      <c r="Q32" s="85">
        <f t="shared" si="4"/>
        <v>32.28831509080386</v>
      </c>
      <c r="R32" s="85">
        <f t="shared" si="5"/>
        <v>-0.09511477967748451</v>
      </c>
      <c r="S32" s="85" t="str">
        <f>IMPRODUCT(IMDIV(IMSUM(IMPRODUCT(H32,'Small Signal'!$B$33*'Small Signal'!$B$6*'Small Signal'!$B$27*'Small Signal'!$B$7*'Small Signal'!$B$8),'Small Signal'!$B$33*'Small Signal'!$B$6*'Small Signal'!$B$27),IMSUM(IMSUM(IMPRODUCT(H32,('Small Signal'!$B$5+'Small Signal'!$B$6)*('Small Signal'!$B$32*'Small Signal'!$B$33)+'Small Signal'!$B$5*'Small Signal'!$B$33*('Small Signal'!$B$8+'Small Signal'!$B$9)+'Small Signal'!$B$6*'Small Signal'!$B$33*('Small Signal'!$B$8+'Small Signal'!$B$9)+'Small Signal'!$B$7*'Small Signal'!$B$8*('Small Signal'!$B$5+'Small Signal'!$B$6)),'Small Signal'!$B$6+'Small Signal'!$B$5),IMPRODUCT(IMPOWER(H32,2),'Small Signal'!$B$32*'Small Signal'!$B$33*'Small Signal'!$B$8*'Small Signal'!$B$7*('Small Signal'!$B$5+'Small Signal'!$B$6)+('Small Signal'!$B$5+'Small Signal'!$B$6)*('Small Signal'!$B$9*'Small Signal'!$B$8*'Small Signal'!$B$33*'Small Signal'!$B$7)))),-1)</f>
        <v>-61.9924548140508+53.1129504442548i</v>
      </c>
      <c r="T32" s="85">
        <f t="shared" si="6"/>
        <v>38.23738244211316</v>
      </c>
      <c r="U32" s="85">
        <f t="shared" si="7"/>
        <v>139.41119610493192</v>
      </c>
      <c r="V32" s="85" t="str">
        <f t="shared" si="8"/>
        <v>-1402.72038517029+1206.92271313002i</v>
      </c>
      <c r="W32" s="80">
        <f t="shared" si="9"/>
        <v>65.34570146232427</v>
      </c>
      <c r="X32" s="85">
        <f t="shared" si="10"/>
        <v>139.29077853683916</v>
      </c>
      <c r="Y32" s="85" t="str">
        <f t="shared" si="11"/>
        <v>-2547.62709428211+2190.06123641699i</v>
      </c>
      <c r="Z32" s="80">
        <f t="shared" si="12"/>
        <v>70.52569753291704</v>
      </c>
      <c r="AA32" s="85">
        <f t="shared" si="13"/>
        <v>139.31608132525437</v>
      </c>
    </row>
    <row r="33" spans="1:27" ht="12.75">
      <c r="A33" s="106" t="s">
        <v>283</v>
      </c>
      <c r="B33" s="107">
        <f>B28/B27</f>
        <v>2857142.8571428573</v>
      </c>
      <c r="F33" s="84">
        <v>31</v>
      </c>
      <c r="G33" s="85">
        <f>10^('Small Signal'!F33/30)</f>
        <v>10.797751623277103</v>
      </c>
      <c r="H33" s="85" t="str">
        <f t="shared" si="1"/>
        <v>67.8442743499492i</v>
      </c>
      <c r="I33" s="85">
        <f>IF('Small Signal'!$B$37&gt;=1,Q33+0,N33+0)</f>
        <v>27.108316079743446</v>
      </c>
      <c r="J33" s="85">
        <f>IF('Small Signal'!$B$37&gt;=1,R33,O33)</f>
        <v>-0.1300238710077405</v>
      </c>
      <c r="K33" s="85">
        <f>IF('Small Signal'!$B$37&gt;=1,Z33+0,W33+0)</f>
        <v>65.04939536832087</v>
      </c>
      <c r="L33" s="85">
        <f>IF('Small Signal'!$B$37&gt;=1,AA33,X33)</f>
        <v>137.1069500399959</v>
      </c>
      <c r="M33" s="85" t="str">
        <f>IMDIV(IMSUM('Small Signal'!$B$2*'Small Signal'!$B$16*'Small Signal'!$B$38,IMPRODUCT(H33,'Small Signal'!$B$2*'Small Signal'!$B$16*'Small Signal'!$B$38*'Small Signal'!$B$13*'Small Signal'!$B$14)),IMSUM(IMPRODUCT('Small Signal'!$B$11*'Small Signal'!$B$13*('Small Signal'!$B$14+'Small Signal'!$B$16),IMPOWER(H33,2)),IMSUM(IMPRODUCT(H33,('Small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22.6680773387517-0.0514417684611381i</v>
      </c>
      <c r="N33" s="85">
        <f t="shared" si="2"/>
        <v>27.108316079743446</v>
      </c>
      <c r="O33" s="85">
        <f t="shared" si="3"/>
        <v>-0.1300238710077405</v>
      </c>
      <c r="P33" s="85" t="str">
        <f>IMDIV(IMSUM('Small Signal'!$B$48,IMPRODUCT(H33,'Small Signal'!$B$49)),IMSUM(IMPRODUCT('Small Signal'!$B$52,IMPOWER(H33,2)),IMSUM(IMPRODUCT(H33,'Small Signal'!$B$51),'Small Signal'!$B$50)))</f>
        <v>41.1542785704007-0.0737690404825941i</v>
      </c>
      <c r="Q33" s="85">
        <f t="shared" si="4"/>
        <v>32.2883138133163</v>
      </c>
      <c r="R33" s="85">
        <f t="shared" si="5"/>
        <v>-0.10270256941413303</v>
      </c>
      <c r="S33" s="85" t="str">
        <f>IMPRODUCT(IMDIV(IMSUM(IMPRODUCT(H33,'Small Signal'!$B$33*'Small Signal'!$B$6*'Small Signal'!$B$27*'Small Signal'!$B$7*'Small Signal'!$B$8),'Small Signal'!$B$33*'Small Signal'!$B$6*'Small Signal'!$B$27),IMSUM(IMSUM(IMPRODUCT(H33,('Small Signal'!$B$5+'Small Signal'!$B$6)*('Small Signal'!$B$32*'Small Signal'!$B$33)+'Small Signal'!$B$5*'Small Signal'!$B$33*('Small Signal'!$B$8+'Small Signal'!$B$9)+'Small Signal'!$B$6*'Small Signal'!$B$33*('Small Signal'!$B$8+'Small Signal'!$B$9)+'Small Signal'!$B$7*'Small Signal'!$B$8*('Small Signal'!$B$5+'Small Signal'!$B$6)),'Small Signal'!$B$6+'Small Signal'!$B$5),IMPRODUCT(IMPOWER(H33,2),'Small Signal'!$B$32*'Small Signal'!$B$33*'Small Signal'!$B$8*'Small Signal'!$B$7*('Small Signal'!$B$5+'Small Signal'!$B$6)+('Small Signal'!$B$5+'Small Signal'!$B$6)*('Small Signal'!$B$9*'Small Signal'!$B$8*'Small Signal'!$B$33*'Small Signal'!$B$7)))),-1)</f>
        <v>-57.922795513151+53.5677077699528i</v>
      </c>
      <c r="T33" s="85">
        <f t="shared" si="6"/>
        <v>37.94107928857743</v>
      </c>
      <c r="U33" s="85">
        <f t="shared" si="7"/>
        <v>137.23697391100367</v>
      </c>
      <c r="V33" s="85" t="str">
        <f t="shared" si="8"/>
        <v>-1310.24279074871+1217.25659362435i</v>
      </c>
      <c r="W33" s="80">
        <f t="shared" si="9"/>
        <v>65.04939536832087</v>
      </c>
      <c r="X33" s="85">
        <f t="shared" si="10"/>
        <v>137.1069500399959</v>
      </c>
      <c r="Y33" s="85" t="str">
        <f t="shared" si="11"/>
        <v>-2379.81922372153+2208.81327698953i</v>
      </c>
      <c r="Z33" s="80">
        <f t="shared" si="12"/>
        <v>70.22939310189373</v>
      </c>
      <c r="AA33" s="85">
        <f t="shared" si="13"/>
        <v>137.1342713415895</v>
      </c>
    </row>
    <row r="34" spans="1:27" ht="12.75">
      <c r="A34" s="106" t="s">
        <v>284</v>
      </c>
      <c r="B34" s="108">
        <f>((1/(B13*B11))^0.5)*(1/(2*3.14159))</f>
        <v>11172.365241332076</v>
      </c>
      <c r="F34" s="84">
        <v>32</v>
      </c>
      <c r="G34" s="85">
        <f>10^('Small Signal'!F34/30)</f>
        <v>11.659144011798322</v>
      </c>
      <c r="H34" s="85" t="str">
        <f t="shared" si="1"/>
        <v>73.2565623492221i</v>
      </c>
      <c r="I34" s="85">
        <f>IF('Small Signal'!$B$37&gt;=1,Q34+0,N34+0)</f>
        <v>27.108312651412362</v>
      </c>
      <c r="J34" s="85">
        <f>IF('Small Signal'!$B$37&gt;=1,R34,O34)</f>
        <v>-0.14039651101420716</v>
      </c>
      <c r="K34" s="85">
        <f>IF('Small Signal'!$B$37&gt;=1,Z34+0,W34+0)</f>
        <v>64.72766636308128</v>
      </c>
      <c r="L34" s="85">
        <f>IF('Small Signal'!$B$37&gt;=1,AA34,X34)</f>
        <v>134.9109166215565</v>
      </c>
      <c r="M34" s="85" t="str">
        <f>IMDIV(IMSUM('Small Signal'!$B$2*'Small Signal'!$B$16*'Small Signal'!$B$38,IMPRODUCT(H34,'Small Signal'!$B$2*'Small Signal'!$B$16*'Small Signal'!$B$38*'Small Signal'!$B$13*'Small Signal'!$B$14)),IMSUM(IMPRODUCT('Small Signal'!$B$11*'Small Signal'!$B$13*('Small Signal'!$B$14+'Small Signal'!$B$16),IMPOWER(H34,2)),IMSUM(IMPRODUCT(H34,('Small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22.6680587073258-0.0555455000473427i</v>
      </c>
      <c r="N34" s="85">
        <f t="shared" si="2"/>
        <v>27.108312651412362</v>
      </c>
      <c r="O34" s="85">
        <f t="shared" si="3"/>
        <v>-0.14039651101420716</v>
      </c>
      <c r="P34" s="85" t="str">
        <f>IMDIV(IMSUM('Small Signal'!$B$48,IMPRODUCT(H34,'Small Signal'!$B$49)),IMSUM(IMPRODUCT('Small Signal'!$B$52,IMPOWER(H34,2)),IMSUM(IMPRODUCT(H34,'Small Signal'!$B$51),'Small Signal'!$B$50)))</f>
        <v>41.1542605438531-0.0796539503682226i</v>
      </c>
      <c r="Q34" s="85">
        <f t="shared" si="4"/>
        <v>32.28831232387559</v>
      </c>
      <c r="R34" s="85">
        <f t="shared" si="5"/>
        <v>-0.11089567443103573</v>
      </c>
      <c r="S34" s="85" t="str">
        <f>IMPRODUCT(IMDIV(IMSUM(IMPRODUCT(H34,'Small Signal'!$B$33*'Small Signal'!$B$6*'Small Signal'!$B$27*'Small Signal'!$B$7*'Small Signal'!$B$8),'Small Signal'!$B$33*'Small Signal'!$B$6*'Small Signal'!$B$27),IMSUM(IMSUM(IMPRODUCT(H34,('Small Signal'!$B$5+'Small Signal'!$B$6)*('Small Signal'!$B$32*'Small Signal'!$B$33)+'Small Signal'!$B$5*'Small Signal'!$B$33*('Small Signal'!$B$8+'Small Signal'!$B$9)+'Small Signal'!$B$6*'Small Signal'!$B$33*('Small Signal'!$B$8+'Small Signal'!$B$9)+'Small Signal'!$B$7*'Small Signal'!$B$8*('Small Signal'!$B$5+'Small Signal'!$B$6)),'Small Signal'!$B$6+'Small Signal'!$B$5),IMPRODUCT(IMPOWER(H34,2),'Small Signal'!$B$32*'Small Signal'!$B$33*'Small Signal'!$B$8*'Small Signal'!$B$7*('Small Signal'!$B$5+'Small Signal'!$B$6)+('Small Signal'!$B$5+'Small Signal'!$B$6)*('Small Signal'!$B$9*'Small Signal'!$B$8*'Small Signal'!$B$33*'Small Signal'!$B$7)))),-1)</f>
        <v>-53.8073106955397+53.7110190693337i</v>
      </c>
      <c r="T34" s="85">
        <f t="shared" si="6"/>
        <v>37.61935371166893</v>
      </c>
      <c r="U34" s="85">
        <f t="shared" si="7"/>
        <v>135.05131313257087</v>
      </c>
      <c r="V34" s="85" t="str">
        <f t="shared" si="8"/>
        <v>-1216.72387231755+1220.51328747274i</v>
      </c>
      <c r="W34" s="80">
        <f t="shared" si="9"/>
        <v>64.72766636308128</v>
      </c>
      <c r="X34" s="85">
        <f t="shared" si="10"/>
        <v>134.9109166215565</v>
      </c>
      <c r="Y34" s="85" t="str">
        <f t="shared" si="11"/>
        <v>-2210.12178868112+2214.72323771081i</v>
      </c>
      <c r="Z34" s="80">
        <f t="shared" si="12"/>
        <v>69.90766603554451</v>
      </c>
      <c r="AA34" s="85">
        <f t="shared" si="13"/>
        <v>134.94041745813988</v>
      </c>
    </row>
    <row r="35" spans="1:27" ht="12.75">
      <c r="A35" s="106" t="s">
        <v>285</v>
      </c>
      <c r="B35" s="107">
        <f>1/(B13*B14*2*3.14159)</f>
        <v>1884396.1178893496</v>
      </c>
      <c r="F35" s="84">
        <v>33</v>
      </c>
      <c r="G35" s="85">
        <f>10^('Small Signal'!F35/30)</f>
        <v>12.58925411794168</v>
      </c>
      <c r="H35" s="85" t="str">
        <f t="shared" si="1"/>
        <v>79.1006165022013i</v>
      </c>
      <c r="I35" s="85">
        <f>IF('Small Signal'!$B$37&gt;=1,Q35+0,N35+0)</f>
        <v>27.108308654275145</v>
      </c>
      <c r="J35" s="85">
        <f>IF('Small Signal'!$B$37&gt;=1,R35,O35)</f>
        <v>-0.15159662089254158</v>
      </c>
      <c r="K35" s="85">
        <f>IF('Small Signal'!$B$37&gt;=1,Z35+0,W35+0)</f>
        <v>64.38037866153002</v>
      </c>
      <c r="L35" s="85">
        <f>IF('Small Signal'!$B$37&gt;=1,AA35,X35)</f>
        <v>132.71555034272072</v>
      </c>
      <c r="M35" s="85" t="str">
        <f>IMDIV(IMSUM('Small Signal'!$B$2*'Small Signal'!$B$16*'Small Signal'!$B$38,IMPRODUCT(H35,'Small Signal'!$B$2*'Small Signal'!$B$16*'Small Signal'!$B$38*'Small Signal'!$B$13*'Small Signal'!$B$14)),IMSUM(IMPRODUCT('Small Signal'!$B$11*'Small Signal'!$B$13*('Small Signal'!$B$14+'Small Signal'!$B$16),IMPOWER(H35,2)),IMSUM(IMPRODUCT(H35,('Small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22.668036984715-0.0599765961349589i</v>
      </c>
      <c r="N35" s="85">
        <f t="shared" si="2"/>
        <v>27.108308654275145</v>
      </c>
      <c r="O35" s="85">
        <f t="shared" si="3"/>
        <v>-0.15159662089254158</v>
      </c>
      <c r="P35" s="85" t="str">
        <f>IMDIV(IMSUM('Small Signal'!$B$48,IMPRODUCT(H35,'Small Signal'!$B$49)),IMSUM(IMPRODUCT('Small Signal'!$B$52,IMPOWER(H35,2)),IMSUM(IMPRODUCT(H35,'Small Signal'!$B$51),'Small Signal'!$B$50)))</f>
        <v>41.1542395264561-0.0860083228282699i</v>
      </c>
      <c r="Q35" s="85">
        <f t="shared" si="4"/>
        <v>32.28831058731571</v>
      </c>
      <c r="R35" s="85">
        <f t="shared" si="5"/>
        <v>-0.11974238336675354</v>
      </c>
      <c r="S35" s="85" t="str">
        <f>IMPRODUCT(IMDIV(IMSUM(IMPRODUCT(H35,'Small Signal'!$B$33*'Small Signal'!$B$6*'Small Signal'!$B$27*'Small Signal'!$B$7*'Small Signal'!$B$8),'Small Signal'!$B$33*'Small Signal'!$B$6*'Small Signal'!$B$27),IMSUM(IMSUM(IMPRODUCT(H35,('Small Signal'!$B$5+'Small Signal'!$B$6)*('Small Signal'!$B$32*'Small Signal'!$B$33)+'Small Signal'!$B$5*'Small Signal'!$B$33*('Small Signal'!$B$8+'Small Signal'!$B$9)+'Small Signal'!$B$6*'Small Signal'!$B$33*('Small Signal'!$B$8+'Small Signal'!$B$9)+'Small Signal'!$B$7*'Small Signal'!$B$8*('Small Signal'!$B$5+'Small Signal'!$B$6)),'Small Signal'!$B$6+'Small Signal'!$B$5),IMPRODUCT(IMPOWER(H35,2),'Small Signal'!$B$32*'Small Signal'!$B$33*'Small Signal'!$B$8*'Small Signal'!$B$7*('Small Signal'!$B$5+'Small Signal'!$B$6)+('Small Signal'!$B$5+'Small Signal'!$B$6)*('Small Signal'!$B$9*'Small Signal'!$B$8*'Small Signal'!$B$33*'Small Signal'!$B$7)))),-1)</f>
        <v>-49.6940545062376+53.5387016822731i</v>
      </c>
      <c r="T35" s="85">
        <f t="shared" si="6"/>
        <v>37.27207000725486</v>
      </c>
      <c r="U35" s="85">
        <f t="shared" si="7"/>
        <v>132.86714696361327</v>
      </c>
      <c r="V35" s="85" t="str">
        <f t="shared" si="8"/>
        <v>-1123.25559637945+1216.59775008482i</v>
      </c>
      <c r="W35" s="80">
        <f t="shared" si="9"/>
        <v>64.38037866153002</v>
      </c>
      <c r="X35" s="85">
        <f t="shared" si="10"/>
        <v>132.71555034272072</v>
      </c>
      <c r="Y35" s="85" t="str">
        <f t="shared" si="11"/>
        <v>-2040.51624825237+2207.61865525036i</v>
      </c>
      <c r="Z35" s="80">
        <f t="shared" si="12"/>
        <v>69.56038059457056</v>
      </c>
      <c r="AA35" s="85">
        <f t="shared" si="13"/>
        <v>132.74740458024652</v>
      </c>
    </row>
    <row r="36" spans="1:27" ht="12.75">
      <c r="A36" s="66"/>
      <c r="B36" s="73"/>
      <c r="F36" s="84">
        <v>34</v>
      </c>
      <c r="G36" s="85">
        <f>10^('Small Signal'!F36/30)</f>
        <v>13.593563908785256</v>
      </c>
      <c r="H36" s="85" t="str">
        <f t="shared" si="1"/>
        <v>85.4108810238862i</v>
      </c>
      <c r="I36" s="85">
        <f>IF('Small Signal'!$B$37&gt;=1,Q36+0,N36+0)</f>
        <v>27.108303993959993</v>
      </c>
      <c r="J36" s="85">
        <f>IF('Small Signal'!$B$37&gt;=1,R36,O36)</f>
        <v>-0.16369020981218213</v>
      </c>
      <c r="K36" s="85">
        <f>IF('Small Signal'!$B$37&gt;=1,Z36+0,W36+0)</f>
        <v>64.00769555195927</v>
      </c>
      <c r="L36" s="85">
        <f>IF('Small Signal'!$B$37&gt;=1,AA36,X36)</f>
        <v>130.5337063217925</v>
      </c>
      <c r="M36" s="85" t="str">
        <f>IMDIV(IMSUM('Small Signal'!$B$2*'Small Signal'!$B$16*'Small Signal'!$B$38,IMPRODUCT(H36,'Small Signal'!$B$2*'Small Signal'!$B$16*'Small Signal'!$B$38*'Small Signal'!$B$13*'Small Signal'!$B$14)),IMSUM(IMPRODUCT('Small Signal'!$B$11*'Small Signal'!$B$13*('Small Signal'!$B$14+'Small Signal'!$B$16),IMPOWER(H36,2)),IMSUM(IMPRODUCT(H36,('Small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22.6680116580608-0.0647611693409449i</v>
      </c>
      <c r="N36" s="85">
        <f t="shared" si="2"/>
        <v>27.108303993959993</v>
      </c>
      <c r="O36" s="85">
        <f t="shared" si="3"/>
        <v>-0.16369020981218213</v>
      </c>
      <c r="P36" s="85" t="str">
        <f>IMDIV(IMSUM('Small Signal'!$B$48,IMPRODUCT(H36,'Small Signal'!$B$49)),IMSUM(IMPRODUCT('Small Signal'!$B$52,IMPOWER(H36,2)),IMSUM(IMPRODUCT(H36,'Small Signal'!$B$51),'Small Signal'!$B$50)))</f>
        <v>41.1542150219903-0.0928696074860047i</v>
      </c>
      <c r="Q36" s="85">
        <f t="shared" si="4"/>
        <v>32.28830856263632</v>
      </c>
      <c r="R36" s="85">
        <f t="shared" si="5"/>
        <v>-0.12929483696794186</v>
      </c>
      <c r="S36" s="85" t="str">
        <f>IMPRODUCT(IMDIV(IMSUM(IMPRODUCT(H36,'Small Signal'!$B$33*'Small Signal'!$B$6*'Small Signal'!$B$27*'Small Signal'!$B$7*'Small Signal'!$B$8),'Small Signal'!$B$33*'Small Signal'!$B$6*'Small Signal'!$B$27),IMSUM(IMSUM(IMPRODUCT(H36,('Small Signal'!$B$5+'Small Signal'!$B$6)*('Small Signal'!$B$32*'Small Signal'!$B$33)+'Small Signal'!$B$5*'Small Signal'!$B$33*('Small Signal'!$B$8+'Small Signal'!$B$9)+'Small Signal'!$B$6*'Small Signal'!$B$33*('Small Signal'!$B$8+'Small Signal'!$B$9)+'Small Signal'!$B$7*'Small Signal'!$B$8*('Small Signal'!$B$5+'Small Signal'!$B$6)),'Small Signal'!$B$6+'Small Signal'!$B$5),IMPRODUCT(IMPOWER(H36,2),'Small Signal'!$B$32*'Small Signal'!$B$33*'Small Signal'!$B$8*'Small Signal'!$B$7*('Small Signal'!$B$5+'Small Signal'!$B$6)+('Small Signal'!$B$5+'Small Signal'!$B$6)*('Small Signal'!$B$9*'Small Signal'!$B$8*'Small Signal'!$B$33*'Small Signal'!$B$7)))),-1)</f>
        <v>-45.6309773862342+53.0557816788288i</v>
      </c>
      <c r="T36" s="85">
        <f t="shared" si="6"/>
        <v>36.89939155799929</v>
      </c>
      <c r="U36" s="85">
        <f t="shared" si="7"/>
        <v>130.6973965316045</v>
      </c>
      <c r="V36" s="85" t="str">
        <f t="shared" si="8"/>
        <v>-1030.92757289805+1205.62419307692i</v>
      </c>
      <c r="W36" s="80">
        <f t="shared" si="9"/>
        <v>64.00769555195927</v>
      </c>
      <c r="X36" s="85">
        <f t="shared" si="10"/>
        <v>130.5337063217925</v>
      </c>
      <c r="Y36" s="85" t="str">
        <f t="shared" si="11"/>
        <v>-1872.97978539728+2187.70677832936i</v>
      </c>
      <c r="Z36" s="80">
        <f t="shared" si="12"/>
        <v>69.1877001206356</v>
      </c>
      <c r="AA36" s="85">
        <f t="shared" si="13"/>
        <v>130.56810169463648</v>
      </c>
    </row>
    <row r="37" spans="1:27" ht="12.75">
      <c r="A37" s="109" t="s">
        <v>286</v>
      </c>
      <c r="B37" s="83">
        <f>(1-(B3/B2))/(2*B11*B10/(B3/B4))</f>
        <v>0.14577946768060834</v>
      </c>
      <c r="F37" s="84">
        <v>35</v>
      </c>
      <c r="G37" s="85">
        <f>10^('Small Signal'!F37/30)</f>
        <v>14.677992676220699</v>
      </c>
      <c r="H37" s="85" t="str">
        <f t="shared" si="1"/>
        <v>92.2245479221195i</v>
      </c>
      <c r="I37" s="85">
        <f>IF('Small Signal'!$B$37&gt;=1,Q37+0,N37+0)</f>
        <v>27.108298560437717</v>
      </c>
      <c r="J37" s="85">
        <f>IF('Small Signal'!$B$37&gt;=1,R37,O37)</f>
        <v>-0.17674855222011351</v>
      </c>
      <c r="K37" s="85">
        <f>IF('Small Signal'!$B$37&gt;=1,Z37+0,W37+0)</f>
        <v>63.61007183576014</v>
      </c>
      <c r="L37" s="85">
        <f>IF('Small Signal'!$B$37&gt;=1,AA37,X37)</f>
        <v>128.37785083662752</v>
      </c>
      <c r="M37" s="85" t="str">
        <f>IMDIV(IMSUM('Small Signal'!$B$2*'Small Signal'!$B$16*'Small Signal'!$B$38,IMPRODUCT(H37,'Small Signal'!$B$2*'Small Signal'!$B$16*'Small Signal'!$B$38*'Small Signal'!$B$13*'Small Signal'!$B$14)),IMSUM(IMPRODUCT('Small Signal'!$B$11*'Small Signal'!$B$13*('Small Signal'!$B$14+'Small Signal'!$B$16),IMPOWER(H37,2)),IMSUM(IMPRODUCT(H37,('Small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22.6679821294184-0.069927414659478i</v>
      </c>
      <c r="N37" s="85">
        <f t="shared" si="2"/>
        <v>27.108298560437717</v>
      </c>
      <c r="O37" s="85">
        <f t="shared" si="3"/>
        <v>-0.17674855222011351</v>
      </c>
      <c r="P37" s="85" t="str">
        <f>IMDIV(IMSUM('Small Signal'!$B$48,IMPRODUCT(H37,'Small Signal'!$B$49)),IMSUM(IMPRODUCT('Small Signal'!$B$52,IMPOWER(H37,2)),IMSUM(IMPRODUCT(H37,'Small Signal'!$B$51),'Small Signal'!$B$50)))</f>
        <v>41.1541864519078-0.100278241040692i</v>
      </c>
      <c r="Q37" s="85">
        <f t="shared" si="4"/>
        <v>32.28830620203445</v>
      </c>
      <c r="R37" s="85">
        <f t="shared" si="5"/>
        <v>-0.13960933535930825</v>
      </c>
      <c r="S37" s="85" t="str">
        <f>IMPRODUCT(IMDIV(IMSUM(IMPRODUCT(H37,'Small Signal'!$B$33*'Small Signal'!$B$6*'Small Signal'!$B$27*'Small Signal'!$B$7*'Small Signal'!$B$8),'Small Signal'!$B$33*'Small Signal'!$B$6*'Small Signal'!$B$27),IMSUM(IMSUM(IMPRODUCT(H37,('Small Signal'!$B$5+'Small Signal'!$B$6)*('Small Signal'!$B$32*'Small Signal'!$B$33)+'Small Signal'!$B$5*'Small Signal'!$B$33*('Small Signal'!$B$8+'Small Signal'!$B$9)+'Small Signal'!$B$6*'Small Signal'!$B$33*('Small Signal'!$B$8+'Small Signal'!$B$9)+'Small Signal'!$B$7*'Small Signal'!$B$8*('Small Signal'!$B$5+'Small Signal'!$B$6)),'Small Signal'!$B$6+'Small Signal'!$B$5),IMPRODUCT(IMPOWER(H37,2),'Small Signal'!$B$32*'Small Signal'!$B$33*'Small Signal'!$B$8*'Small Signal'!$B$7*('Small Signal'!$B$5+'Small Signal'!$B$6)+('Small Signal'!$B$5+'Small Signal'!$B$6)*('Small Signal'!$B$9*'Small Signal'!$B$8*'Small Signal'!$B$33*'Small Signal'!$B$7)))),-1)</f>
        <v>-41.6637168385283+52.2761403952545i</v>
      </c>
      <c r="T37" s="85">
        <f t="shared" si="6"/>
        <v>36.501773275322414</v>
      </c>
      <c r="U37" s="85">
        <f t="shared" si="7"/>
        <v>128.55459938884766</v>
      </c>
      <c r="V37" s="85" t="str">
        <f t="shared" si="8"/>
        <v>-940.776853394692+1187.90805227822i</v>
      </c>
      <c r="W37" s="80">
        <f t="shared" si="9"/>
        <v>63.61007183576014</v>
      </c>
      <c r="X37" s="85">
        <f t="shared" si="10"/>
        <v>128.37785083662752</v>
      </c>
      <c r="Y37" s="85" t="str">
        <f t="shared" si="11"/>
        <v>-1709.39421164505+2155.5599930522i</v>
      </c>
      <c r="Z37" s="80">
        <f t="shared" si="12"/>
        <v>68.79007947735687</v>
      </c>
      <c r="AA37" s="85">
        <f t="shared" si="13"/>
        <v>128.41499005348828</v>
      </c>
    </row>
    <row r="38" spans="1:27" ht="12.75">
      <c r="A38" s="106" t="s">
        <v>287</v>
      </c>
      <c r="B38" s="110">
        <f>1*B10/(B39+B31)</f>
        <v>2.0301207597789364</v>
      </c>
      <c r="F38" s="84">
        <v>36</v>
      </c>
      <c r="G38" s="85">
        <f>10^('Small Signal'!F38/30)</f>
        <v>15.848931924611136</v>
      </c>
      <c r="H38" s="85" t="str">
        <f t="shared" si="1"/>
        <v>99.5817762032062i</v>
      </c>
      <c r="I38" s="85">
        <f>IF('Small Signal'!$B$37&gt;=1,Q38+0,N38+0)</f>
        <v>27.1082922254244</v>
      </c>
      <c r="J38" s="85">
        <f>IF('Small Signal'!$B$37&gt;=1,R38,O38)</f>
        <v>-0.19084860772009735</v>
      </c>
      <c r="K38" s="85">
        <f>IF('Small Signal'!$B$37&gt;=1,Z38+0,W38+0)</f>
        <v>63.18823314458811</v>
      </c>
      <c r="L38" s="85">
        <f>IF('Small Signal'!$B$37&gt;=1,AA38,X38)</f>
        <v>126.25971652235374</v>
      </c>
      <c r="M38" s="85" t="str">
        <f>IMDIV(IMSUM('Small Signal'!$B$2*'Small Signal'!$B$16*'Small Signal'!$B$38,IMPRODUCT(H38,'Small Signal'!$B$2*'Small Signal'!$B$16*'Small Signal'!$B$38*'Small Signal'!$B$13*'Small Signal'!$B$14)),IMSUM(IMPRODUCT('Small Signal'!$B$11*'Small Signal'!$B$13*('Small Signal'!$B$14+'Small Signal'!$B$16),IMPOWER(H38,2)),IMSUM(IMPRODUCT(H38,('Small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22.6679477016421-0.0755057753868975i</v>
      </c>
      <c r="N38" s="85">
        <f t="shared" si="2"/>
        <v>27.1082922254244</v>
      </c>
      <c r="O38" s="85">
        <f t="shared" si="3"/>
        <v>-0.19084860772009735</v>
      </c>
      <c r="P38" s="85" t="str">
        <f>IMDIV(IMSUM('Small Signal'!$B$48,IMPRODUCT(H38,'Small Signal'!$B$49)),IMSUM(IMPRODUCT('Small Signal'!$B$52,IMPOWER(H38,2)),IMSUM(IMPRODUCT(H38,'Small Signal'!$B$51),'Small Signal'!$B$50)))</f>
        <v>41.1541531416739-0.108277885439391i</v>
      </c>
      <c r="Q38" s="85">
        <f t="shared" si="4"/>
        <v>32.288303449776095</v>
      </c>
      <c r="R38" s="85">
        <f t="shared" si="5"/>
        <v>-0.1507466698176322</v>
      </c>
      <c r="S38" s="85" t="str">
        <f>IMPRODUCT(IMDIV(IMSUM(IMPRODUCT(H38,'Small Signal'!$B$33*'Small Signal'!$B$6*'Small Signal'!$B$27*'Small Signal'!$B$7*'Small Signal'!$B$8),'Small Signal'!$B$33*'Small Signal'!$B$6*'Small Signal'!$B$27),IMSUM(IMSUM(IMPRODUCT(H38,('Small Signal'!$B$5+'Small Signal'!$B$6)*('Small Signal'!$B$32*'Small Signal'!$B$33)+'Small Signal'!$B$5*'Small Signal'!$B$33*('Small Signal'!$B$8+'Small Signal'!$B$9)+'Small Signal'!$B$6*'Small Signal'!$B$33*('Small Signal'!$B$8+'Small Signal'!$B$9)+'Small Signal'!$B$7*'Small Signal'!$B$8*('Small Signal'!$B$5+'Small Signal'!$B$6)),'Small Signal'!$B$6+'Small Signal'!$B$5),IMPRODUCT(IMPOWER(H38,2),'Small Signal'!$B$32*'Small Signal'!$B$33*'Small Signal'!$B$8*'Small Signal'!$B$7*('Small Signal'!$B$5+'Small Signal'!$B$6)+('Small Signal'!$B$5+'Small Signal'!$B$6)*('Small Signal'!$B$9*'Small Signal'!$B$8*'Small Signal'!$B$33*'Small Signal'!$B$7)))),-1)</f>
        <v>-37.833611053756+51.2215585926207i</v>
      </c>
      <c r="T38" s="85">
        <f t="shared" si="6"/>
        <v>36.07994091916372</v>
      </c>
      <c r="U38" s="85">
        <f t="shared" si="7"/>
        <v>126.45056513007378</v>
      </c>
      <c r="V38" s="85" t="str">
        <f t="shared" si="8"/>
        <v>-853.742793232748+1163.94426751242i</v>
      </c>
      <c r="W38" s="80">
        <f t="shared" si="9"/>
        <v>63.18823314458811</v>
      </c>
      <c r="X38" s="85">
        <f t="shared" si="10"/>
        <v>126.25971652235374</v>
      </c>
      <c r="Y38" s="85" t="str">
        <f t="shared" si="11"/>
        <v>-1551.46406115548+2112.07640987937i</v>
      </c>
      <c r="Z38" s="80">
        <f t="shared" si="12"/>
        <v>68.3682443689398</v>
      </c>
      <c r="AA38" s="85">
        <f t="shared" si="13"/>
        <v>126.29981846025613</v>
      </c>
    </row>
    <row r="39" spans="1:27" ht="12.75">
      <c r="A39" s="106" t="s">
        <v>288</v>
      </c>
      <c r="B39" s="107">
        <f>B30*((B2-B3)/B11)</f>
        <v>295498.92097420606</v>
      </c>
      <c r="F39" s="84">
        <v>37</v>
      </c>
      <c r="G39" s="85">
        <f>10^('Small Signal'!F39/30)</f>
        <v>17.113283041617812</v>
      </c>
      <c r="H39" s="85" t="str">
        <f t="shared" si="1"/>
        <v>107.525928564699i</v>
      </c>
      <c r="I39" s="85">
        <f>IF('Small Signal'!$B$37&gt;=1,Q39+0,N39+0)</f>
        <v>27.10828483935277</v>
      </c>
      <c r="J39" s="85">
        <f>IF('Small Signal'!$B$37&gt;=1,R39,O39)</f>
        <v>-0.20607347440662807</v>
      </c>
      <c r="K39" s="85">
        <f>IF('Small Signal'!$B$37&gt;=1,Z39+0,W39+0)</f>
        <v>62.74314409265407</v>
      </c>
      <c r="L39" s="85">
        <f>IF('Small Signal'!$B$37&gt;=1,AA39,X39)</f>
        <v>124.19000709367918</v>
      </c>
      <c r="M39" s="85" t="str">
        <f>IMDIV(IMSUM('Small Signal'!$B$2*'Small Signal'!$B$16*'Small Signal'!$B$38,IMPRODUCT(H39,'Small Signal'!$B$2*'Small Signal'!$B$16*'Small Signal'!$B$38*'Small Signal'!$B$13*'Small Signal'!$B$14)),IMSUM(IMPRODUCT('Small Signal'!$B$11*'Small Signal'!$B$13*('Small Signal'!$B$14+'Small Signal'!$B$16),IMPOWER(H39,2)),IMSUM(IMPRODUCT(H39,('Small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22.6679075619285-0.0815291222323185i</v>
      </c>
      <c r="N39" s="85">
        <f t="shared" si="2"/>
        <v>27.10828483935277</v>
      </c>
      <c r="O39" s="85">
        <f t="shared" si="3"/>
        <v>-0.20607347440662807</v>
      </c>
      <c r="P39" s="85" t="str">
        <f>IMDIV(IMSUM('Small Signal'!$B$48,IMPRODUCT(H39,'Small Signal'!$B$49)),IMSUM(IMPRODUCT('Small Signal'!$B$52,IMPOWER(H39,2)),IMSUM(IMPRODUCT(H39,'Small Signal'!$B$51),'Small Signal'!$B$50)))</f>
        <v>41.1541143048425-0.116915685017195i</v>
      </c>
      <c r="Q39" s="85">
        <f t="shared" si="4"/>
        <v>32.288300240880304</v>
      </c>
      <c r="R39" s="85">
        <f t="shared" si="5"/>
        <v>-0.1627724810025014</v>
      </c>
      <c r="S39" s="85" t="str">
        <f>IMPRODUCT(IMDIV(IMSUM(IMPRODUCT(H39,'Small Signal'!$B$33*'Small Signal'!$B$6*'Small Signal'!$B$27*'Small Signal'!$B$7*'Small Signal'!$B$8),'Small Signal'!$B$33*'Small Signal'!$B$6*'Small Signal'!$B$27),IMSUM(IMSUM(IMPRODUCT(H39,('Small Signal'!$B$5+'Small Signal'!$B$6)*('Small Signal'!$B$32*'Small Signal'!$B$33)+'Small Signal'!$B$5*'Small Signal'!$B$33*('Small Signal'!$B$8+'Small Signal'!$B$9)+'Small Signal'!$B$6*'Small Signal'!$B$33*('Small Signal'!$B$8+'Small Signal'!$B$9)+'Small Signal'!$B$7*'Small Signal'!$B$8*('Small Signal'!$B$5+'Small Signal'!$B$6)),'Small Signal'!$B$6+'Small Signal'!$B$5),IMPRODUCT(IMPOWER(H39,2),'Small Signal'!$B$32*'Small Signal'!$B$33*'Small Signal'!$B$8*'Small Signal'!$B$7*('Small Signal'!$B$5+'Small Signal'!$B$6)+('Small Signal'!$B$5+'Small Signal'!$B$6)*('Small Signal'!$B$9*'Small Signal'!$B$8*'Small Signal'!$B$33*'Small Signal'!$B$7)))),-1)</f>
        <v>-34.1761120380139+49.9202779896512i</v>
      </c>
      <c r="T39" s="85">
        <f t="shared" si="6"/>
        <v>35.6348592533013</v>
      </c>
      <c r="U39" s="85">
        <f t="shared" si="7"/>
        <v>124.39608056808581</v>
      </c>
      <c r="V39" s="85" t="str">
        <f t="shared" si="8"/>
        <v>-770.630992057721+1134.37459535096i</v>
      </c>
      <c r="W39" s="80">
        <f t="shared" si="9"/>
        <v>62.74314409265407</v>
      </c>
      <c r="X39" s="85">
        <f t="shared" si="10"/>
        <v>124.19000709367918</v>
      </c>
      <c r="Y39" s="85" t="str">
        <f t="shared" si="11"/>
        <v>-1400.65115781012+2058.42055006577i</v>
      </c>
      <c r="Z39" s="80">
        <f t="shared" si="12"/>
        <v>67.92315949418162</v>
      </c>
      <c r="AA39" s="85">
        <f t="shared" si="13"/>
        <v>124.23330808708329</v>
      </c>
    </row>
    <row r="40" spans="6:27" ht="12.75">
      <c r="F40" s="84">
        <v>38</v>
      </c>
      <c r="G40" s="85">
        <f>10^('Small Signal'!F40/30)</f>
        <v>18.47849797422291</v>
      </c>
      <c r="H40" s="85" t="str">
        <f t="shared" si="1"/>
        <v>116.103826970385i</v>
      </c>
      <c r="I40" s="85">
        <f>IF('Small Signal'!$B$37&gt;=1,Q40+0,N40+0)</f>
        <v>27.10827622784127</v>
      </c>
      <c r="J40" s="85">
        <f>IF('Small Signal'!$B$37&gt;=1,R40,O40)</f>
        <v>-0.22251287831179573</v>
      </c>
      <c r="K40" s="85">
        <f>IF('Small Signal'!$B$37&gt;=1,Z40+0,W40+0)</f>
        <v>62.27596813623794</v>
      </c>
      <c r="L40" s="85">
        <f>IF('Small Signal'!$B$37&gt;=1,AA40,X40)</f>
        <v>122.17816798148759</v>
      </c>
      <c r="M40" s="85" t="str">
        <f>IMDIV(IMSUM('Small Signal'!$B$2*'Small Signal'!$B$16*'Small Signal'!$B$38,IMPRODUCT(H40,'Small Signal'!$B$2*'Small Signal'!$B$16*'Small Signal'!$B$38*'Small Signal'!$B$13*'Small Signal'!$B$14)),IMSUM(IMPRODUCT('Small Signal'!$B$11*'Small Signal'!$B$13*('Small Signal'!$B$14+'Small Signal'!$B$16),IMPOWER(H40,2)),IMSUM(IMPRODUCT(H40,('Small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22.6678607626304-0.0880329466525987i</v>
      </c>
      <c r="N40" s="85">
        <f t="shared" si="2"/>
        <v>27.10827622784127</v>
      </c>
      <c r="O40" s="85">
        <f t="shared" si="3"/>
        <v>-0.22251287831179573</v>
      </c>
      <c r="P40" s="85" t="str">
        <f>IMDIV(IMSUM('Small Signal'!$B$48,IMPRODUCT(H40,'Small Signal'!$B$49)),IMSUM(IMPRODUCT('Small Signal'!$B$52,IMPOWER(H40,2)),IMSUM(IMPRODUCT(H40,'Small Signal'!$B$51),'Small Signal'!$B$50)))</f>
        <v>41.1540690244894-0.126242544110875i</v>
      </c>
      <c r="Q40" s="85">
        <f t="shared" si="4"/>
        <v>32.288296499584995</v>
      </c>
      <c r="R40" s="85">
        <f t="shared" si="5"/>
        <v>-0.17575764575156672</v>
      </c>
      <c r="S40" s="85" t="str">
        <f>IMPRODUCT(IMDIV(IMSUM(IMPRODUCT(H40,'Small Signal'!$B$33*'Small Signal'!$B$6*'Small Signal'!$B$27*'Small Signal'!$B$7*'Small Signal'!$B$8),'Small Signal'!$B$33*'Small Signal'!$B$6*'Small Signal'!$B$27),IMSUM(IMSUM(IMPRODUCT(H40,('Small Signal'!$B$5+'Small Signal'!$B$6)*('Small Signal'!$B$32*'Small Signal'!$B$33)+'Small Signal'!$B$5*'Small Signal'!$B$33*('Small Signal'!$B$8+'Small Signal'!$B$9)+'Small Signal'!$B$6*'Small Signal'!$B$33*('Small Signal'!$B$8+'Small Signal'!$B$9)+'Small Signal'!$B$7*'Small Signal'!$B$8*('Small Signal'!$B$5+'Small Signal'!$B$6)),'Small Signal'!$B$6+'Small Signal'!$B$5),IMPRODUCT(IMPOWER(H40,2),'Small Signal'!$B$32*'Small Signal'!$B$33*'Small Signal'!$B$8*'Small Signal'!$B$7*('Small Signal'!$B$5+'Small Signal'!$B$6)+('Small Signal'!$B$5+'Small Signal'!$B$6)*('Small Signal'!$B$9*'Small Signal'!$B$8*'Small Signal'!$B$33*'Small Signal'!$B$7)))),-1)</f>
        <v>-30.7197130706276+48.405250691773i</v>
      </c>
      <c r="T40" s="85">
        <f t="shared" si="6"/>
        <v>35.16769190839667</v>
      </c>
      <c r="U40" s="85">
        <f t="shared" si="7"/>
        <v>122.40068085979941</v>
      </c>
      <c r="V40" s="85" t="str">
        <f t="shared" si="8"/>
        <v>-692.088921701089+1099.94782972326i</v>
      </c>
      <c r="W40" s="80">
        <f t="shared" si="9"/>
        <v>62.27596813623794</v>
      </c>
      <c r="X40" s="85">
        <f t="shared" si="10"/>
        <v>122.17816798148759</v>
      </c>
      <c r="Y40" s="85" t="str">
        <f t="shared" si="11"/>
        <v>-1258.13039012546+1995.95116284933i</v>
      </c>
      <c r="Z40" s="80">
        <f t="shared" si="12"/>
        <v>67.45598840798165</v>
      </c>
      <c r="AA40" s="85">
        <f t="shared" si="13"/>
        <v>122.2249232140478</v>
      </c>
    </row>
    <row r="41" spans="1:27" ht="12.75">
      <c r="A41" s="109" t="s">
        <v>275</v>
      </c>
      <c r="B41" s="83">
        <f>B3/B4</f>
        <v>2.466666666666667</v>
      </c>
      <c r="F41" s="84">
        <v>39</v>
      </c>
      <c r="G41" s="85">
        <f>10^('Small Signal'!F41/30)</f>
        <v>19.952623149688804</v>
      </c>
      <c r="H41" s="85" t="str">
        <f t="shared" si="1"/>
        <v>125.366028613816i</v>
      </c>
      <c r="I41" s="85">
        <f>IF('Small Signal'!$B$37&gt;=1,Q41+0,N41+0)</f>
        <v>27.108266187577446</v>
      </c>
      <c r="J41" s="85">
        <f>IF('Small Signal'!$B$37&gt;=1,R41,O41)</f>
        <v>-0.2402637018325742</v>
      </c>
      <c r="K41" s="85">
        <f>IF('Small Signal'!$B$37&gt;=1,Z41+0,W41+0)</f>
        <v>61.788022499313485</v>
      </c>
      <c r="L41" s="85">
        <f>IF('Small Signal'!$B$37&gt;=1,AA41,X41)</f>
        <v>120.23223178077853</v>
      </c>
      <c r="M41" s="85" t="str">
        <f>IMDIV(IMSUM('Small Signal'!$B$2*'Small Signal'!$B$16*'Small Signal'!$B$38,IMPRODUCT(H41,'Small Signal'!$B$2*'Small Signal'!$B$16*'Small Signal'!$B$38*'Small Signal'!$B$13*'Small Signal'!$B$14)),IMSUM(IMPRODUCT('Small Signal'!$B$11*'Small Signal'!$B$13*('Small Signal'!$B$14+'Small Signal'!$B$16),IMPOWER(H41,2)),IMSUM(IMPRODUCT(H41,('Small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22.6678061988886-0.0950555695297968i</v>
      </c>
      <c r="N41" s="85">
        <f t="shared" si="2"/>
        <v>27.108266187577446</v>
      </c>
      <c r="O41" s="85">
        <f t="shared" si="3"/>
        <v>-0.2402637018325742</v>
      </c>
      <c r="P41" s="85" t="str">
        <f>IMDIV(IMSUM('Small Signal'!$B$48,IMPRODUCT(H41,'Small Signal'!$B$49)),IMSUM(IMPRODUCT('Small Signal'!$B$52,IMPOWER(H41,2)),IMSUM(IMPRODUCT(H41,'Small Signal'!$B$51),'Small Signal'!$B$50)))</f>
        <v>41.154016231566-0.136313426768883i</v>
      </c>
      <c r="Q41" s="85">
        <f t="shared" si="4"/>
        <v>32.28829213755834</v>
      </c>
      <c r="R41" s="85">
        <f t="shared" si="5"/>
        <v>-0.1897786947156447</v>
      </c>
      <c r="S41" s="85" t="str">
        <f>IMPRODUCT(IMDIV(IMSUM(IMPRODUCT(H41,'Small Signal'!$B$33*'Small Signal'!$B$6*'Small Signal'!$B$27*'Small Signal'!$B$7*'Small Signal'!$B$8),'Small Signal'!$B$33*'Small Signal'!$B$6*'Small Signal'!$B$27),IMSUM(IMSUM(IMPRODUCT(H41,('Small Signal'!$B$5+'Small Signal'!$B$6)*('Small Signal'!$B$32*'Small Signal'!$B$33)+'Small Signal'!$B$5*'Small Signal'!$B$33*('Small Signal'!$B$8+'Small Signal'!$B$9)+'Small Signal'!$B$6*'Small Signal'!$B$33*('Small Signal'!$B$8+'Small Signal'!$B$9)+'Small Signal'!$B$7*'Small Signal'!$B$8*('Small Signal'!$B$5+'Small Signal'!$B$6)),'Small Signal'!$B$6+'Small Signal'!$B$5),IMPRODUCT(IMPOWER(H41,2),'Small Signal'!$B$32*'Small Signal'!$B$33*'Small Signal'!$B$8*'Small Signal'!$B$7*('Small Signal'!$B$5+'Small Signal'!$B$6)+('Small Signal'!$B$5+'Small Signal'!$B$6)*('Small Signal'!$B$9*'Small Signal'!$B$8*'Small Signal'!$B$33*'Small Signal'!$B$7)))),-1)</f>
        <v>-27.4854319086429+46.7122666336269i</v>
      </c>
      <c r="T41" s="85">
        <f t="shared" si="6"/>
        <v>34.67975631173606</v>
      </c>
      <c r="U41" s="85">
        <f t="shared" si="7"/>
        <v>120.47249548261101</v>
      </c>
      <c r="V41" s="85" t="str">
        <f t="shared" si="8"/>
        <v>-618.594182688979+1061.47725054571i</v>
      </c>
      <c r="W41" s="80">
        <f t="shared" si="9"/>
        <v>61.788022499313485</v>
      </c>
      <c r="X41" s="85">
        <f t="shared" si="10"/>
        <v>120.23223178077853</v>
      </c>
      <c r="Y41" s="85" t="str">
        <f t="shared" si="11"/>
        <v>-1124.76840176292+1926.14401266321i</v>
      </c>
      <c r="Z41" s="80">
        <f t="shared" si="12"/>
        <v>66.9680484492944</v>
      </c>
      <c r="AA41" s="85">
        <f t="shared" si="13"/>
        <v>120.28271678789535</v>
      </c>
    </row>
    <row r="42" spans="1:27" ht="12.75">
      <c r="A42" s="109" t="s">
        <v>289</v>
      </c>
      <c r="B42" s="83">
        <f>(B3*B4*B11*2*B10/(B2*(B2-B3)))^0.5</f>
        <v>0.3876265674127806</v>
      </c>
      <c r="F42" s="84">
        <v>40</v>
      </c>
      <c r="G42" s="85">
        <f>10^('Small Signal'!F42/30)</f>
        <v>21.544346900318843</v>
      </c>
      <c r="H42" s="85" t="str">
        <f t="shared" si="1"/>
        <v>135.367123896863i</v>
      </c>
      <c r="I42" s="85">
        <f>IF('Small Signal'!$B$37&gt;=1,Q42+0,N42+0)</f>
        <v>27.108254481518493</v>
      </c>
      <c r="J42" s="85">
        <f>IF('Small Signal'!$B$37&gt;=1,R42,O42)</f>
        <v>-0.25943055423124256</v>
      </c>
      <c r="K42" s="85">
        <f>IF('Small Signal'!$B$37&gt;=1,Z42+0,W42+0)</f>
        <v>61.280731558984094</v>
      </c>
      <c r="L42" s="85">
        <f>IF('Small Signal'!$B$37&gt;=1,AA42,X42)</f>
        <v>118.35873975860284</v>
      </c>
      <c r="M42" s="85" t="str">
        <f>IMDIV(IMSUM('Small Signal'!$B$2*'Small Signal'!$B$16*'Small Signal'!$B$38,IMPRODUCT(H42,'Small Signal'!$B$2*'Small Signal'!$B$16*'Small Signal'!$B$38*'Small Signal'!$B$13*'Small Signal'!$B$14)),IMSUM(IMPRODUCT('Small Signal'!$B$11*'Small Signal'!$B$13*('Small Signal'!$B$14+'Small Signal'!$B$16),IMPOWER(H42,2)),IMSUM(IMPRODUCT(H42,('Small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22.6677425825543-0.102638366394122i</v>
      </c>
      <c r="N42" s="85">
        <f t="shared" si="2"/>
        <v>27.108254481518493</v>
      </c>
      <c r="O42" s="85">
        <f t="shared" si="3"/>
        <v>-0.25943055423124256</v>
      </c>
      <c r="P42" s="85" t="str">
        <f>IMDIV(IMSUM('Small Signal'!$B$48,IMPRODUCT(H42,'Small Signal'!$B$49)),IMSUM(IMPRODUCT('Small Signal'!$B$52,IMPOWER(H42,2)),IMSUM(IMPRODUCT(H42,'Small Signal'!$B$51),'Small Signal'!$B$50)))</f>
        <v>41.1539546796618-0.147187680307367i</v>
      </c>
      <c r="Q42" s="85">
        <f t="shared" si="4"/>
        <v>32.28828705181328</v>
      </c>
      <c r="R42" s="85">
        <f t="shared" si="5"/>
        <v>-0.20491826328948587</v>
      </c>
      <c r="S42" s="85" t="str">
        <f>IMPRODUCT(IMDIV(IMSUM(IMPRODUCT(H42,'Small Signal'!$B$33*'Small Signal'!$B$6*'Small Signal'!$B$27*'Small Signal'!$B$7*'Small Signal'!$B$8),'Small Signal'!$B$33*'Small Signal'!$B$6*'Small Signal'!$B$27),IMSUM(IMSUM(IMPRODUCT(H42,('Small Signal'!$B$5+'Small Signal'!$B$6)*('Small Signal'!$B$32*'Small Signal'!$B$33)+'Small Signal'!$B$5*'Small Signal'!$B$33*('Small Signal'!$B$8+'Small Signal'!$B$9)+'Small Signal'!$B$6*'Small Signal'!$B$33*('Small Signal'!$B$8+'Small Signal'!$B$9)+'Small Signal'!$B$7*'Small Signal'!$B$8*('Small Signal'!$B$5+'Small Signal'!$B$6)),'Small Signal'!$B$6+'Small Signal'!$B$5),IMPRODUCT(IMPOWER(H42,2),'Small Signal'!$B$32*'Small Signal'!$B$33*'Small Signal'!$B$8*'Small Signal'!$B$7*('Small Signal'!$B$5+'Small Signal'!$B$6)+('Small Signal'!$B$5+'Small Signal'!$B$6)*('Small Signal'!$B$9*'Small Signal'!$B$8*'Small Signal'!$B$33*'Small Signal'!$B$7)))),-1)</f>
        <v>-24.4868212709785+44.8781378523506i</v>
      </c>
      <c r="T42" s="85">
        <f t="shared" si="6"/>
        <v>34.17247707746559</v>
      </c>
      <c r="U42" s="85">
        <f t="shared" si="7"/>
        <v>118.61817031283415</v>
      </c>
      <c r="V42" s="85" t="str">
        <f t="shared" si="8"/>
        <v>-550.45474247958+1019.79936375491i</v>
      </c>
      <c r="W42" s="80">
        <f t="shared" si="9"/>
        <v>61.280731558984094</v>
      </c>
      <c r="X42" s="85">
        <f t="shared" si="10"/>
        <v>118.35873975860284</v>
      </c>
      <c r="Y42" s="85" t="str">
        <f t="shared" si="11"/>
        <v>-1001.12402382783+1850.51700970423i</v>
      </c>
      <c r="Z42" s="80">
        <f t="shared" si="12"/>
        <v>66.46076412927889</v>
      </c>
      <c r="AA42" s="85">
        <f t="shared" si="13"/>
        <v>118.41325204954474</v>
      </c>
    </row>
    <row r="43" spans="1:27" ht="12.75">
      <c r="A43" s="109" t="s">
        <v>290</v>
      </c>
      <c r="B43" s="111">
        <f>(2*B4/B42)*B41*B41*(1-(B3/B2))/(B41*(1-(B3/B2))+B41+B12)</f>
        <v>17.11535586967632</v>
      </c>
      <c r="F43" s="84">
        <v>41</v>
      </c>
      <c r="G43" s="85">
        <f>10^('Small Signal'!F43/30)</f>
        <v>23.263050671536273</v>
      </c>
      <c r="H43" s="85" t="str">
        <f t="shared" si="1"/>
        <v>146.166058179571i</v>
      </c>
      <c r="I43" s="85">
        <f>IF('Small Signal'!$B$37&gt;=1,Q43+0,N43+0)</f>
        <v>27.108240833295454</v>
      </c>
      <c r="J43" s="85">
        <f>IF('Small Signal'!$B$37&gt;=1,R43,O43)</f>
        <v>-0.280126387544106</v>
      </c>
      <c r="K43" s="85">
        <f>IF('Small Signal'!$B$37&gt;=1,Z43+0,W43+0)</f>
        <v>60.755581728799356</v>
      </c>
      <c r="L43" s="85">
        <f>IF('Small Signal'!$B$37&gt;=1,AA43,X43)</f>
        <v>116.56273400587848</v>
      </c>
      <c r="M43" s="85" t="str">
        <f>IMDIV(IMSUM('Small Signal'!$B$2*'Small Signal'!$B$16*'Small Signal'!$B$38,IMPRODUCT(H43,'Small Signal'!$B$2*'Small Signal'!$B$16*'Small Signal'!$B$38*'Small Signal'!$B$13*'Small Signal'!$B$14)),IMSUM(IMPRODUCT('Small Signal'!$B$11*'Small Signal'!$B$13*('Small Signal'!$B$14+'Small Signal'!$B$16),IMPOWER(H43,2)),IMSUM(IMPRODUCT(H43,('Small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22.6676684117862-0.110826010485967i</v>
      </c>
      <c r="N43" s="85">
        <f t="shared" si="2"/>
        <v>27.108240833295454</v>
      </c>
      <c r="O43" s="85">
        <f t="shared" si="3"/>
        <v>-0.280126387544106</v>
      </c>
      <c r="P43" s="85" t="str">
        <f>IMDIV(IMSUM('Small Signal'!$B$48,IMPRODUCT(H43,'Small Signal'!$B$49)),IMSUM(IMPRODUCT('Small Signal'!$B$52,IMPOWER(H43,2)),IMSUM(IMPRODUCT(H43,'Small Signal'!$B$51),'Small Signal'!$B$50)))</f>
        <v>41.153882915581-0.158929384598181i</v>
      </c>
      <c r="Q43" s="85">
        <f t="shared" si="4"/>
        <v>32.288281122276196</v>
      </c>
      <c r="R43" s="85">
        <f t="shared" si="5"/>
        <v>-0.2212655784889821</v>
      </c>
      <c r="S43" s="85" t="str">
        <f>IMPRODUCT(IMDIV(IMSUM(IMPRODUCT(H43,'Small Signal'!$B$33*'Small Signal'!$B$6*'Small Signal'!$B$27*'Small Signal'!$B$7*'Small Signal'!$B$8),'Small Signal'!$B$33*'Small Signal'!$B$6*'Small Signal'!$B$27),IMSUM(IMSUM(IMPRODUCT(H43,('Small Signal'!$B$5+'Small Signal'!$B$6)*('Small Signal'!$B$32*'Small Signal'!$B$33)+'Small Signal'!$B$5*'Small Signal'!$B$33*('Small Signal'!$B$8+'Small Signal'!$B$9)+'Small Signal'!$B$6*'Small Signal'!$B$33*('Small Signal'!$B$8+'Small Signal'!$B$9)+'Small Signal'!$B$7*'Small Signal'!$B$8*('Small Signal'!$B$5+'Small Signal'!$B$6)),'Small Signal'!$B$6+'Small Signal'!$B$5),IMPRODUCT(IMPOWER(H43,2),'Small Signal'!$B$32*'Small Signal'!$B$33*'Small Signal'!$B$8*'Small Signal'!$B$7*('Small Signal'!$B$5+'Small Signal'!$B$6)+('Small Signal'!$B$5+'Small Signal'!$B$6)*('Small Signal'!$B$9*'Small Signal'!$B$8*'Small Signal'!$B$33*'Small Signal'!$B$7)))),-1)</f>
        <v>-21.7304237699399+42.9390832379298i</v>
      </c>
      <c r="T43" s="85">
        <f t="shared" si="6"/>
        <v>33.6473408955039</v>
      </c>
      <c r="U43" s="85">
        <f t="shared" si="7"/>
        <v>116.84286039342257</v>
      </c>
      <c r="V43" s="85" t="str">
        <f t="shared" si="8"/>
        <v>-487.81927317541+975.737196916071i</v>
      </c>
      <c r="W43" s="80">
        <f t="shared" si="9"/>
        <v>60.755581728799356</v>
      </c>
      <c r="X43" s="85">
        <f t="shared" si="10"/>
        <v>116.56273400587848</v>
      </c>
      <c r="Y43" s="85" t="str">
        <f t="shared" si="11"/>
        <v>-887.467033459851+1770.56360695296i</v>
      </c>
      <c r="Z43" s="80">
        <f t="shared" si="12"/>
        <v>65.93562201778008</v>
      </c>
      <c r="AA43" s="85">
        <f t="shared" si="13"/>
        <v>116.62159481493364</v>
      </c>
    </row>
    <row r="44" spans="1:27" ht="12.75">
      <c r="A44" s="109" t="s">
        <v>291</v>
      </c>
      <c r="B44" s="111">
        <f>B11/(B41*(1-(B3/B2))+B41+B12)+B13*(B14+1/((1/(B12+B41*(1-(B3/B2))))+1/B41))</f>
        <v>2.2391263732591013E-05</v>
      </c>
      <c r="F44" s="84">
        <v>42</v>
      </c>
      <c r="G44" s="85">
        <f>10^('Small Signal'!F44/30)</f>
        <v>25.1188643150958</v>
      </c>
      <c r="H44" s="85" t="str">
        <f t="shared" si="1"/>
        <v>157.826479197648i</v>
      </c>
      <c r="I44" s="85">
        <f>IF('Small Signal'!$B$37&gt;=1,Q44+0,N44+0)</f>
        <v>27.10822492068964</v>
      </c>
      <c r="J44" s="85">
        <f>IF('Small Signal'!$B$37&gt;=1,R44,O44)</f>
        <v>-0.30247316149413267</v>
      </c>
      <c r="K44" s="85">
        <f>IF('Small Signal'!$B$37&gt;=1,Z44+0,W44+0)</f>
        <v>60.21408025131294</v>
      </c>
      <c r="L44" s="85">
        <f>IF('Small Signal'!$B$37&gt;=1,AA44,X44)</f>
        <v>114.84780990019198</v>
      </c>
      <c r="M44" s="85" t="str">
        <f>IMDIV(IMSUM('Small Signal'!$B$2*'Small Signal'!$B$16*'Small Signal'!$B$38,IMPRODUCT(H44,'Small Signal'!$B$2*'Small Signal'!$B$16*'Small Signal'!$B$38*'Small Signal'!$B$13*'Small Signal'!$B$14)),IMSUM(IMPRODUCT('Small Signal'!$B$11*'Small Signal'!$B$13*('Small Signal'!$B$14+'Small Signal'!$B$16),IMPOWER(H44,2)),IMSUM(IMPRODUCT(H44,('Small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22.6675819356071-0.119666735046965i</v>
      </c>
      <c r="N44" s="85">
        <f t="shared" si="2"/>
        <v>27.10822492068964</v>
      </c>
      <c r="O44" s="85">
        <f t="shared" si="3"/>
        <v>-0.30247316149413267</v>
      </c>
      <c r="P44" s="85" t="str">
        <f>IMDIV(IMSUM('Small Signal'!$B$48,IMPRODUCT(H44,'Small Signal'!$B$49)),IMSUM(IMPRODUCT('Small Signal'!$B$52,IMPOWER(H44,2)),IMSUM(IMPRODUCT(H44,'Small Signal'!$B$51),'Small Signal'!$B$50)))</f>
        <v>41.1537992450378-0.171607729120941i</v>
      </c>
      <c r="Q44" s="85">
        <f t="shared" si="4"/>
        <v>32.28827420895214</v>
      </c>
      <c r="R44" s="85">
        <f t="shared" si="5"/>
        <v>-0.23891698463544464</v>
      </c>
      <c r="S44" s="85" t="str">
        <f>IMPRODUCT(IMDIV(IMSUM(IMPRODUCT(H44,'Small Signal'!$B$33*'Small Signal'!$B$6*'Small Signal'!$B$27*'Small Signal'!$B$7*'Small Signal'!$B$8),'Small Signal'!$B$33*'Small Signal'!$B$6*'Small Signal'!$B$27),IMSUM(IMSUM(IMPRODUCT(H44,('Small Signal'!$B$5+'Small Signal'!$B$6)*('Small Signal'!$B$32*'Small Signal'!$B$33)+'Small Signal'!$B$5*'Small Signal'!$B$33*('Small Signal'!$B$8+'Small Signal'!$B$9)+'Small Signal'!$B$6*'Small Signal'!$B$33*('Small Signal'!$B$8+'Small Signal'!$B$9)+'Small Signal'!$B$7*'Small Signal'!$B$8*('Small Signal'!$B$5+'Small Signal'!$B$6)),'Small Signal'!$B$6+'Small Signal'!$B$5),IMPRODUCT(IMPOWER(H44,2),'Small Signal'!$B$32*'Small Signal'!$B$33*'Small Signal'!$B$8*'Small Signal'!$B$7*('Small Signal'!$B$5+'Small Signal'!$B$6)+('Small Signal'!$B$5+'Small Signal'!$B$6)*('Small Signal'!$B$9*'Small Signal'!$B$8*'Small Signal'!$B$33*'Small Signal'!$B$7)))),-1)</f>
        <v>-19.2165560111819+40.9294090894719i</v>
      </c>
      <c r="T44" s="85">
        <f t="shared" si="6"/>
        <v>33.1058553306233</v>
      </c>
      <c r="U44" s="85">
        <f t="shared" si="7"/>
        <v>115.15028306168614</v>
      </c>
      <c r="V44" s="85" t="str">
        <f t="shared" si="8"/>
        <v>-430.69496915051+930.070316628292i</v>
      </c>
      <c r="W44" s="80">
        <f t="shared" si="9"/>
        <v>60.21408025131294</v>
      </c>
      <c r="X44" s="85">
        <f t="shared" si="10"/>
        <v>114.84780990019198</v>
      </c>
      <c r="Y44" s="85" t="str">
        <f t="shared" si="11"/>
        <v>-783.810485317098+1687.69839442476i</v>
      </c>
      <c r="Z44" s="80">
        <f t="shared" si="12"/>
        <v>65.39412953957546</v>
      </c>
      <c r="AA44" s="85">
        <f t="shared" si="13"/>
        <v>114.91136607705063</v>
      </c>
    </row>
    <row r="45" spans="1:27" ht="12.75">
      <c r="A45" s="109" t="s">
        <v>292</v>
      </c>
      <c r="B45" s="111">
        <f>(B11*B13*(B16+B14))/(B41*(1-(B3/B2))+B41+B12)</f>
        <v>1.0698634266720315E-10</v>
      </c>
      <c r="F45" s="84">
        <v>43</v>
      </c>
      <c r="G45" s="85">
        <f>10^('Small Signal'!F45/30)</f>
        <v>27.12272579332029</v>
      </c>
      <c r="H45" s="85" t="str">
        <f t="shared" si="1"/>
        <v>170.417112195251i</v>
      </c>
      <c r="I45" s="85">
        <f>IF('Small Signal'!$B$37&gt;=1,Q45+0,N45+0)</f>
        <v>27.108206368026696</v>
      </c>
      <c r="J45" s="85">
        <f>IF('Small Signal'!$B$37&gt;=1,R45,O45)</f>
        <v>-0.326602561283109</v>
      </c>
      <c r="K45" s="85">
        <f>IF('Small Signal'!$B$37&gt;=1,Z45+0,W45+0)</f>
        <v>59.65771955380784</v>
      </c>
      <c r="L45" s="85">
        <f>IF('Small Signal'!$B$37&gt;=1,AA45,X45)</f>
        <v>113.21621568688325</v>
      </c>
      <c r="M45" s="85" t="str">
        <f>IMDIV(IMSUM('Small Signal'!$B$2*'Small Signal'!$B$16*'Small Signal'!$B$38,IMPRODUCT(H45,'Small Signal'!$B$2*'Small Signal'!$B$16*'Small Signal'!$B$38*'Small Signal'!$B$13*'Small Signal'!$B$14)),IMSUM(IMPRODUCT('Small Signal'!$B$11*'Small Signal'!$B$13*('Small Signal'!$B$14+'Small Signal'!$B$16),IMPOWER(H45,2)),IMSUM(IMPRODUCT(H45,('Small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22.6674811125832-0.129212616332329i</v>
      </c>
      <c r="N45" s="85">
        <f t="shared" si="2"/>
        <v>27.108206368026696</v>
      </c>
      <c r="O45" s="85">
        <f t="shared" si="3"/>
        <v>-0.326602561283109</v>
      </c>
      <c r="P45" s="85" t="str">
        <f>IMDIV(IMSUM('Small Signal'!$B$48,IMPRODUCT(H45,'Small Signal'!$B$49)),IMSUM(IMPRODUCT('Small Signal'!$B$52,IMPOWER(H45,2)),IMSUM(IMPRODUCT(H45,'Small Signal'!$B$51),'Small Signal'!$B$50)))</f>
        <v>41.1537016926618-0.185297419968057i</v>
      </c>
      <c r="Q45" s="85">
        <f t="shared" si="4"/>
        <v>32.28826614861972</v>
      </c>
      <c r="R45" s="85">
        <f t="shared" si="5"/>
        <v>-0.25797651093416085</v>
      </c>
      <c r="S45" s="85" t="str">
        <f>IMPRODUCT(IMDIV(IMSUM(IMPRODUCT(H45,'Small Signal'!$B$33*'Small Signal'!$B$6*'Small Signal'!$B$27*'Small Signal'!$B$7*'Small Signal'!$B$8),'Small Signal'!$B$33*'Small Signal'!$B$6*'Small Signal'!$B$27),IMSUM(IMSUM(IMPRODUCT(H45,('Small Signal'!$B$5+'Small Signal'!$B$6)*('Small Signal'!$B$32*'Small Signal'!$B$33)+'Small Signal'!$B$5*'Small Signal'!$B$33*('Small Signal'!$B$8+'Small Signal'!$B$9)+'Small Signal'!$B$6*'Small Signal'!$B$33*('Small Signal'!$B$8+'Small Signal'!$B$9)+'Small Signal'!$B$7*'Small Signal'!$B$8*('Small Signal'!$B$5+'Small Signal'!$B$6)),'Small Signal'!$B$6+'Small Signal'!$B$5),IMPRODUCT(IMPOWER(H45,2),'Small Signal'!$B$32*'Small Signal'!$B$33*'Small Signal'!$B$8*'Small Signal'!$B$7*('Small Signal'!$B$5+'Small Signal'!$B$6)+('Small Signal'!$B$5+'Small Signal'!$B$6)*('Small Signal'!$B$9*'Small Signal'!$B$8*'Small Signal'!$B$33*'Small Signal'!$B$7)))),-1)</f>
        <v>-16.9402965533058+38.8805303213438i</v>
      </c>
      <c r="T45" s="85">
        <f t="shared" si="6"/>
        <v>32.54951318578114</v>
      </c>
      <c r="U45" s="85">
        <f t="shared" si="7"/>
        <v>113.54281824816636</v>
      </c>
      <c r="V45" s="85" t="str">
        <f t="shared" si="8"/>
        <v>-378.969997116408+883.512586745377i</v>
      </c>
      <c r="W45" s="80">
        <f t="shared" si="9"/>
        <v>59.65771955380784</v>
      </c>
      <c r="X45" s="85">
        <f t="shared" si="10"/>
        <v>113.21621568688325</v>
      </c>
      <c r="Y45" s="85" t="str">
        <f t="shared" si="11"/>
        <v>-689.951448984439+1603.2167397419i</v>
      </c>
      <c r="Z45" s="80">
        <f t="shared" si="12"/>
        <v>64.83777933440088</v>
      </c>
      <c r="AA45" s="85">
        <f t="shared" si="13"/>
        <v>113.28484173723216</v>
      </c>
    </row>
    <row r="46" spans="1:27" ht="12.75">
      <c r="A46" s="109" t="s">
        <v>293</v>
      </c>
      <c r="B46" s="111">
        <f>1/(B13*B14)</f>
        <v>11840000.000000004</v>
      </c>
      <c r="F46" s="84">
        <v>44</v>
      </c>
      <c r="G46" s="85">
        <f>10^('Small Signal'!F46/30)</f>
        <v>29.286445646252368</v>
      </c>
      <c r="H46" s="85" t="str">
        <f t="shared" si="1"/>
        <v>184.012164984046i</v>
      </c>
      <c r="I46" s="85">
        <f>IF('Small Signal'!$B$37&gt;=1,Q46+0,N46+0)</f>
        <v>27.108184737309443</v>
      </c>
      <c r="J46" s="85">
        <f>IF('Small Signal'!$B$37&gt;=1,R46,O46)</f>
        <v>-0.35265677243931115</v>
      </c>
      <c r="K46" s="85">
        <f>IF('Small Signal'!$B$37&gt;=1,Z46+0,W46+0)</f>
        <v>59.08794806148056</v>
      </c>
      <c r="L46" s="85">
        <f>IF('Small Signal'!$B$37&gt;=1,AA46,X46)</f>
        <v>111.66898508448277</v>
      </c>
      <c r="M46" s="85" t="str">
        <f>IMDIV(IMSUM('Small Signal'!$B$2*'Small Signal'!$B$16*'Small Signal'!$B$38,IMPRODUCT(H46,'Small Signal'!$B$2*'Small Signal'!$B$16*'Small Signal'!$B$38*'Small Signal'!$B$13*'Small Signal'!$B$14)),IMSUM(IMPRODUCT('Small Signal'!$B$11*'Small Signal'!$B$13*('Small Signal'!$B$14+'Small Signal'!$B$16),IMPOWER(H46,2)),IMSUM(IMPRODUCT(H46,('Small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22.6673635626532-0.139519878944965i</v>
      </c>
      <c r="N46" s="85">
        <f t="shared" si="2"/>
        <v>27.108184737309443</v>
      </c>
      <c r="O46" s="85">
        <f t="shared" si="3"/>
        <v>-0.35265677243931115</v>
      </c>
      <c r="P46" s="85" t="str">
        <f>IMDIV(IMSUM('Small Signal'!$B$48,IMPRODUCT(H46,'Small Signal'!$B$49)),IMSUM(IMPRODUCT('Small Signal'!$B$52,IMPOWER(H46,2)),IMSUM(IMPRODUCT(H46,'Small Signal'!$B$51),'Small Signal'!$B$50)))</f>
        <v>41.1535879553706-0.200079119159496i</v>
      </c>
      <c r="Q46" s="85">
        <f t="shared" si="4"/>
        <v>32.288256750977986</v>
      </c>
      <c r="R46" s="85">
        <f t="shared" si="5"/>
        <v>-0.2785564842783722</v>
      </c>
      <c r="S46" s="85" t="str">
        <f>IMPRODUCT(IMDIV(IMSUM(IMPRODUCT(H46,'Small Signal'!$B$33*'Small Signal'!$B$6*'Small Signal'!$B$27*'Small Signal'!$B$7*'Small Signal'!$B$8),'Small Signal'!$B$33*'Small Signal'!$B$6*'Small Signal'!$B$27),IMSUM(IMSUM(IMPRODUCT(H46,('Small Signal'!$B$5+'Small Signal'!$B$6)*('Small Signal'!$B$32*'Small Signal'!$B$33)+'Small Signal'!$B$5*'Small Signal'!$B$33*('Small Signal'!$B$8+'Small Signal'!$B$9)+'Small Signal'!$B$6*'Small Signal'!$B$33*('Small Signal'!$B$8+'Small Signal'!$B$9)+'Small Signal'!$B$7*'Small Signal'!$B$8*('Small Signal'!$B$5+'Small Signal'!$B$6)),'Small Signal'!$B$6+'Small Signal'!$B$5),IMPRODUCT(IMPOWER(H46,2),'Small Signal'!$B$32*'Small Signal'!$B$33*'Small Signal'!$B$8*'Small Signal'!$B$7*('Small Signal'!$B$5+'Small Signal'!$B$6)+('Small Signal'!$B$5+'Small Signal'!$B$6)*('Small Signal'!$B$9*'Small Signal'!$B$8*'Small Signal'!$B$33*'Small Signal'!$B$7)))),-1)</f>
        <v>-14.892560803748+36.8203331090468i</v>
      </c>
      <c r="T46" s="85">
        <f t="shared" si="6"/>
        <v>31.979763324171117</v>
      </c>
      <c r="U46" s="85">
        <f t="shared" si="7"/>
        <v>112.02164185692209</v>
      </c>
      <c r="V46" s="85" t="str">
        <f t="shared" si="8"/>
        <v>-332.437921699387+836.69768536128i</v>
      </c>
      <c r="W46" s="80">
        <f t="shared" si="9"/>
        <v>59.08794806148056</v>
      </c>
      <c r="X46" s="85">
        <f t="shared" si="10"/>
        <v>111.66898508448277</v>
      </c>
      <c r="Y46" s="85" t="str">
        <f t="shared" si="11"/>
        <v>-605.515331102131+1518.26850759684i</v>
      </c>
      <c r="Z46" s="80">
        <f t="shared" si="12"/>
        <v>64.26802007514908</v>
      </c>
      <c r="AA46" s="85">
        <f t="shared" si="13"/>
        <v>111.74308537264379</v>
      </c>
    </row>
    <row r="47" spans="6:27" ht="12.75">
      <c r="F47" s="84">
        <v>45</v>
      </c>
      <c r="G47" s="85">
        <f>10^('Small Signal'!F47/30)</f>
        <v>31.622776601683803</v>
      </c>
      <c r="H47" s="85" t="str">
        <f t="shared" si="1"/>
        <v>198.691765315922i</v>
      </c>
      <c r="I47" s="85">
        <f>IF('Small Signal'!$B$37&gt;=1,Q47+0,N47+0)</f>
        <v>27.108159517880157</v>
      </c>
      <c r="J47" s="85">
        <f>IF('Small Signal'!$B$37&gt;=1,R47,O47)</f>
        <v>-0.3807893172188578</v>
      </c>
      <c r="K47" s="85">
        <f>IF('Small Signal'!$B$37&gt;=1,Z47+0,W47+0)</f>
        <v>58.5061476958219</v>
      </c>
      <c r="L47" s="85">
        <f>IF('Small Signal'!$B$37&gt;=1,AA47,X47)</f>
        <v>110.20608949988186</v>
      </c>
      <c r="M47" s="85" t="str">
        <f>IMDIV(IMSUM('Small Signal'!$B$2*'Small Signal'!$B$16*'Small Signal'!$B$38,IMPRODUCT(H47,'Small Signal'!$B$2*'Small Signal'!$B$16*'Small Signal'!$B$38*'Small Signal'!$B$13*'Small Signal'!$B$14)),IMSUM(IMPRODUCT('Small Signal'!$B$11*'Small Signal'!$B$13*('Small Signal'!$B$14+'Small Signal'!$B$16),IMPOWER(H47,2)),IMSUM(IMPRODUCT(H47,('Small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22.6672265109726-0.150649225205935i</v>
      </c>
      <c r="N47" s="85">
        <f t="shared" si="2"/>
        <v>27.108159517880157</v>
      </c>
      <c r="O47" s="85">
        <f t="shared" si="3"/>
        <v>-0.3807893172188578</v>
      </c>
      <c r="P47" s="85" t="str">
        <f>IMDIV(IMSUM('Small Signal'!$B$48,IMPRODUCT(H47,'Small Signal'!$B$49)),IMSUM(IMPRODUCT('Small Signal'!$B$52,IMPOWER(H47,2)),IMSUM(IMPRODUCT(H47,'Small Signal'!$B$51),'Small Signal'!$B$50)))</f>
        <v>41.1534553480075-0.216039918803581i</v>
      </c>
      <c r="Q47" s="85">
        <f t="shared" si="4"/>
        <v>32.28824579415372</v>
      </c>
      <c r="R47" s="85">
        <f t="shared" si="5"/>
        <v>-0.30077819087276114</v>
      </c>
      <c r="S47" s="85" t="str">
        <f>IMPRODUCT(IMDIV(IMSUM(IMPRODUCT(H47,'Small Signal'!$B$33*'Small Signal'!$B$6*'Small Signal'!$B$27*'Small Signal'!$B$7*'Small Signal'!$B$8),'Small Signal'!$B$33*'Small Signal'!$B$6*'Small Signal'!$B$27),IMSUM(IMSUM(IMPRODUCT(H47,('Small Signal'!$B$5+'Small Signal'!$B$6)*('Small Signal'!$B$32*'Small Signal'!$B$33)+'Small Signal'!$B$5*'Small Signal'!$B$33*('Small Signal'!$B$8+'Small Signal'!$B$9)+'Small Signal'!$B$6*'Small Signal'!$B$33*('Small Signal'!$B$8+'Small Signal'!$B$9)+'Small Signal'!$B$7*'Small Signal'!$B$8*('Small Signal'!$B$5+'Small Signal'!$B$6)),'Small Signal'!$B$6+'Small Signal'!$B$5),IMPRODUCT(IMPOWER(H47,2),'Small Signal'!$B$32*'Small Signal'!$B$33*'Small Signal'!$B$8*'Small Signal'!$B$7*('Small Signal'!$B$5+'Small Signal'!$B$6)+('Small Signal'!$B$5+'Small Signal'!$B$6)*('Small Signal'!$B$9*'Small Signal'!$B$8*'Small Signal'!$B$33*'Small Signal'!$B$7)))),-1)</f>
        <v>-13.061166415676+34.7728471155285i</v>
      </c>
      <c r="T47" s="85">
        <f t="shared" si="6"/>
        <v>31.39798817794175</v>
      </c>
      <c r="U47" s="85">
        <f t="shared" si="7"/>
        <v>110.58687881710073</v>
      </c>
      <c r="V47" s="85" t="str">
        <f t="shared" si="8"/>
        <v>-290.821915165477+790.171656599912i</v>
      </c>
      <c r="W47" s="80">
        <f t="shared" si="9"/>
        <v>58.5061476958219</v>
      </c>
      <c r="X47" s="85">
        <f t="shared" si="10"/>
        <v>110.20608949988186</v>
      </c>
      <c r="Y47" s="85" t="str">
        <f t="shared" si="11"/>
        <v>-529.999805813009+1433.84454442392i</v>
      </c>
      <c r="Z47" s="80">
        <f t="shared" si="12"/>
        <v>63.68623397209548</v>
      </c>
      <c r="AA47" s="85">
        <f t="shared" si="13"/>
        <v>110.2861006262279</v>
      </c>
    </row>
    <row r="48" spans="1:27" ht="12.75">
      <c r="A48" s="109" t="s">
        <v>294</v>
      </c>
      <c r="B48" s="111">
        <f>B38*B43*B11*B10*B46</f>
        <v>2965399515.8702517</v>
      </c>
      <c r="F48" s="84">
        <v>46</v>
      </c>
      <c r="G48" s="85">
        <f>10^('Small Signal'!F48/30)</f>
        <v>34.145488738336034</v>
      </c>
      <c r="H48" s="85" t="str">
        <f t="shared" si="1"/>
        <v>214.542433147179i</v>
      </c>
      <c r="I48" s="85">
        <f>IF('Small Signal'!$B$37&gt;=1,Q48+0,N48+0)</f>
        <v>27.108130114368592</v>
      </c>
      <c r="J48" s="85">
        <f>IF('Small Signal'!$B$37&gt;=1,R48,O48)</f>
        <v>-0.41116595740395195</v>
      </c>
      <c r="K48" s="85">
        <f>IF('Small Signal'!$B$37&gt;=1,Z48+0,W48+0)</f>
        <v>57.91361776695028</v>
      </c>
      <c r="L48" s="85">
        <f>IF('Small Signal'!$B$37&gt;=1,AA48,X48)</f>
        <v>108.82659819159528</v>
      </c>
      <c r="M48" s="85" t="str">
        <f>IMDIV(IMSUM('Small Signal'!$B$2*'Small Signal'!$B$16*'Small Signal'!$B$38,IMPRODUCT(H48,'Small Signal'!$B$2*'Small Signal'!$B$16*'Small Signal'!$B$38*'Small Signal'!$B$13*'Small Signal'!$B$14)),IMSUM(IMPRODUCT('Small Signal'!$B$11*'Small Signal'!$B$13*('Small Signal'!$B$14+'Small Signal'!$B$16),IMPOWER(H48,2)),IMSUM(IMPRODUCT(H48,('Small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22.6670667224506-0.162666190395526i</v>
      </c>
      <c r="N48" s="85">
        <f t="shared" si="2"/>
        <v>27.108130114368592</v>
      </c>
      <c r="O48" s="85">
        <f t="shared" si="3"/>
        <v>-0.41116595740395195</v>
      </c>
      <c r="P48" s="85" t="str">
        <f>IMDIV(IMSUM('Small Signal'!$B$48,IMPRODUCT(H48,'Small Signal'!$B$49)),IMSUM(IMPRODUCT('Small Signal'!$B$52,IMPOWER(H48,2)),IMSUM(IMPRODUCT(H48,'Small Signal'!$B$51),'Small Signal'!$B$50)))</f>
        <v>41.1533007399653-0.233273852831821i</v>
      </c>
      <c r="Q48" s="85">
        <f t="shared" si="4"/>
        <v>32.288233019463846</v>
      </c>
      <c r="R48" s="85">
        <f t="shared" si="5"/>
        <v>-0.32477259055367824</v>
      </c>
      <c r="S48" s="85" t="str">
        <f>IMPRODUCT(IMDIV(IMSUM(IMPRODUCT(H48,'Small Signal'!$B$33*'Small Signal'!$B$6*'Small Signal'!$B$27*'Small Signal'!$B$7*'Small Signal'!$B$8),'Small Signal'!$B$33*'Small Signal'!$B$6*'Small Signal'!$B$27),IMSUM(IMSUM(IMPRODUCT(H48,('Small Signal'!$B$5+'Small Signal'!$B$6)*('Small Signal'!$B$32*'Small Signal'!$B$33)+'Small Signal'!$B$5*'Small Signal'!$B$33*('Small Signal'!$B$8+'Small Signal'!$B$9)+'Small Signal'!$B$6*'Small Signal'!$B$33*('Small Signal'!$B$8+'Small Signal'!$B$9)+'Small Signal'!$B$7*'Small Signal'!$B$8*('Small Signal'!$B$5+'Small Signal'!$B$6)),'Small Signal'!$B$6+'Small Signal'!$B$5),IMPRODUCT(IMPOWER(H48,2),'Small Signal'!$B$32*'Small Signal'!$B$33*'Small Signal'!$B$8*'Small Signal'!$B$7*('Small Signal'!$B$5+'Small Signal'!$B$6)+('Small Signal'!$B$5+'Small Signal'!$B$6)*('Small Signal'!$B$9*'Small Signal'!$B$8*'Small Signal'!$B$33*'Small Signal'!$B$7)))),-1)</f>
        <v>-11.4318187942624+32.7581756146208i</v>
      </c>
      <c r="T48" s="85">
        <f t="shared" si="6"/>
        <v>30.8054876525817</v>
      </c>
      <c r="U48" s="85">
        <f t="shared" si="7"/>
        <v>109.2377641489992</v>
      </c>
      <c r="V48" s="85" t="str">
        <f t="shared" si="8"/>
        <v>-253.797151736973+744.391322774918i</v>
      </c>
      <c r="W48" s="80">
        <f t="shared" si="9"/>
        <v>57.91361776695028</v>
      </c>
      <c r="X48" s="85">
        <f t="shared" si="10"/>
        <v>108.82659819159528</v>
      </c>
      <c r="Y48" s="85" t="str">
        <f t="shared" si="11"/>
        <v>-462.815451007704+1350.7737971761i</v>
      </c>
      <c r="Z48" s="80">
        <f t="shared" si="12"/>
        <v>63.09372067204555</v>
      </c>
      <c r="AA48" s="85">
        <f t="shared" si="13"/>
        <v>108.91299155844553</v>
      </c>
    </row>
    <row r="49" spans="1:27" ht="12.75">
      <c r="A49" s="109" t="s">
        <v>295</v>
      </c>
      <c r="B49" s="111">
        <f>B38*B43*B11*B10</f>
        <v>250.45604019174414</v>
      </c>
      <c r="F49" s="84">
        <v>47</v>
      </c>
      <c r="G49" s="85">
        <f>10^('Small Signal'!F49/30)</f>
        <v>36.86945064519577</v>
      </c>
      <c r="H49" s="85" t="str">
        <f t="shared" si="1"/>
        <v>231.657590577677i</v>
      </c>
      <c r="I49" s="85">
        <f>IF('Small Signal'!$B$37&gt;=1,Q49+0,N49+0)</f>
        <v>27.10809583264144</v>
      </c>
      <c r="J49" s="85">
        <f>IF('Small Signal'!$B$37&gt;=1,R49,O49)</f>
        <v>-0.4439656687100983</v>
      </c>
      <c r="K49" s="85">
        <f>IF('Small Signal'!$B$37&gt;=1,Z49+0,W49+0)</f>
        <v>57.311564614225354</v>
      </c>
      <c r="L49" s="85">
        <f>IF('Small Signal'!$B$37&gt;=1,AA49,X49)</f>
        <v>107.52883703920305</v>
      </c>
      <c r="M49" s="85" t="str">
        <f>IMDIV(IMSUM('Small Signal'!$B$2*'Small Signal'!$B$16*'Small Signal'!$B$38,IMPRODUCT(H49,'Small Signal'!$B$2*'Small Signal'!$B$16*'Small Signal'!$B$38*'Small Signal'!$B$13*'Small Signal'!$B$14)),IMSUM(IMPRODUCT('Small Signal'!$B$11*'Small Signal'!$B$13*('Small Signal'!$B$14+'Small Signal'!$B$16),IMPOWER(H49,2)),IMSUM(IMPRODUCT(H49,('Small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22.6668804254386-0.175641525823939i</v>
      </c>
      <c r="N49" s="85">
        <f t="shared" si="2"/>
        <v>27.10809583264144</v>
      </c>
      <c r="O49" s="85">
        <f t="shared" si="3"/>
        <v>-0.4439656687100983</v>
      </c>
      <c r="P49" s="85" t="str">
        <f>IMDIV(IMSUM('Small Signal'!$B$48,IMPRODUCT(H49,'Small Signal'!$B$49)),IMSUM(IMPRODUCT('Small Signal'!$B$52,IMPOWER(H49,2)),IMSUM(IMPRODUCT(H49,'Small Signal'!$B$51),'Small Signal'!$B$50)))</f>
        <v>41.1531204812994-0.251882449239935i</v>
      </c>
      <c r="Q49" s="85">
        <f t="shared" si="4"/>
        <v>32.28821812530888</v>
      </c>
      <c r="R49" s="85">
        <f t="shared" si="5"/>
        <v>-0.3506810879881448</v>
      </c>
      <c r="S49" s="85" t="str">
        <f>IMPRODUCT(IMDIV(IMSUM(IMPRODUCT(H49,'Small Signal'!$B$33*'Small Signal'!$B$6*'Small Signal'!$B$27*'Small Signal'!$B$7*'Small Signal'!$B$8),'Small Signal'!$B$33*'Small Signal'!$B$6*'Small Signal'!$B$27),IMSUM(IMSUM(IMPRODUCT(H49,('Small Signal'!$B$5+'Small Signal'!$B$6)*('Small Signal'!$B$32*'Small Signal'!$B$33)+'Small Signal'!$B$5*'Small Signal'!$B$33*('Small Signal'!$B$8+'Small Signal'!$B$9)+'Small Signal'!$B$6*'Small Signal'!$B$33*('Small Signal'!$B$8+'Small Signal'!$B$9)+'Small Signal'!$B$7*'Small Signal'!$B$8*('Small Signal'!$B$5+'Small Signal'!$B$6)),'Small Signal'!$B$6+'Small Signal'!$B$5),IMPRODUCT(IMPOWER(H49,2),'Small Signal'!$B$32*'Small Signal'!$B$33*'Small Signal'!$B$8*'Small Signal'!$B$7*('Small Signal'!$B$5+'Small Signal'!$B$6)+('Small Signal'!$B$5+'Small Signal'!$B$6)*('Small Signal'!$B$9*'Small Signal'!$B$8*'Small Signal'!$B$33*'Small Signal'!$B$7)))),-1)</f>
        <v>-9.9889725567391+30.7926236009825i</v>
      </c>
      <c r="T49" s="85">
        <f t="shared" si="6"/>
        <v>30.203468781583904</v>
      </c>
      <c r="U49" s="85">
        <f t="shared" si="7"/>
        <v>107.97280270791315</v>
      </c>
      <c r="V49" s="85" t="str">
        <f t="shared" si="8"/>
        <v>-221.010383123194+699.727195530288i</v>
      </c>
      <c r="W49" s="80">
        <f t="shared" si="9"/>
        <v>57.311564614225354</v>
      </c>
      <c r="X49" s="85">
        <f t="shared" si="10"/>
        <v>107.52883703920305</v>
      </c>
      <c r="Y49" s="85" t="str">
        <f t="shared" si="11"/>
        <v>-403.321269660739+1269.72859585952i</v>
      </c>
      <c r="Z49" s="80">
        <f t="shared" si="12"/>
        <v>62.4916869068928</v>
      </c>
      <c r="AA49" s="85">
        <f t="shared" si="13"/>
        <v>107.62212161992501</v>
      </c>
    </row>
    <row r="50" spans="1:27" ht="12.75">
      <c r="A50" s="109" t="s">
        <v>296</v>
      </c>
      <c r="B50" s="111">
        <f>B11*B46*B10-B38*B43*B46*B30*B42</f>
        <v>72055489.49117056</v>
      </c>
      <c r="F50" s="84">
        <v>48</v>
      </c>
      <c r="G50" s="85">
        <f>10^('Small Signal'!F50/30)</f>
        <v>39.810717055349755</v>
      </c>
      <c r="H50" s="85" t="str">
        <f t="shared" si="1"/>
        <v>250.138112470457i</v>
      </c>
      <c r="I50" s="85">
        <f>IF('Small Signal'!$B$37&gt;=1,Q50+0,N50+0)</f>
        <v>27.108055863422354</v>
      </c>
      <c r="J50" s="85">
        <f>IF('Small Signal'!$B$37&gt;=1,R50,O50)</f>
        <v>-0.47938169240838374</v>
      </c>
      <c r="K50" s="85">
        <f>IF('Small Signal'!$B$37&gt;=1,Z50+0,W50+0)</f>
        <v>56.701096148783776</v>
      </c>
      <c r="L50" s="85">
        <f>IF('Small Signal'!$B$37&gt;=1,AA50,X50)</f>
        <v>106.3105390408888</v>
      </c>
      <c r="M50" s="85" t="str">
        <f>IMDIV(IMSUM('Small Signal'!$B$2*'Small Signal'!$B$16*'Small Signal'!$B$38,IMPRODUCT(H50,'Small Signal'!$B$2*'Small Signal'!$B$16*'Small Signal'!$B$38*'Small Signal'!$B$13*'Small Signal'!$B$14)),IMSUM(IMPRODUCT('Small Signal'!$B$11*'Small Signal'!$B$13*('Small Signal'!$B$14+'Small Signal'!$B$16),IMPOWER(H50,2)),IMSUM(IMPRODUCT(H50,('Small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22.6666632227759-0.189651611819844i</v>
      </c>
      <c r="N50" s="85">
        <f t="shared" si="2"/>
        <v>27.108055863422354</v>
      </c>
      <c r="O50" s="85">
        <f t="shared" si="3"/>
        <v>-0.47938169240838374</v>
      </c>
      <c r="P50" s="85" t="str">
        <f>IMDIV(IMSUM('Small Signal'!$B$48,IMPRODUCT(H50,'Small Signal'!$B$49)),IMSUM(IMPRODUCT('Small Signal'!$B$52,IMPOWER(H50,2)),IMSUM(IMPRODUCT(H50,'Small Signal'!$B$51),'Small Signal'!$B$50)))</f>
        <v>41.1529103165886-0.271975325984296i</v>
      </c>
      <c r="Q50" s="85">
        <f t="shared" si="4"/>
        <v>32.28820076005333</v>
      </c>
      <c r="R50" s="85">
        <f t="shared" si="5"/>
        <v>-0.3786563652616829</v>
      </c>
      <c r="S50" s="85" t="str">
        <f>IMPRODUCT(IMDIV(IMSUM(IMPRODUCT(H50,'Small Signal'!$B$33*'Small Signal'!$B$6*'Small Signal'!$B$27*'Small Signal'!$B$7*'Small Signal'!$B$8),'Small Signal'!$B$33*'Small Signal'!$B$6*'Small Signal'!$B$27),IMSUM(IMSUM(IMPRODUCT(H50,('Small Signal'!$B$5+'Small Signal'!$B$6)*('Small Signal'!$B$32*'Small Signal'!$B$33)+'Small Signal'!$B$5*'Small Signal'!$B$33*('Small Signal'!$B$8+'Small Signal'!$B$9)+'Small Signal'!$B$6*'Small Signal'!$B$33*('Small Signal'!$B$8+'Small Signal'!$B$9)+'Small Signal'!$B$7*'Small Signal'!$B$8*('Small Signal'!$B$5+'Small Signal'!$B$6)),'Small Signal'!$B$6+'Small Signal'!$B$5),IMPRODUCT(IMPOWER(H50,2),'Small Signal'!$B$32*'Small Signal'!$B$33*'Small Signal'!$B$8*'Small Signal'!$B$7*('Small Signal'!$B$5+'Small Signal'!$B$6)+('Small Signal'!$B$5+'Small Signal'!$B$6)*('Small Signal'!$B$9*'Small Signal'!$B$8*'Small Signal'!$B$33*'Small Signal'!$B$7)))),-1)</f>
        <v>-8.71654766448193+28.8889646522418i</v>
      </c>
      <c r="T50" s="85">
        <f t="shared" si="6"/>
        <v>29.59304028536142</v>
      </c>
      <c r="U50" s="85">
        <f t="shared" si="7"/>
        <v>106.78992073329717</v>
      </c>
      <c r="V50" s="85" t="str">
        <f t="shared" si="8"/>
        <v>-192.096211665982+656.469539941116i</v>
      </c>
      <c r="W50" s="80">
        <f t="shared" si="9"/>
        <v>56.701096148783776</v>
      </c>
      <c r="X50" s="85">
        <f t="shared" si="10"/>
        <v>106.3105390408888</v>
      </c>
      <c r="Y50" s="85" t="str">
        <f t="shared" si="11"/>
        <v>-350.854218728052+1191.23565736531i</v>
      </c>
      <c r="Z50" s="80">
        <f t="shared" si="12"/>
        <v>61.88124104541474</v>
      </c>
      <c r="AA50" s="85">
        <f t="shared" si="13"/>
        <v>106.41126436803546</v>
      </c>
    </row>
    <row r="51" spans="1:27" ht="12.75">
      <c r="A51" s="109" t="s">
        <v>58</v>
      </c>
      <c r="B51" s="111">
        <f>B11*B46*B10*B44-B42*B38*B43*B30</f>
        <v>1909.8482466572327</v>
      </c>
      <c r="F51" s="84">
        <v>49</v>
      </c>
      <c r="G51" s="85">
        <f>10^('Small Signal'!F51/30)</f>
        <v>42.98662347082277</v>
      </c>
      <c r="H51" s="85" t="str">
        <f t="shared" si="1"/>
        <v>270.092920997135i</v>
      </c>
      <c r="I51" s="85">
        <f>IF('Small Signal'!$B$37&gt;=1,Q51+0,N51+0)</f>
        <v>27.108009263196983</v>
      </c>
      <c r="J51" s="85">
        <f>IF('Small Signal'!$B$37&gt;=1,R51,O51)</f>
        <v>-0.5176226701884694</v>
      </c>
      <c r="K51" s="85">
        <f>IF('Small Signal'!$B$37&gt;=1,Z51+0,W51+0)</f>
        <v>56.08322037751364</v>
      </c>
      <c r="L51" s="85">
        <f>IF('Small Signal'!$B$37&gt;=1,AA51,X51)</f>
        <v>105.1689819680893</v>
      </c>
      <c r="M51" s="85" t="str">
        <f>IMDIV(IMSUM('Small Signal'!$B$2*'Small Signal'!$B$16*'Small Signal'!$B$38,IMPRODUCT(H51,'Small Signal'!$B$2*'Small Signal'!$B$16*'Small Signal'!$B$38*'Small Signal'!$B$13*'Small Signal'!$B$14)),IMSUM(IMPRODUCT('Small Signal'!$B$11*'Small Signal'!$B$13*('Small Signal'!$B$14+'Small Signal'!$B$16),IMPOWER(H51,2)),IMSUM(IMPRODUCT(H51,('Small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22.6664099881023-0.204778902857501i</v>
      </c>
      <c r="N51" s="85">
        <f t="shared" si="2"/>
        <v>27.108009263196983</v>
      </c>
      <c r="O51" s="85">
        <f t="shared" si="3"/>
        <v>-0.5176226701884694</v>
      </c>
      <c r="P51" s="85" t="str">
        <f>IMDIV(IMSUM('Small Signal'!$B$48,IMPRODUCT(H51,'Small Signal'!$B$49)),IMSUM(IMPRODUCT('Small Signal'!$B$52,IMPOWER(H51,2)),IMSUM(IMPRODUCT(H51,'Small Signal'!$B$51),'Small Signal'!$B$50)))</f>
        <v>41.1526652845154-0.29367083391292i</v>
      </c>
      <c r="Q51" s="85">
        <f t="shared" si="4"/>
        <v>32.288180513725486</v>
      </c>
      <c r="R51" s="85">
        <f t="shared" si="5"/>
        <v>-0.4088632807175985</v>
      </c>
      <c r="S51" s="85" t="str">
        <f>IMPRODUCT(IMDIV(IMSUM(IMPRODUCT(H51,'Small Signal'!$B$33*'Small Signal'!$B$6*'Small Signal'!$B$27*'Small Signal'!$B$7*'Small Signal'!$B$8),'Small Signal'!$B$33*'Small Signal'!$B$6*'Small Signal'!$B$27),IMSUM(IMSUM(IMPRODUCT(H51,('Small Signal'!$B$5+'Small Signal'!$B$6)*('Small Signal'!$B$32*'Small Signal'!$B$33)+'Small Signal'!$B$5*'Small Signal'!$B$33*('Small Signal'!$B$8+'Small Signal'!$B$9)+'Small Signal'!$B$6*'Small Signal'!$B$33*('Small Signal'!$B$8+'Small Signal'!$B$9)+'Small Signal'!$B$7*'Small Signal'!$B$8*('Small Signal'!$B$5+'Small Signal'!$B$6)),'Small Signal'!$B$6+'Small Signal'!$B$5),IMPRODUCT(IMPOWER(H51,2),'Small Signal'!$B$32*'Small Signal'!$B$33*'Small Signal'!$B$8*'Small Signal'!$B$7*('Small Signal'!$B$5+'Small Signal'!$B$6)+('Small Signal'!$B$5+'Small Signal'!$B$6)*('Small Signal'!$B$9*'Small Signal'!$B$8*'Small Signal'!$B$33*'Small Signal'!$B$7)))),-1)</f>
        <v>-7.59849669658399+27.0567937796441i</v>
      </c>
      <c r="T51" s="85">
        <f t="shared" si="6"/>
        <v>28.975211114316654</v>
      </c>
      <c r="U51" s="85">
        <f t="shared" si="7"/>
        <v>105.68660463827781</v>
      </c>
      <c r="V51" s="85" t="str">
        <f t="shared" si="8"/>
        <v>-166.689980872976+614.836392589842i</v>
      </c>
      <c r="W51" s="80">
        <f t="shared" si="9"/>
        <v>56.08322037751364</v>
      </c>
      <c r="X51" s="85">
        <f t="shared" si="10"/>
        <v>105.1689819680893</v>
      </c>
      <c r="Y51" s="85" t="str">
        <f t="shared" si="11"/>
        <v>-304.752600027739+1115.69063494722i</v>
      </c>
      <c r="Z51" s="80">
        <f t="shared" si="12"/>
        <v>61.26339162804213</v>
      </c>
      <c r="AA51" s="85">
        <f t="shared" si="13"/>
        <v>105.27774135756025</v>
      </c>
    </row>
    <row r="52" spans="1:27" ht="12.75">
      <c r="A52" s="109" t="s">
        <v>297</v>
      </c>
      <c r="B52" s="111">
        <f>B11*B46*B10*B45</f>
        <v>0.009130693148041128</v>
      </c>
      <c r="F52" s="84">
        <v>50</v>
      </c>
      <c r="G52" s="85">
        <f>10^('Small Signal'!F52/30)</f>
        <v>46.41588833612781</v>
      </c>
      <c r="H52" s="85" t="str">
        <f t="shared" si="1"/>
        <v>291.639627613247i</v>
      </c>
      <c r="I52" s="85">
        <f>IF('Small Signal'!$B$37&gt;=1,Q52+0,N52+0)</f>
        <v>27.107954931951955</v>
      </c>
      <c r="J52" s="85">
        <f>IF('Small Signal'!$B$37&gt;=1,R52,O52)</f>
        <v>-0.558913868733852</v>
      </c>
      <c r="K52" s="85">
        <f>IF('Small Signal'!$B$37&gt;=1,Z52+0,W52+0)</f>
        <v>55.45884700693914</v>
      </c>
      <c r="L52" s="85">
        <f>IF('Small Signal'!$B$37&gt;=1,AA52,X52)</f>
        <v>104.10111057886107</v>
      </c>
      <c r="M52" s="85" t="str">
        <f>IMDIV(IMSUM('Small Signal'!$B$2*'Small Signal'!$B$16*'Small Signal'!$B$38,IMPRODUCT(H52,'Small Signal'!$B$2*'Small Signal'!$B$16*'Small Signal'!$B$38*'Small Signal'!$B$13*'Small Signal'!$B$14)),IMSUM(IMPRODUCT('Small Signal'!$B$11*'Small Signal'!$B$13*('Small Signal'!$B$14+'Small Signal'!$B$16),IMPOWER(H52,2)),IMSUM(IMPRODUCT(H52,('Small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22.6661147449982-0.221112407177319i</v>
      </c>
      <c r="N52" s="85">
        <f t="shared" si="2"/>
        <v>27.107954931951955</v>
      </c>
      <c r="O52" s="85">
        <f t="shared" si="3"/>
        <v>-0.558913868733852</v>
      </c>
      <c r="P52" s="85" t="str">
        <f>IMDIV(IMSUM('Small Signal'!$B$48,IMPRODUCT(H52,'Small Signal'!$B$49)),IMSUM(IMPRODUCT('Small Signal'!$B$52,IMPOWER(H52,2)),IMSUM(IMPRODUCT(H52,'Small Signal'!$B$51),'Small Signal'!$B$50)))</f>
        <v>41.1523796007975-0.317096750352974i</v>
      </c>
      <c r="Q52" s="85">
        <f t="shared" si="4"/>
        <v>32.28815690834052</v>
      </c>
      <c r="R52" s="85">
        <f t="shared" si="5"/>
        <v>-0.4414798392893988</v>
      </c>
      <c r="S52" s="85" t="str">
        <f>IMPRODUCT(IMDIV(IMSUM(IMPRODUCT(H52,'Small Signal'!$B$33*'Small Signal'!$B$6*'Small Signal'!$B$27*'Small Signal'!$B$7*'Small Signal'!$B$8),'Small Signal'!$B$33*'Small Signal'!$B$6*'Small Signal'!$B$27),IMSUM(IMSUM(IMPRODUCT(H52,('Small Signal'!$B$5+'Small Signal'!$B$6)*('Small Signal'!$B$32*'Small Signal'!$B$33)+'Small Signal'!$B$5*'Small Signal'!$B$33*('Small Signal'!$B$8+'Small Signal'!$B$9)+'Small Signal'!$B$6*'Small Signal'!$B$33*('Small Signal'!$B$8+'Small Signal'!$B$9)+'Small Signal'!$B$7*'Small Signal'!$B$8*('Small Signal'!$B$5+'Small Signal'!$B$6)),'Small Signal'!$B$6+'Small Signal'!$B$5),IMPRODUCT(IMPOWER(H52,2),'Small Signal'!$B$32*'Small Signal'!$B$33*'Small Signal'!$B$8*'Small Signal'!$B$7*('Small Signal'!$B$5+'Small Signal'!$B$6)+('Small Signal'!$B$5+'Small Signal'!$B$6)*('Small Signal'!$B$9*'Small Signal'!$B$8*'Small Signal'!$B$33*'Small Signal'!$B$7)))),-1)</f>
        <v>-6.61923201209931+25.3029229557775i</v>
      </c>
      <c r="T52" s="85">
        <f t="shared" si="6"/>
        <v>28.350892074987186</v>
      </c>
      <c r="U52" s="85">
        <f t="shared" si="7"/>
        <v>104.66002444759492</v>
      </c>
      <c r="V52" s="85" t="str">
        <f t="shared" si="8"/>
        <v>-144.437482106634+574.982549423362i</v>
      </c>
      <c r="W52" s="80">
        <f t="shared" si="9"/>
        <v>55.45884700693914</v>
      </c>
      <c r="X52" s="85">
        <f t="shared" si="10"/>
        <v>104.10111057886107</v>
      </c>
      <c r="Y52" s="85" t="str">
        <f t="shared" si="11"/>
        <v>-264.373673783953+1043.37442744676i</v>
      </c>
      <c r="Z52" s="80">
        <f t="shared" si="12"/>
        <v>60.63904898332772</v>
      </c>
      <c r="AA52" s="85">
        <f t="shared" si="13"/>
        <v>104.2185446083055</v>
      </c>
    </row>
    <row r="53" spans="6:27" ht="12.75">
      <c r="F53" s="84">
        <v>51</v>
      </c>
      <c r="G53" s="85">
        <f>10^('Small Signal'!F53/30)</f>
        <v>50.11872336272724</v>
      </c>
      <c r="H53" s="85" t="str">
        <f t="shared" si="1"/>
        <v>314.905226247286i</v>
      </c>
      <c r="I53" s="85">
        <f>IF('Small Signal'!$B$37&gt;=1,Q53+0,N53+0)</f>
        <v>27.107891587225797</v>
      </c>
      <c r="J53" s="85">
        <f>IF('Small Signal'!$B$37&gt;=1,R53,O53)</f>
        <v>-0.6034985009538666</v>
      </c>
      <c r="K53" s="85">
        <f>IF('Small Signal'!$B$37&gt;=1,Z53+0,W53+0)</f>
        <v>54.828791304940694</v>
      </c>
      <c r="L53" s="85">
        <f>IF('Small Signal'!$B$37&gt;=1,AA53,X53)</f>
        <v>103.10364235425757</v>
      </c>
      <c r="M53" s="85" t="str">
        <f>IMDIV(IMSUM('Small Signal'!$B$2*'Small Signal'!$B$16*'Small Signal'!$B$38,IMPRODUCT(H53,'Small Signal'!$B$2*'Small Signal'!$B$16*'Small Signal'!$B$38*'Small Signal'!$B$13*'Small Signal'!$B$14)),IMSUM(IMPRODUCT('Small Signal'!$B$11*'Small Signal'!$B$13*('Small Signal'!$B$14+'Small Signal'!$B$16),IMPOWER(H53,2)),IMSUM(IMPRODUCT(H53,('Small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22.665770526121-0.238748203388795i</v>
      </c>
      <c r="N53" s="85">
        <f t="shared" si="2"/>
        <v>27.107891587225797</v>
      </c>
      <c r="O53" s="85">
        <f t="shared" si="3"/>
        <v>-0.6034985009538666</v>
      </c>
      <c r="P53" s="85" t="str">
        <f>IMDIV(IMSUM('Small Signal'!$B$48,IMPRODUCT(H53,'Small Signal'!$B$49)),IMSUM(IMPRODUCT('Small Signal'!$B$52,IMPOWER(H53,2)),IMSUM(IMPRODUCT(H53,'Small Signal'!$B$51),'Small Signal'!$B$50)))</f>
        <v>41.1520465217133-0.342391027232016i</v>
      </c>
      <c r="Q53" s="85">
        <f t="shared" si="4"/>
        <v>32.288129386618415</v>
      </c>
      <c r="R53" s="85">
        <f t="shared" si="5"/>
        <v>-0.47669823997487876</v>
      </c>
      <c r="S53" s="85" t="str">
        <f>IMPRODUCT(IMDIV(IMSUM(IMPRODUCT(H53,'Small Signal'!$B$33*'Small Signal'!$B$6*'Small Signal'!$B$27*'Small Signal'!$B$7*'Small Signal'!$B$8),'Small Signal'!$B$33*'Small Signal'!$B$6*'Small Signal'!$B$27),IMSUM(IMSUM(IMPRODUCT(H53,('Small Signal'!$B$5+'Small Signal'!$B$6)*('Small Signal'!$B$32*'Small Signal'!$B$33)+'Small Signal'!$B$5*'Small Signal'!$B$33*('Small Signal'!$B$8+'Small Signal'!$B$9)+'Small Signal'!$B$6*'Small Signal'!$B$33*('Small Signal'!$B$8+'Small Signal'!$B$9)+'Small Signal'!$B$7*'Small Signal'!$B$8*('Small Signal'!$B$5+'Small Signal'!$B$6)),'Small Signal'!$B$6+'Small Signal'!$B$5),IMPRODUCT(IMPOWER(H53,2),'Small Signal'!$B$32*'Small Signal'!$B$33*'Small Signal'!$B$8*'Small Signal'!$B$7*('Small Signal'!$B$5+'Small Signal'!$B$6)+('Small Signal'!$B$5+'Small Signal'!$B$6)*('Small Signal'!$B$9*'Small Signal'!$B$8*'Small Signal'!$B$33*'Small Signal'!$B$7)))),-1)</f>
        <v>-5.76392890565393+23.6317862820558i</v>
      </c>
      <c r="T53" s="85">
        <f t="shared" si="6"/>
        <v>27.72089971771489</v>
      </c>
      <c r="U53" s="85">
        <f t="shared" si="7"/>
        <v>103.70714085521145</v>
      </c>
      <c r="V53" s="85" t="str">
        <f t="shared" si="8"/>
        <v>-125.001843386719+537.008772662097i</v>
      </c>
      <c r="W53" s="80">
        <f t="shared" si="9"/>
        <v>54.828791304940694</v>
      </c>
      <c r="X53" s="85">
        <f t="shared" si="10"/>
        <v>103.10364235425757</v>
      </c>
      <c r="Y53" s="85" t="str">
        <f t="shared" si="11"/>
        <v>-229.106158892878+974.469886009246i</v>
      </c>
      <c r="Z53" s="80">
        <f t="shared" si="12"/>
        <v>60.009029104333315</v>
      </c>
      <c r="AA53" s="85">
        <f t="shared" si="13"/>
        <v>103.23044261523656</v>
      </c>
    </row>
    <row r="54" spans="6:27" ht="12.75">
      <c r="F54" s="84">
        <v>52</v>
      </c>
      <c r="G54" s="85">
        <f>10^('Small Signal'!F54/30)</f>
        <v>54.11695265464639</v>
      </c>
      <c r="H54" s="85" t="str">
        <f t="shared" si="1"/>
        <v>340.026841789008i</v>
      </c>
      <c r="I54" s="85">
        <f>IF('Small Signal'!$B$37&gt;=1,Q54+0,N54+0)</f>
        <v>27.107817733859516</v>
      </c>
      <c r="J54" s="85">
        <f>IF('Small Signal'!$B$37&gt;=1,R54,O54)</f>
        <v>-0.6516391513154769</v>
      </c>
      <c r="K54" s="85">
        <f>IF('Small Signal'!$B$37&gt;=1,Z54+0,W54+0)</f>
        <v>54.193779510603754</v>
      </c>
      <c r="L54" s="85">
        <f>IF('Small Signal'!$B$37&gt;=1,AA54,X54)</f>
        <v>102.173156872835</v>
      </c>
      <c r="M54" s="85" t="str">
        <f>IMDIV(IMSUM('Small Signal'!$B$2*'Small Signal'!$B$16*'Small Signal'!$B$38,IMPRODUCT(H54,'Small Signal'!$B$2*'Small Signal'!$B$16*'Small Signal'!$B$38*'Small Signal'!$B$13*'Small Signal'!$B$14)),IMSUM(IMPRODUCT('Small Signal'!$B$11*'Small Signal'!$B$13*('Small Signal'!$B$14+'Small Signal'!$B$16),IMPOWER(H54,2)),IMSUM(IMPRODUCT(H54,('Small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22.66536920903-0.257789996675135i</v>
      </c>
      <c r="N54" s="85">
        <f t="shared" si="2"/>
        <v>27.107817733859516</v>
      </c>
      <c r="O54" s="85">
        <f t="shared" si="3"/>
        <v>-0.6516391513154769</v>
      </c>
      <c r="P54" s="85" t="str">
        <f>IMDIV(IMSUM('Small Signal'!$B$48,IMPRODUCT(H54,'Small Signal'!$B$49)),IMSUM(IMPRODUCT('Small Signal'!$B$52,IMPOWER(H54,2)),IMSUM(IMPRODUCT(H54,'Small Signal'!$B$51),'Small Signal'!$B$50)))</f>
        <v>41.1516581850103-0.369702597877042i</v>
      </c>
      <c r="Q54" s="85">
        <f t="shared" si="4"/>
        <v>32.28809729883143</v>
      </c>
      <c r="R54" s="85">
        <f t="shared" si="5"/>
        <v>-0.5147260065367529</v>
      </c>
      <c r="S54" s="85" t="str">
        <f>IMPRODUCT(IMDIV(IMSUM(IMPRODUCT(H54,'Small Signal'!$B$33*'Small Signal'!$B$6*'Small Signal'!$B$27*'Small Signal'!$B$7*'Small Signal'!$B$8),'Small Signal'!$B$33*'Small Signal'!$B$6*'Small Signal'!$B$27),IMSUM(IMSUM(IMPRODUCT(H54,('Small Signal'!$B$5+'Small Signal'!$B$6)*('Small Signal'!$B$32*'Small Signal'!$B$33)+'Small Signal'!$B$5*'Small Signal'!$B$33*('Small Signal'!$B$8+'Small Signal'!$B$9)+'Small Signal'!$B$6*'Small Signal'!$B$33*('Small Signal'!$B$8+'Small Signal'!$B$9)+'Small Signal'!$B$7*'Small Signal'!$B$8*('Small Signal'!$B$5+'Small Signal'!$B$6)),'Small Signal'!$B$6+'Small Signal'!$B$5),IMPRODUCT(IMPOWER(H54,2),'Small Signal'!$B$32*'Small Signal'!$B$33*'Small Signal'!$B$8*'Small Signal'!$B$7*('Small Signal'!$B$5+'Small Signal'!$B$6)+('Small Signal'!$B$5+'Small Signal'!$B$6)*('Small Signal'!$B$9*'Small Signal'!$B$8*'Small Signal'!$B$33*'Small Signal'!$B$7)))),-1)</f>
        <v>-5.01872429551627+22.0458314268156i</v>
      </c>
      <c r="T54" s="85">
        <f t="shared" si="6"/>
        <v>27.085961776744234</v>
      </c>
      <c r="U54" s="85">
        <f t="shared" si="7"/>
        <v>102.82479602415047</v>
      </c>
      <c r="V54" s="85" t="str">
        <f t="shared" si="8"/>
        <v>-108.068044305986+500.970685728267i</v>
      </c>
      <c r="W54" s="80">
        <f t="shared" si="9"/>
        <v>54.193779510603754</v>
      </c>
      <c r="X54" s="85">
        <f t="shared" si="10"/>
        <v>102.173156872835</v>
      </c>
      <c r="Y54" s="85" t="str">
        <f t="shared" si="11"/>
        <v>-198.378425583039+909.077954690754i</v>
      </c>
      <c r="Z54" s="80">
        <f t="shared" si="12"/>
        <v>59.37405907557566</v>
      </c>
      <c r="AA54" s="85">
        <f t="shared" si="13"/>
        <v>102.31007001761371</v>
      </c>
    </row>
    <row r="55" spans="6:27" ht="12.75">
      <c r="F55" s="84">
        <v>53</v>
      </c>
      <c r="G55" s="85">
        <f>10^('Small Signal'!F55/30)</f>
        <v>58.434141337351775</v>
      </c>
      <c r="H55" s="85" t="str">
        <f t="shared" si="1"/>
        <v>367.152538288504i</v>
      </c>
      <c r="I55" s="85">
        <f>IF('Small Signal'!$B$37&gt;=1,Q55+0,N55+0)</f>
        <v>27.107731628735742</v>
      </c>
      <c r="J55" s="85">
        <f>IF('Small Signal'!$B$37&gt;=1,R55,O55)</f>
        <v>-0.7036193132428498</v>
      </c>
      <c r="K55" s="85">
        <f>IF('Small Signal'!$B$37&gt;=1,Z55+0,W55+0)</f>
        <v>53.55445520687119</v>
      </c>
      <c r="L55" s="85">
        <f>IF('Small Signal'!$B$37&gt;=1,AA55,X55)</f>
        <v>101.30616972012746</v>
      </c>
      <c r="M55" s="85" t="str">
        <f>IMDIV(IMSUM('Small Signal'!$B$2*'Small Signal'!$B$16*'Small Signal'!$B$38,IMPRODUCT(H55,'Small Signal'!$B$2*'Small Signal'!$B$16*'Small Signal'!$B$38*'Small Signal'!$B$13*'Small Signal'!$B$14)),IMSUM(IMPRODUCT('Small Signal'!$B$11*'Small Signal'!$B$13*('Small Signal'!$B$14+'Small Signal'!$B$16),IMPOWER(H55,2)),IMSUM(IMPRODUCT(H55,('Small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22.6649013248555-0.278349717342544i</v>
      </c>
      <c r="N55" s="85">
        <f t="shared" si="2"/>
        <v>27.107731628735742</v>
      </c>
      <c r="O55" s="85">
        <f t="shared" si="3"/>
        <v>-0.7036193132428498</v>
      </c>
      <c r="P55" s="85" t="str">
        <f>IMDIV(IMSUM('Small Signal'!$B$48,IMPRODUCT(H55,'Small Signal'!$B$49)),IMSUM(IMPRODUCT('Small Signal'!$B$52,IMPOWER(H55,2)),IMSUM(IMPRODUCT(H55,'Small Signal'!$B$51),'Small Signal'!$B$50)))</f>
        <v>41.1512054244498-0.399192246912683i</v>
      </c>
      <c r="Q55" s="85">
        <f t="shared" si="4"/>
        <v>32.2880598874702</v>
      </c>
      <c r="R55" s="85">
        <f t="shared" si="5"/>
        <v>-0.5557872079823765</v>
      </c>
      <c r="S55" s="85" t="str">
        <f>IMPRODUCT(IMDIV(IMSUM(IMPRODUCT(H55,'Small Signal'!$B$33*'Small Signal'!$B$6*'Small Signal'!$B$27*'Small Signal'!$B$7*'Small Signal'!$B$8),'Small Signal'!$B$33*'Small Signal'!$B$6*'Small Signal'!$B$27),IMSUM(IMSUM(IMPRODUCT(H55,('Small Signal'!$B$5+'Small Signal'!$B$6)*('Small Signal'!$B$32*'Small Signal'!$B$33)+'Small Signal'!$B$5*'Small Signal'!$B$33*('Small Signal'!$B$8+'Small Signal'!$B$9)+'Small Signal'!$B$6*'Small Signal'!$B$33*('Small Signal'!$B$8+'Small Signal'!$B$9)+'Small Signal'!$B$7*'Small Signal'!$B$8*('Small Signal'!$B$5+'Small Signal'!$B$6)),'Small Signal'!$B$6+'Small Signal'!$B$5),IMPRODUCT(IMPOWER(H55,2),'Small Signal'!$B$32*'Small Signal'!$B$33*'Small Signal'!$B$8*'Small Signal'!$B$7*('Small Signal'!$B$5+'Small Signal'!$B$6)+('Small Signal'!$B$5+'Small Signal'!$B$6)*('Small Signal'!$B$9*'Small Signal'!$B$8*'Small Signal'!$B$33*'Small Signal'!$B$7)))),-1)</f>
        <v>-4.37083109666472+20.5458822433541i</v>
      </c>
      <c r="T55" s="85">
        <f t="shared" si="6"/>
        <v>26.446723578135447</v>
      </c>
      <c r="U55" s="85">
        <f t="shared" si="7"/>
        <v>102.00978903337031</v>
      </c>
      <c r="V55" s="85" t="str">
        <f t="shared" si="8"/>
        <v>-93.345514998525+466.88701327803i</v>
      </c>
      <c r="W55" s="80">
        <f t="shared" si="9"/>
        <v>53.55445520687119</v>
      </c>
      <c r="X55" s="85">
        <f t="shared" si="10"/>
        <v>101.30616972012746</v>
      </c>
      <c r="Y55" s="85" t="str">
        <f t="shared" si="11"/>
        <v>-171.663211436895+847.232622709173i</v>
      </c>
      <c r="Z55" s="80">
        <f t="shared" si="12"/>
        <v>58.734783465605645</v>
      </c>
      <c r="AA55" s="85">
        <f t="shared" si="13"/>
        <v>101.45400182538793</v>
      </c>
    </row>
    <row r="56" spans="6:27" ht="12.75">
      <c r="F56" s="84">
        <v>54</v>
      </c>
      <c r="G56" s="85">
        <f>10^('Small Signal'!F56/30)</f>
        <v>63.095734448019364</v>
      </c>
      <c r="H56" s="85" t="str">
        <f t="shared" si="1"/>
        <v>396.4421916295i</v>
      </c>
      <c r="I56" s="85">
        <f>IF('Small Signal'!$B$37&gt;=1,Q56+0,N56+0)</f>
        <v>27.107631239679122</v>
      </c>
      <c r="J56" s="85">
        <f>IF('Small Signal'!$B$37&gt;=1,R56,O56)</f>
        <v>-0.7597450471012184</v>
      </c>
      <c r="K56" s="85">
        <f>IF('Small Signal'!$B$37&gt;=1,Z56+0,W56+0)</f>
        <v>52.911386192749326</v>
      </c>
      <c r="L56" s="85">
        <f>IF('Small Signal'!$B$37&gt;=1,AA56,X56)</f>
        <v>100.49919230694171</v>
      </c>
      <c r="M56" s="85" t="str">
        <f>IMDIV(IMSUM('Small Signal'!$B$2*'Small Signal'!$B$16*'Small Signal'!$B$38,IMPRODUCT(H56,'Small Signal'!$B$2*'Small Signal'!$B$16*'Small Signal'!$B$38*'Small Signal'!$B$13*'Small Signal'!$B$14)),IMSUM(IMPRODUCT('Small Signal'!$B$11*'Small Signal'!$B$13*('Small Signal'!$B$14+'Small Signal'!$B$16),IMPOWER(H56,2)),IMSUM(IMPRODUCT(H56,('Small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22.66435583534-0.300548164568505i</v>
      </c>
      <c r="N56" s="85">
        <f t="shared" si="2"/>
        <v>27.107631239679122</v>
      </c>
      <c r="O56" s="85">
        <f t="shared" si="3"/>
        <v>-0.7597450471012184</v>
      </c>
      <c r="P56" s="85" t="str">
        <f>IMDIV(IMSUM('Small Signal'!$B$48,IMPRODUCT(H56,'Small Signal'!$B$49)),IMSUM(IMPRODUCT('Small Signal'!$B$52,IMPOWER(H56,2)),IMSUM(IMPRODUCT(H56,'Small Signal'!$B$51),'Small Signal'!$B$50)))</f>
        <v>41.150677553627-0.431033547965414i</v>
      </c>
      <c r="Q56" s="85">
        <f t="shared" si="4"/>
        <v>32.28801626936745</v>
      </c>
      <c r="R56" s="85">
        <f t="shared" si="5"/>
        <v>-0.6001237758752663</v>
      </c>
      <c r="S56" s="85" t="str">
        <f>IMPRODUCT(IMDIV(IMSUM(IMPRODUCT(H56,'Small Signal'!$B$33*'Small Signal'!$B$6*'Small Signal'!$B$27*'Small Signal'!$B$7*'Small Signal'!$B$8),'Small Signal'!$B$33*'Small Signal'!$B$6*'Small Signal'!$B$27),IMSUM(IMSUM(IMPRODUCT(H56,('Small Signal'!$B$5+'Small Signal'!$B$6)*('Small Signal'!$B$32*'Small Signal'!$B$33)+'Small Signal'!$B$5*'Small Signal'!$B$33*('Small Signal'!$B$8+'Small Signal'!$B$9)+'Small Signal'!$B$6*'Small Signal'!$B$33*('Small Signal'!$B$8+'Small Signal'!$B$9)+'Small Signal'!$B$7*'Small Signal'!$B$8*('Small Signal'!$B$5+'Small Signal'!$B$6)),'Small Signal'!$B$6+'Small Signal'!$B$5),IMPRODUCT(IMPOWER(H56,2),'Small Signal'!$B$32*'Small Signal'!$B$33*'Small Signal'!$B$8*'Small Signal'!$B$7*('Small Signal'!$B$5+'Small Signal'!$B$6)+('Small Signal'!$B$5+'Small Signal'!$B$6)*('Small Signal'!$B$9*'Small Signal'!$B$8*'Small Signal'!$B$33*'Small Signal'!$B$7)))),-1)</f>
        <v>-3.80858722564742+19.1314640664556i</v>
      </c>
      <c r="T56" s="85">
        <f t="shared" si="6"/>
        <v>25.8037549530702</v>
      </c>
      <c r="U56" s="85">
        <f t="shared" si="7"/>
        <v>101.25893735404293</v>
      </c>
      <c r="V56" s="85" t="str">
        <f t="shared" si="8"/>
        <v>-80.569249701322+434.746973153438i</v>
      </c>
      <c r="W56" s="80">
        <f t="shared" si="9"/>
        <v>52.911386192749326</v>
      </c>
      <c r="X56" s="85">
        <f t="shared" si="10"/>
        <v>100.49919230694171</v>
      </c>
      <c r="Y56" s="85" t="str">
        <f t="shared" si="11"/>
        <v>-148.479642023143+788.914337792123i</v>
      </c>
      <c r="Z56" s="80">
        <f t="shared" si="12"/>
        <v>58.091771222437664</v>
      </c>
      <c r="AA56" s="85">
        <f t="shared" si="13"/>
        <v>100.65881357816768</v>
      </c>
    </row>
    <row r="57" spans="6:27" ht="12.75">
      <c r="F57" s="84">
        <v>55</v>
      </c>
      <c r="G57" s="85">
        <f>10^('Small Signal'!F57/30)</f>
        <v>68.12920690579612</v>
      </c>
      <c r="H57" s="85" t="str">
        <f t="shared" si="1"/>
        <v>428.068431820296i</v>
      </c>
      <c r="I57" s="85">
        <f>IF('Small Signal'!$B$37&gt;=1,Q57+0,N57+0)</f>
        <v>27.107514197550945</v>
      </c>
      <c r="J57" s="85">
        <f>IF('Small Signal'!$B$37&gt;=1,R57,O57)</f>
        <v>-0.8203467678514165</v>
      </c>
      <c r="K57" s="85">
        <f>IF('Small Signal'!$B$37&gt;=1,Z57+0,W57+0)</f>
        <v>52.265071502908114</v>
      </c>
      <c r="L57" s="85">
        <f>IF('Small Signal'!$B$37&gt;=1,AA57,X57)</f>
        <v>99.74877921222881</v>
      </c>
      <c r="M57" s="85" t="str">
        <f>IMDIV(IMSUM('Small Signal'!$B$2*'Small Signal'!$B$16*'Small Signal'!$B$38,IMPRODUCT(H57,'Small Signal'!$B$2*'Small Signal'!$B$16*'Small Signal'!$B$38*'Small Signal'!$B$13*'Small Signal'!$B$14)),IMSUM(IMPRODUCT('Small Signal'!$B$11*'Small Signal'!$B$13*('Small Signal'!$B$14+'Small Signal'!$B$16),IMPOWER(H57,2)),IMSUM(IMPRODUCT(H57,('Small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22.6637198730399-0.324515698295808i</v>
      </c>
      <c r="N57" s="85">
        <f t="shared" si="2"/>
        <v>27.107514197550945</v>
      </c>
      <c r="O57" s="85">
        <f t="shared" si="3"/>
        <v>-0.8203467678514165</v>
      </c>
      <c r="P57" s="85" t="str">
        <f>IMDIV(IMSUM('Small Signal'!$B$48,IMPRODUCT(H57,'Small Signal'!$B$49)),IMSUM(IMPRODUCT('Small Signal'!$B$52,IMPOWER(H57,2)),IMSUM(IMPRODUCT(H57,'Small Signal'!$B$51),'Small Signal'!$B$50)))</f>
        <v>41.1500621139863-0.465413874171599i</v>
      </c>
      <c r="Q57" s="85">
        <f t="shared" si="4"/>
        <v>32.287965414858405</v>
      </c>
      <c r="R57" s="85">
        <f t="shared" si="5"/>
        <v>-0.6479969260654328</v>
      </c>
      <c r="S57" s="85" t="str">
        <f>IMPRODUCT(IMDIV(IMSUM(IMPRODUCT(H57,'Small Signal'!$B$33*'Small Signal'!$B$6*'Small Signal'!$B$27*'Small Signal'!$B$7*'Small Signal'!$B$8),'Small Signal'!$B$33*'Small Signal'!$B$6*'Small Signal'!$B$27),IMSUM(IMSUM(IMPRODUCT(H57,('Small Signal'!$B$5+'Small Signal'!$B$6)*('Small Signal'!$B$32*'Small Signal'!$B$33)+'Small Signal'!$B$5*'Small Signal'!$B$33*('Small Signal'!$B$8+'Small Signal'!$B$9)+'Small Signal'!$B$6*'Small Signal'!$B$33*('Small Signal'!$B$8+'Small Signal'!$B$9)+'Small Signal'!$B$7*'Small Signal'!$B$8*('Small Signal'!$B$5+'Small Signal'!$B$6)),'Small Signal'!$B$6+'Small Signal'!$B$5),IMPRODUCT(IMPOWER(H57,2),'Small Signal'!$B$32*'Small Signal'!$B$33*'Small Signal'!$B$8*'Small Signal'!$B$7*('Small Signal'!$B$5+'Small Signal'!$B$6)+('Small Signal'!$B$5+'Small Signal'!$B$6)*('Small Signal'!$B$9*'Small Signal'!$B$8*'Small Signal'!$B$33*'Small Signal'!$B$7)))),-1)</f>
        <v>-3.32145596450047+17.8010881037016i</v>
      </c>
      <c r="T57" s="85">
        <f t="shared" si="6"/>
        <v>25.157557305357162</v>
      </c>
      <c r="U57" s="85">
        <f t="shared" si="7"/>
        <v>100.56912598008023</v>
      </c>
      <c r="V57" s="85" t="str">
        <f t="shared" si="8"/>
        <v>-69.4998150136783+404.516738819275i</v>
      </c>
      <c r="W57" s="80">
        <f t="shared" si="9"/>
        <v>52.265071502908114</v>
      </c>
      <c r="X57" s="85">
        <f t="shared" si="10"/>
        <v>99.74877921222881</v>
      </c>
      <c r="Y57" s="85" t="str">
        <f t="shared" si="11"/>
        <v>-128.393245869251+734.061732852192i</v>
      </c>
      <c r="Z57" s="80">
        <f t="shared" si="12"/>
        <v>57.445522720215564</v>
      </c>
      <c r="AA57" s="85">
        <f t="shared" si="13"/>
        <v>99.9211290540148</v>
      </c>
    </row>
    <row r="58" spans="6:27" ht="12.75">
      <c r="F58" s="84">
        <v>56</v>
      </c>
      <c r="G58" s="85">
        <f>10^('Small Signal'!F58/30)</f>
        <v>73.56422544596415</v>
      </c>
      <c r="H58" s="85" t="str">
        <f t="shared" si="1"/>
        <v>462.217660456129i</v>
      </c>
      <c r="I58" s="85">
        <f>IF('Small Signal'!$B$37&gt;=1,Q58+0,N58+0)</f>
        <v>27.107377740415455</v>
      </c>
      <c r="J58" s="85">
        <f>IF('Small Signal'!$B$37&gt;=1,R58,O58)</f>
        <v>-0.8857811720486016</v>
      </c>
      <c r="K58" s="85">
        <f>IF('Small Signal'!$B$37&gt;=1,Z58+0,W58+0)</f>
        <v>51.6159483182701</v>
      </c>
      <c r="L58" s="85">
        <f>IF('Small Signal'!$B$37&gt;=1,AA58,X58)</f>
        <v>99.05156473792633</v>
      </c>
      <c r="M58" s="85" t="str">
        <f>IMDIV(IMSUM('Small Signal'!$B$2*'Small Signal'!$B$16*'Small Signal'!$B$38,IMPRODUCT(H58,'Small Signal'!$B$2*'Small Signal'!$B$16*'Small Signal'!$B$38*'Small Signal'!$B$13*'Small Signal'!$B$14)),IMSUM(IMPRODUCT('Small Signal'!$B$11*'Small Signal'!$B$13*('Small Signal'!$B$14+'Small Signal'!$B$16),IMPOWER(H58,2)),IMSUM(IMPRODUCT(H58,('Small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22.6629784386348-0.350392982284316i</v>
      </c>
      <c r="N58" s="85">
        <f t="shared" si="2"/>
        <v>27.107377740415455</v>
      </c>
      <c r="O58" s="85">
        <f t="shared" si="3"/>
        <v>-0.8857811720486016</v>
      </c>
      <c r="P58" s="85" t="str">
        <f>IMDIV(IMSUM('Small Signal'!$B$48,IMPRODUCT(H58,'Small Signal'!$B$49)),IMSUM(IMPRODUCT('Small Signal'!$B$52,IMPOWER(H58,2)),IMSUM(IMPRODUCT(H58,'Small Signal'!$B$51),'Small Signal'!$B$50)))</f>
        <v>41.1493445811102-0.502535486779578i</v>
      </c>
      <c r="Q58" s="85">
        <f t="shared" si="4"/>
        <v>32.28790612348608</v>
      </c>
      <c r="R58" s="85">
        <f t="shared" si="5"/>
        <v>-0.6996886929952733</v>
      </c>
      <c r="S58" s="85" t="str">
        <f>IMPRODUCT(IMDIV(IMSUM(IMPRODUCT(H58,'Small Signal'!$B$33*'Small Signal'!$B$6*'Small Signal'!$B$27*'Small Signal'!$B$7*'Small Signal'!$B$8),'Small Signal'!$B$33*'Small Signal'!$B$6*'Small Signal'!$B$27),IMSUM(IMSUM(IMPRODUCT(H58,('Small Signal'!$B$5+'Small Signal'!$B$6)*('Small Signal'!$B$32*'Small Signal'!$B$33)+'Small Signal'!$B$5*'Small Signal'!$B$33*('Small Signal'!$B$8+'Small Signal'!$B$9)+'Small Signal'!$B$6*'Small Signal'!$B$33*('Small Signal'!$B$8+'Small Signal'!$B$9)+'Small Signal'!$B$7*'Small Signal'!$B$8*('Small Signal'!$B$5+'Small Signal'!$B$6)),'Small Signal'!$B$6+'Small Signal'!$B$5),IMPRODUCT(IMPOWER(H58,2),'Small Signal'!$B$32*'Small Signal'!$B$33*'Small Signal'!$B$8*'Small Signal'!$B$7*('Small Signal'!$B$5+'Small Signal'!$B$6)+('Small Signal'!$B$5+'Small Signal'!$B$6)*('Small Signal'!$B$9*'Small Signal'!$B$8*'Small Signal'!$B$33*'Small Signal'!$B$7)))),-1)</f>
        <v>-2.89999176536029+16.5524947790145i</v>
      </c>
      <c r="T58" s="85">
        <f t="shared" si="6"/>
        <v>24.50857057785465</v>
      </c>
      <c r="U58" s="85">
        <f t="shared" si="7"/>
        <v>99.93734590997491</v>
      </c>
      <c r="V58" s="85" t="str">
        <f t="shared" si="8"/>
        <v>-59.9225728407143+376.144969045685i</v>
      </c>
      <c r="W58" s="80">
        <f t="shared" si="9"/>
        <v>51.6159483182701</v>
      </c>
      <c r="X58" s="85">
        <f t="shared" si="10"/>
        <v>99.05156473792633</v>
      </c>
      <c r="Y58" s="85" t="str">
        <f t="shared" si="11"/>
        <v>-111.014544414004+682.581660112157i</v>
      </c>
      <c r="Z58" s="80">
        <f t="shared" si="12"/>
        <v>56.79647670134073</v>
      </c>
      <c r="AA58" s="85">
        <f t="shared" si="13"/>
        <v>99.23765721697964</v>
      </c>
    </row>
    <row r="59" spans="6:27" ht="12.75">
      <c r="F59" s="84">
        <v>57</v>
      </c>
      <c r="G59" s="85">
        <f>10^('Small Signal'!F59/30)</f>
        <v>79.4328234724282</v>
      </c>
      <c r="H59" s="85" t="str">
        <f t="shared" si="1"/>
        <v>499.091149349751i</v>
      </c>
      <c r="I59" s="85">
        <f>IF('Small Signal'!$B$37&gt;=1,Q59+0,N59+0)</f>
        <v>27.10721864846859</v>
      </c>
      <c r="J59" s="85">
        <f>IF('Small Signal'!$B$37&gt;=1,R59,O59)</f>
        <v>-0.9564333144572272</v>
      </c>
      <c r="K59" s="85">
        <f>IF('Small Signal'!$B$37&gt;=1,Z59+0,W59+0)</f>
        <v>50.964398590257744</v>
      </c>
      <c r="L59" s="85">
        <f>IF('Small Signal'!$B$37&gt;=1,AA59,X59)</f>
        <v>98.4042903195704</v>
      </c>
      <c r="M59" s="85" t="str">
        <f>IMDIV(IMSUM('Small Signal'!$B$2*'Small Signal'!$B$16*'Small Signal'!$B$38,IMPRODUCT(H59,'Small Signal'!$B$2*'Small Signal'!$B$16*'Small Signal'!$B$38*'Small Signal'!$B$13*'Small Signal'!$B$14)),IMSUM(IMPRODUCT('Small Signal'!$B$11*'Small Signal'!$B$13*('Small Signal'!$B$14+'Small Signal'!$B$16),IMPOWER(H59,2)),IMSUM(IMPRODUCT(H59,('Small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22.6621140483017-0.37833178135908i</v>
      </c>
      <c r="N59" s="85">
        <f t="shared" si="2"/>
        <v>27.10721864846859</v>
      </c>
      <c r="O59" s="85">
        <f t="shared" si="3"/>
        <v>-0.9564333144572272</v>
      </c>
      <c r="P59" s="85" t="str">
        <f>IMDIV(IMSUM('Small Signal'!$B$48,IMPRODUCT(H59,'Small Signal'!$B$49)),IMSUM(IMPRODUCT('Small Signal'!$B$52,IMPOWER(H59,2)),IMSUM(IMPRODUCT(H59,'Small Signal'!$B$51),'Small Signal'!$B$50)))</f>
        <v>41.148508022392-0.542616707424155i</v>
      </c>
      <c r="Q59" s="85">
        <f t="shared" si="4"/>
        <v>32.287836995680564</v>
      </c>
      <c r="R59" s="85">
        <f t="shared" si="5"/>
        <v>-0.7555035853434758</v>
      </c>
      <c r="S59" s="85" t="str">
        <f>IMPRODUCT(IMDIV(IMSUM(IMPRODUCT(H59,'Small Signal'!$B$33*'Small Signal'!$B$6*'Small Signal'!$B$27*'Small Signal'!$B$7*'Small Signal'!$B$8),'Small Signal'!$B$33*'Small Signal'!$B$6*'Small Signal'!$B$27),IMSUM(IMSUM(IMPRODUCT(H59,('Small Signal'!$B$5+'Small Signal'!$B$6)*('Small Signal'!$B$32*'Small Signal'!$B$33)+'Small Signal'!$B$5*'Small Signal'!$B$33*('Small Signal'!$B$8+'Small Signal'!$B$9)+'Small Signal'!$B$6*'Small Signal'!$B$33*('Small Signal'!$B$8+'Small Signal'!$B$9)+'Small Signal'!$B$7*'Small Signal'!$B$8*('Small Signal'!$B$5+'Small Signal'!$B$6)),'Small Signal'!$B$6+'Small Signal'!$B$5),IMPRODUCT(IMPOWER(H59,2),'Small Signal'!$B$32*'Small Signal'!$B$33*'Small Signal'!$B$8*'Small Signal'!$B$7*('Small Signal'!$B$5+'Small Signal'!$B$6)+('Small Signal'!$B$5+'Small Signal'!$B$6)*('Small Signal'!$B$9*'Small Signal'!$B$8*'Small Signal'!$B$33*'Small Signal'!$B$7)))),-1)</f>
        <v>-2.53578289663921+15.3828581204859i</v>
      </c>
      <c r="T59" s="85">
        <f t="shared" si="6"/>
        <v>23.85717994178915</v>
      </c>
      <c r="U59" s="85">
        <f t="shared" si="7"/>
        <v>99.36072363402764</v>
      </c>
      <c r="V59" s="85" t="str">
        <f t="shared" si="8"/>
        <v>-51.6463770902532+349.567452375721i</v>
      </c>
      <c r="W59" s="80">
        <f t="shared" si="9"/>
        <v>50.964398590257744</v>
      </c>
      <c r="X59" s="85">
        <f t="shared" si="10"/>
        <v>98.4042903195704</v>
      </c>
      <c r="Y59" s="85" t="str">
        <f t="shared" si="11"/>
        <v>-95.996687041292+634.357618944249i</v>
      </c>
      <c r="Z59" s="80">
        <f t="shared" si="12"/>
        <v>56.14501693746972</v>
      </c>
      <c r="AA59" s="85">
        <f t="shared" si="13"/>
        <v>98.60522004868417</v>
      </c>
    </row>
    <row r="60" spans="6:27" ht="12.75">
      <c r="F60" s="84">
        <v>58</v>
      </c>
      <c r="G60" s="85">
        <f>10^('Small Signal'!F60/30)</f>
        <v>85.76958985908948</v>
      </c>
      <c r="H60" s="85" t="str">
        <f t="shared" si="1"/>
        <v>538.90622680545i</v>
      </c>
      <c r="I60" s="85">
        <f>IF('Small Signal'!$B$37&gt;=1,Q60+0,N60+0)</f>
        <v>27.107033168206502</v>
      </c>
      <c r="J60" s="85">
        <f>IF('Small Signal'!$B$37&gt;=1,R60,O60)</f>
        <v>-1.0327188451557854</v>
      </c>
      <c r="K60" s="85">
        <f>IF('Small Signal'!$B$37&gt;=1,Z60+0,W60+0)</f>
        <v>50.31075526434573</v>
      </c>
      <c r="L60" s="85">
        <f>IF('Small Signal'!$B$37&gt;=1,AA60,X60)</f>
        <v>97.8038243212766</v>
      </c>
      <c r="M60" s="85" t="str">
        <f>IMDIV(IMSUM('Small Signal'!$B$2*'Small Signal'!$B$16*'Small Signal'!$B$38,IMPRODUCT(H60,'Small Signal'!$B$2*'Small Signal'!$B$16*'Small Signal'!$B$38*'Small Signal'!$B$13*'Small Signal'!$B$14)),IMSUM(IMPRODUCT('Small Signal'!$B$11*'Small Signal'!$B$13*('Small Signal'!$B$14+'Small Signal'!$B$16),IMPOWER(H60,2)),IMSUM(IMPRODUCT(H60,('Small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22.6611063229731-0.408495815867327i</v>
      </c>
      <c r="N60" s="85">
        <f t="shared" si="2"/>
        <v>27.107033168206502</v>
      </c>
      <c r="O60" s="85">
        <f t="shared" si="3"/>
        <v>-1.0327188451557854</v>
      </c>
      <c r="P60" s="85" t="str">
        <f>IMDIV(IMSUM('Small Signal'!$B$48,IMPRODUCT(H60,'Small Signal'!$B$49)),IMSUM(IMPRODUCT('Small Signal'!$B$52,IMPOWER(H60,2)),IMSUM(IMPRODUCT(H60,'Small Signal'!$B$51),'Small Signal'!$B$50)))</f>
        <v>41.1475326980643-0.585893179928605i</v>
      </c>
      <c r="Q60" s="85">
        <f t="shared" si="4"/>
        <v>32.28775639974467</v>
      </c>
      <c r="R60" s="85">
        <f t="shared" si="5"/>
        <v>-0.8157703724121914</v>
      </c>
      <c r="S60" s="85" t="str">
        <f>IMPRODUCT(IMDIV(IMSUM(IMPRODUCT(H60,'Small Signal'!$B$33*'Small Signal'!$B$6*'Small Signal'!$B$27*'Small Signal'!$B$7*'Small Signal'!$B$8),'Small Signal'!$B$33*'Small Signal'!$B$6*'Small Signal'!$B$27),IMSUM(IMSUM(IMPRODUCT(H60,('Small Signal'!$B$5+'Small Signal'!$B$6)*('Small Signal'!$B$32*'Small Signal'!$B$33)+'Small Signal'!$B$5*'Small Signal'!$B$33*('Small Signal'!$B$8+'Small Signal'!$B$9)+'Small Signal'!$B$6*'Small Signal'!$B$33*('Small Signal'!$B$8+'Small Signal'!$B$9)+'Small Signal'!$B$7*'Small Signal'!$B$8*('Small Signal'!$B$5+'Small Signal'!$B$6)),'Small Signal'!$B$6+'Small Signal'!$B$5),IMPRODUCT(IMPOWER(H60,2),'Small Signal'!$B$32*'Small Signal'!$B$33*'Small Signal'!$B$8*'Small Signal'!$B$7*('Small Signal'!$B$5+'Small Signal'!$B$6)+('Small Signal'!$B$5+'Small Signal'!$B$6)*('Small Signal'!$B$9*'Small Signal'!$B$8*'Small Signal'!$B$33*'Small Signal'!$B$7)))),-1)</f>
        <v>-2.2213798491753+14.288954592299i</v>
      </c>
      <c r="T60" s="85">
        <f t="shared" si="6"/>
        <v>23.203722096139213</v>
      </c>
      <c r="U60" s="85">
        <f t="shared" si="7"/>
        <v>98.83654316643239</v>
      </c>
      <c r="V60" s="85" t="str">
        <f t="shared" si="8"/>
        <v>-44.5019467817991+324.710943634063i</v>
      </c>
      <c r="W60" s="80">
        <f t="shared" si="9"/>
        <v>50.31075526434573</v>
      </c>
      <c r="X60" s="85">
        <f t="shared" si="10"/>
        <v>97.8038243212766</v>
      </c>
      <c r="Y60" s="85" t="str">
        <f t="shared" si="11"/>
        <v>-83.0324989348243+589.256717611442i</v>
      </c>
      <c r="Z60" s="80">
        <f t="shared" si="12"/>
        <v>55.4914784958839</v>
      </c>
      <c r="AA60" s="85">
        <f t="shared" si="13"/>
        <v>98.02077279402019</v>
      </c>
    </row>
    <row r="61" spans="6:27" ht="12.75">
      <c r="F61" s="84">
        <v>59</v>
      </c>
      <c r="G61" s="85">
        <f>10^('Small Signal'!F61/30)</f>
        <v>92.61187281287937</v>
      </c>
      <c r="H61" s="85" t="str">
        <f t="shared" si="1"/>
        <v>581.897558528268i</v>
      </c>
      <c r="I61" s="85">
        <f>IF('Small Signal'!$B$37&gt;=1,Q61+0,N61+0)</f>
        <v>27.106816924060908</v>
      </c>
      <c r="J61" s="85">
        <f>IF('Small Signal'!$B$37&gt;=1,R61,O61)</f>
        <v>-1.1150864185984046</v>
      </c>
      <c r="K61" s="85">
        <f>IF('Small Signal'!$B$37&gt;=1,Z61+0,W61+0)</f>
        <v>49.655308037087565</v>
      </c>
      <c r="L61" s="85">
        <f>IF('Small Signal'!$B$37&gt;=1,AA61,X61)</f>
        <v>97.24717558949833</v>
      </c>
      <c r="M61" s="85" t="str">
        <f>IMDIV(IMSUM('Small Signal'!$B$2*'Small Signal'!$B$16*'Small Signal'!$B$38,IMPRODUCT(H61,'Small Signal'!$B$2*'Small Signal'!$B$16*'Small Signal'!$B$38*'Small Signal'!$B$13*'Small Signal'!$B$14)),IMSUM(IMPRODUCT('Small Signal'!$B$11*'Small Signal'!$B$13*('Small Signal'!$B$14+'Small Signal'!$B$16),IMPOWER(H61,2)),IMSUM(IMPRODUCT(H61,('Small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22.6599315099751-0.441061676259845i</v>
      </c>
      <c r="N61" s="85">
        <f t="shared" si="2"/>
        <v>27.106816924060908</v>
      </c>
      <c r="O61" s="85">
        <f t="shared" si="3"/>
        <v>-1.1150864185984046</v>
      </c>
      <c r="P61" s="85" t="str">
        <f>IMDIV(IMSUM('Small Signal'!$B$48,IMPRODUCT(H61,'Small Signal'!$B$49)),IMSUM(IMPRODUCT('Small Signal'!$B$52,IMPOWER(H61,2)),IMSUM(IMPRODUCT(H61,'Small Signal'!$B$51),'Small Signal'!$B$50)))</f>
        <v>41.1463955962422-0.632619227744534i</v>
      </c>
      <c r="Q61" s="85">
        <f t="shared" si="4"/>
        <v>32.287662433370144</v>
      </c>
      <c r="R61" s="85">
        <f t="shared" si="5"/>
        <v>-0.880844011341818</v>
      </c>
      <c r="S61" s="85" t="str">
        <f>IMPRODUCT(IMDIV(IMSUM(IMPRODUCT(H61,'Small Signal'!$B$33*'Small Signal'!$B$6*'Small Signal'!$B$27*'Small Signal'!$B$7*'Small Signal'!$B$8),'Small Signal'!$B$33*'Small Signal'!$B$6*'Small Signal'!$B$27),IMSUM(IMSUM(IMPRODUCT(H61,('Small Signal'!$B$5+'Small Signal'!$B$6)*('Small Signal'!$B$32*'Small Signal'!$B$33)+'Small Signal'!$B$5*'Small Signal'!$B$33*('Small Signal'!$B$8+'Small Signal'!$B$9)+'Small Signal'!$B$6*'Small Signal'!$B$33*('Small Signal'!$B$8+'Small Signal'!$B$9)+'Small Signal'!$B$7*'Small Signal'!$B$8*('Small Signal'!$B$5+'Small Signal'!$B$6)),'Small Signal'!$B$6+'Small Signal'!$B$5),IMPRODUCT(IMPOWER(H61,2),'Small Signal'!$B$32*'Small Signal'!$B$33*'Small Signal'!$B$8*'Small Signal'!$B$7*('Small Signal'!$B$5+'Small Signal'!$B$6)+('Small Signal'!$B$5+'Small Signal'!$B$6)*('Small Signal'!$B$9*'Small Signal'!$B$8*'Small Signal'!$B$33*'Small Signal'!$B$7)))),-1)</f>
        <v>-1.95021625492299+13.2673004045398i</v>
      </c>
      <c r="T61" s="85">
        <f t="shared" si="6"/>
        <v>22.54849111302667</v>
      </c>
      <c r="U61" s="85">
        <f t="shared" si="7"/>
        <v>98.36226200809674</v>
      </c>
      <c r="V61" s="85" t="str">
        <f t="shared" si="8"/>
        <v>-38.3400690103258+301.496284139602i</v>
      </c>
      <c r="W61" s="80">
        <f t="shared" si="9"/>
        <v>49.655308037087565</v>
      </c>
      <c r="X61" s="85">
        <f t="shared" si="10"/>
        <v>97.24717558949833</v>
      </c>
      <c r="Y61" s="85" t="str">
        <f t="shared" si="11"/>
        <v>-71.8512201871086+547.135335240503i</v>
      </c>
      <c r="Z61" s="80">
        <f t="shared" si="12"/>
        <v>54.836153546396815</v>
      </c>
      <c r="AA61" s="85">
        <f t="shared" si="13"/>
        <v>97.48141799675491</v>
      </c>
    </row>
    <row r="62" spans="6:27" ht="12.75">
      <c r="F62" s="84">
        <v>60</v>
      </c>
      <c r="G62" s="85">
        <f>10^('Small Signal'!F62/30)</f>
        <v>100</v>
      </c>
      <c r="H62" s="85" t="str">
        <f t="shared" si="1"/>
        <v>628.318530717959i</v>
      </c>
      <c r="I62" s="85">
        <f>IF('Small Signal'!$B$37&gt;=1,Q62+0,N62+0)</f>
        <v>27.10656481543948</v>
      </c>
      <c r="J62" s="85">
        <f>IF('Small Signal'!$B$37&gt;=1,R62,O62)</f>
        <v>-1.2040202866705625</v>
      </c>
      <c r="K62" s="85">
        <f>IF('Small Signal'!$B$37&gt;=1,Z62+0,W62+0)</f>
        <v>48.998308616987174</v>
      </c>
      <c r="L62" s="85">
        <f>IF('Small Signal'!$B$37&gt;=1,AA62,X62)</f>
        <v>96.73150196990538</v>
      </c>
      <c r="M62" s="85" t="str">
        <f>IMDIV(IMSUM('Small Signal'!$B$2*'Small Signal'!$B$16*'Small Signal'!$B$38,IMPRODUCT(H62,'Small Signal'!$B$2*'Small Signal'!$B$16*'Small Signal'!$B$38*'Small Signal'!$B$13*'Small Signal'!$B$14)),IMSUM(IMPRODUCT('Small Signal'!$B$11*'Small Signal'!$B$13*('Small Signal'!$B$14+'Small Signal'!$B$16),IMPOWER(H62,2)),IMSUM(IMPRODUCT(H62,('Small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22.6585619260162-0.476219800521133i</v>
      </c>
      <c r="N62" s="85">
        <f t="shared" si="2"/>
        <v>27.10656481543948</v>
      </c>
      <c r="O62" s="85">
        <f t="shared" si="3"/>
        <v>-1.2040202866705625</v>
      </c>
      <c r="P62" s="85" t="str">
        <f>IMDIV(IMSUM('Small Signal'!$B$48,IMPRODUCT(H62,'Small Signal'!$B$49)),IMSUM(IMPRODUCT('Small Signal'!$B$52,IMPOWER(H62,2)),IMSUM(IMPRODUCT(H62,'Small Signal'!$B$51),'Small Signal'!$B$50)))</f>
        <v>41.1450698911071-0.683069313361098i</v>
      </c>
      <c r="Q62" s="85">
        <f t="shared" si="4"/>
        <v>32.28755287877914</v>
      </c>
      <c r="R62" s="85">
        <f t="shared" si="5"/>
        <v>-0.9511077259530374</v>
      </c>
      <c r="S62" s="85" t="str">
        <f>IMPRODUCT(IMDIV(IMSUM(IMPRODUCT(H62,'Small Signal'!$B$33*'Small Signal'!$B$6*'Small Signal'!$B$27*'Small Signal'!$B$7*'Small Signal'!$B$8),'Small Signal'!$B$33*'Small Signal'!$B$6*'Small Signal'!$B$27),IMSUM(IMSUM(IMPRODUCT(H62,('Small Signal'!$B$5+'Small Signal'!$B$6)*('Small Signal'!$B$32*'Small Signal'!$B$33)+'Small Signal'!$B$5*'Small Signal'!$B$33*('Small Signal'!$B$8+'Small Signal'!$B$9)+'Small Signal'!$B$6*'Small Signal'!$B$33*('Small Signal'!$B$8+'Small Signal'!$B$9)+'Small Signal'!$B$7*'Small Signal'!$B$8*('Small Signal'!$B$5+'Small Signal'!$B$6)),'Small Signal'!$B$6+'Small Signal'!$B$5),IMPRODUCT(IMPOWER(H62,2),'Small Signal'!$B$32*'Small Signal'!$B$33*'Small Signal'!$B$8*'Small Signal'!$B$7*('Small Signal'!$B$5+'Small Signal'!$B$6)+('Small Signal'!$B$5+'Small Signal'!$B$6)*('Small Signal'!$B$9*'Small Signal'!$B$8*'Small Signal'!$B$33*'Small Signal'!$B$7)))),-1)</f>
        <v>-1.71652726226705+12.31426150531i</v>
      </c>
      <c r="T62" s="85">
        <f t="shared" si="6"/>
        <v>21.891743801547694</v>
      </c>
      <c r="U62" s="85">
        <f t="shared" si="7"/>
        <v>97.93552225657594</v>
      </c>
      <c r="V62" s="85" t="str">
        <f t="shared" si="8"/>
        <v>-33.0297441121492+279.84090116165i</v>
      </c>
      <c r="W62" s="80">
        <f t="shared" si="9"/>
        <v>48.998308616987174</v>
      </c>
      <c r="X62" s="85">
        <f t="shared" si="10"/>
        <v>96.73150196990538</v>
      </c>
      <c r="Y62" s="85" t="str">
        <f t="shared" si="11"/>
        <v>-62.2151400249874+507.843657391752i</v>
      </c>
      <c r="Z62" s="80">
        <f t="shared" si="12"/>
        <v>54.179296680326836</v>
      </c>
      <c r="AA62" s="85">
        <f t="shared" si="13"/>
        <v>96.9844145306229</v>
      </c>
    </row>
    <row r="63" spans="6:27" ht="12.75">
      <c r="F63" s="84">
        <v>61</v>
      </c>
      <c r="G63" s="85">
        <f>10^('Small Signal'!F63/30)</f>
        <v>107.97751623277095</v>
      </c>
      <c r="H63" s="85" t="str">
        <f t="shared" si="1"/>
        <v>678.442743499492i</v>
      </c>
      <c r="I63" s="85">
        <f>IF('Small Signal'!$B$37&gt;=1,Q63+0,N63+0)</f>
        <v>27.106270896773403</v>
      </c>
      <c r="J63" s="85">
        <f>IF('Small Signal'!$B$37&gt;=1,R63,O63)</f>
        <v>-1.3000430883037897</v>
      </c>
      <c r="K63" s="85">
        <f>IF('Small Signal'!$B$37&gt;=1,Z63+0,W63+0)</f>
        <v>48.33997548567076</v>
      </c>
      <c r="L63" s="85">
        <f>IF('Small Signal'!$B$37&gt;=1,AA63,X63)</f>
        <v>96.25411482122192</v>
      </c>
      <c r="M63" s="85" t="str">
        <f>IMDIV(IMSUM('Small Signal'!$B$2*'Small Signal'!$B$16*'Small Signal'!$B$38,IMPRODUCT(H63,'Small Signal'!$B$2*'Small Signal'!$B$16*'Small Signal'!$B$38*'Small Signal'!$B$13*'Small Signal'!$B$14)),IMSUM(IMPRODUCT('Small Signal'!$B$11*'Small Signal'!$B$13*('Small Signal'!$B$14+'Small Signal'!$B$16),IMPOWER(H63,2)),IMSUM(IMPRODUCT(H63,('Small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22.6569653087352-0.514175516858176i</v>
      </c>
      <c r="N63" s="85">
        <f t="shared" si="2"/>
        <v>27.106270896773403</v>
      </c>
      <c r="O63" s="85">
        <f t="shared" si="3"/>
        <v>-1.3000430883037897</v>
      </c>
      <c r="P63" s="85" t="str">
        <f>IMDIV(IMSUM('Small Signal'!$B$48,IMPRODUCT(H63,'Small Signal'!$B$49)),IMSUM(IMPRODUCT('Small Signal'!$B$52,IMPOWER(H63,2)),IMSUM(IMPRODUCT(H63,'Small Signal'!$B$51),'Small Signal'!$B$50)))</f>
        <v>41.1435243115821-0.737539606185252i</v>
      </c>
      <c r="Q63" s="85">
        <f t="shared" si="4"/>
        <v>32.287425150437535</v>
      </c>
      <c r="R63" s="85">
        <f t="shared" si="5"/>
        <v>-1.026975248764873</v>
      </c>
      <c r="S63" s="85" t="str">
        <f>IMPRODUCT(IMDIV(IMSUM(IMPRODUCT(H63,'Small Signal'!$B$33*'Small Signal'!$B$6*'Small Signal'!$B$27*'Small Signal'!$B$7*'Small Signal'!$B$8),'Small Signal'!$B$33*'Small Signal'!$B$6*'Small Signal'!$B$27),IMSUM(IMSUM(IMPRODUCT(H63,('Small Signal'!$B$5+'Small Signal'!$B$6)*('Small Signal'!$B$32*'Small Signal'!$B$33)+'Small Signal'!$B$5*'Small Signal'!$B$33*('Small Signal'!$B$8+'Small Signal'!$B$9)+'Small Signal'!$B$6*'Small Signal'!$B$33*('Small Signal'!$B$8+'Small Signal'!$B$9)+'Small Signal'!$B$7*'Small Signal'!$B$8*('Small Signal'!$B$5+'Small Signal'!$B$6)),'Small Signal'!$B$6+'Small Signal'!$B$5),IMPRODUCT(IMPOWER(H63,2),'Small Signal'!$B$32*'Small Signal'!$B$33*'Small Signal'!$B$8*'Small Signal'!$B$7*('Small Signal'!$B$5+'Small Signal'!$B$6)+('Small Signal'!$B$5+'Small Signal'!$B$6)*('Small Signal'!$B$9*'Small Signal'!$B$8*'Small Signal'!$B$33*'Small Signal'!$B$7)))),-1)</f>
        <v>-1.51526885381618+11.4261403312078i</v>
      </c>
      <c r="T63" s="85">
        <f t="shared" si="6"/>
        <v>21.233704588897368</v>
      </c>
      <c r="U63" s="85">
        <f t="shared" si="7"/>
        <v>97.5541579095257</v>
      </c>
      <c r="V63" s="85" t="str">
        <f t="shared" si="8"/>
        <v>-28.4563522438273+259.660779243005i</v>
      </c>
      <c r="W63" s="80">
        <f t="shared" si="9"/>
        <v>48.33997548567076</v>
      </c>
      <c r="X63" s="85">
        <f t="shared" si="10"/>
        <v>96.25411482122192</v>
      </c>
      <c r="Y63" s="85" t="str">
        <f t="shared" si="11"/>
        <v>-53.9162698854727+471.229253298305i</v>
      </c>
      <c r="Z63" s="80">
        <f t="shared" si="12"/>
        <v>53.521129739334896</v>
      </c>
      <c r="AA63" s="85">
        <f t="shared" si="13"/>
        <v>96.52718266076083</v>
      </c>
    </row>
    <row r="64" spans="6:27" ht="12.75">
      <c r="F64" s="84">
        <v>62</v>
      </c>
      <c r="G64" s="85">
        <f>10^('Small Signal'!F64/30)</f>
        <v>116.59144011798328</v>
      </c>
      <c r="H64" s="85" t="str">
        <f t="shared" si="1"/>
        <v>732.565623492221i</v>
      </c>
      <c r="I64" s="85">
        <f>IF('Small Signal'!$B$37&gt;=1,Q64+0,N64+0)</f>
        <v>27.105928237785246</v>
      </c>
      <c r="J64" s="85">
        <f>IF('Small Signal'!$B$37&gt;=1,R64,O64)</f>
        <v>-1.4037188486724403</v>
      </c>
      <c r="K64" s="85">
        <f>IF('Small Signal'!$B$37&gt;=1,Z64+0,W64+0)</f>
        <v>47.68049817387435</v>
      </c>
      <c r="L64" s="85">
        <f>IF('Small Signal'!$B$37&gt;=1,AA64,X64)</f>
        <v>95.81248039850601</v>
      </c>
      <c r="M64" s="85" t="str">
        <f>IMDIV(IMSUM('Small Signal'!$B$2*'Small Signal'!$B$16*'Small Signal'!$B$38,IMPRODUCT(H64,'Small Signal'!$B$2*'Small Signal'!$B$16*'Small Signal'!$B$38*'Small Signal'!$B$13*'Small Signal'!$B$14)),IMSUM(IMPRODUCT('Small Signal'!$B$11*'Small Signal'!$B$13*('Small Signal'!$B$14+'Small Signal'!$B$16),IMPOWER(H64,2)),IMSUM(IMPRODUCT(H64,('Small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22.6551040619869-0.555150153582336i</v>
      </c>
      <c r="N64" s="85">
        <f t="shared" si="2"/>
        <v>27.105928237785246</v>
      </c>
      <c r="O64" s="85">
        <f t="shared" si="3"/>
        <v>-1.4037188486724403</v>
      </c>
      <c r="P64" s="85" t="str">
        <f>IMDIV(IMSUM('Small Signal'!$B$48,IMPRODUCT(H64,'Small Signal'!$B$49)),IMSUM(IMPRODUCT('Small Signal'!$B$52,IMPOWER(H64,2)),IMSUM(IMPRODUCT(H64,'Small Signal'!$B$51),'Small Signal'!$B$50)))</f>
        <v>41.1417224057858-0.796349665492106i</v>
      </c>
      <c r="Q64" s="85">
        <f t="shared" si="4"/>
        <v>32.28727623411241</v>
      </c>
      <c r="R64" s="85">
        <f t="shared" si="5"/>
        <v>-1.1088932385173234</v>
      </c>
      <c r="S64" s="85" t="str">
        <f>IMPRODUCT(IMDIV(IMSUM(IMPRODUCT(H64,'Small Signal'!$B$33*'Small Signal'!$B$6*'Small Signal'!$B$27*'Small Signal'!$B$7*'Small Signal'!$B$8),'Small Signal'!$B$33*'Small Signal'!$B$6*'Small Signal'!$B$27),IMSUM(IMSUM(IMPRODUCT(H64,('Small Signal'!$B$5+'Small Signal'!$B$6)*('Small Signal'!$B$32*'Small Signal'!$B$33)+'Small Signal'!$B$5*'Small Signal'!$B$33*('Small Signal'!$B$8+'Small Signal'!$B$9)+'Small Signal'!$B$6*'Small Signal'!$B$33*('Small Signal'!$B$8+'Small Signal'!$B$9)+'Small Signal'!$B$7*'Small Signal'!$B$8*('Small Signal'!$B$5+'Small Signal'!$B$6)),'Small Signal'!$B$6+'Small Signal'!$B$5),IMPRODUCT(IMPOWER(H64,2),'Small Signal'!$B$32*'Small Signal'!$B$33*'Small Signal'!$B$8*'Small Signal'!$B$7*('Small Signal'!$B$5+'Small Signal'!$B$6)+('Small Signal'!$B$5+'Small Signal'!$B$6)*('Small Signal'!$B$9*'Small Signal'!$B$8*'Small Signal'!$B$33*'Small Signal'!$B$7)))),-1)</f>
        <v>-1.3420404512148+10.5992430870497i</v>
      </c>
      <c r="T64" s="85">
        <f t="shared" si="6"/>
        <v>20.574569936089098</v>
      </c>
      <c r="U64" s="85">
        <f t="shared" si="7"/>
        <v>97.21619924717845</v>
      </c>
      <c r="V64" s="85" t="str">
        <f t="shared" si="8"/>
        <v>-24.519894650035+240.871989078012i</v>
      </c>
      <c r="W64" s="80">
        <f t="shared" si="9"/>
        <v>47.68049817387435</v>
      </c>
      <c r="X64" s="85">
        <f t="shared" si="10"/>
        <v>95.81248039850601</v>
      </c>
      <c r="Y64" s="85" t="str">
        <f t="shared" si="11"/>
        <v>-46.7731520143733+437.139850263245i</v>
      </c>
      <c r="Z64" s="80">
        <f t="shared" si="12"/>
        <v>52.86184617020152</v>
      </c>
      <c r="AA64" s="85">
        <f t="shared" si="13"/>
        <v>96.10730600866113</v>
      </c>
    </row>
    <row r="65" spans="6:27" ht="12.75">
      <c r="F65" s="84">
        <v>63</v>
      </c>
      <c r="G65" s="85">
        <f>10^('Small Signal'!F65/30)</f>
        <v>125.89254117941677</v>
      </c>
      <c r="H65" s="85" t="str">
        <f t="shared" si="1"/>
        <v>791.006165022012i</v>
      </c>
      <c r="I65" s="85">
        <f>IF('Small Signal'!$B$37&gt;=1,Q65+0,N65+0)</f>
        <v>27.105528760738306</v>
      </c>
      <c r="J65" s="85">
        <f>IF('Small Signal'!$B$37&gt;=1,R65,O65)</f>
        <v>-1.5156562013512342</v>
      </c>
      <c r="K65" s="85">
        <f>IF('Small Signal'!$B$37&gt;=1,Z65+0,W65+0)</f>
        <v>47.020041078621404</v>
      </c>
      <c r="L65" s="85">
        <f>IF('Small Signal'!$B$37&gt;=1,AA65,X65)</f>
        <v>95.40421883148827</v>
      </c>
      <c r="M65" s="85" t="str">
        <f>IMDIV(IMSUM('Small Signal'!$B$2*'Small Signal'!$B$16*'Small Signal'!$B$38,IMPRODUCT(H65,'Small Signal'!$B$2*'Small Signal'!$B$16*'Small Signal'!$B$38*'Small Signal'!$B$13*'Small Signal'!$B$14)),IMSUM(IMPRODUCT('Small Signal'!$B$11*'Small Signal'!$B$13*('Small Signal'!$B$14+'Small Signal'!$B$16),IMPOWER(H65,2)),IMSUM(IMPRODUCT(H65,('Small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22.6529343777078-0.599382217435841i</v>
      </c>
      <c r="N65" s="85">
        <f t="shared" si="2"/>
        <v>27.105528760738306</v>
      </c>
      <c r="O65" s="85">
        <f t="shared" si="3"/>
        <v>-1.5156562013512342</v>
      </c>
      <c r="P65" s="85" t="str">
        <f>IMDIV(IMSUM('Small Signal'!$B$48,IMPRODUCT(H65,'Small Signal'!$B$49)),IMSUM(IMPRODUCT('Small Signal'!$B$52,IMPOWER(H65,2)),IMSUM(IMPRODUCT(H65,'Small Signal'!$B$51),'Small Signal'!$B$50)))</f>
        <v>41.1396216841622-0.859844245041654i</v>
      </c>
      <c r="Q65" s="85">
        <f t="shared" si="4"/>
        <v>32.28710261584492</v>
      </c>
      <c r="R65" s="85">
        <f t="shared" si="5"/>
        <v>-1.1973438863329668</v>
      </c>
      <c r="S65" s="85" t="str">
        <f>IMPRODUCT(IMDIV(IMSUM(IMPRODUCT(H65,'Small Signal'!$B$33*'Small Signal'!$B$6*'Small Signal'!$B$27*'Small Signal'!$B$7*'Small Signal'!$B$8),'Small Signal'!$B$33*'Small Signal'!$B$6*'Small Signal'!$B$27),IMSUM(IMSUM(IMPRODUCT(H65,('Small Signal'!$B$5+'Small Signal'!$B$6)*('Small Signal'!$B$32*'Small Signal'!$B$33)+'Small Signal'!$B$5*'Small Signal'!$B$33*('Small Signal'!$B$8+'Small Signal'!$B$9)+'Small Signal'!$B$6*'Small Signal'!$B$33*('Small Signal'!$B$8+'Small Signal'!$B$9)+'Small Signal'!$B$7*'Small Signal'!$B$8*('Small Signal'!$B$5+'Small Signal'!$B$6)),'Small Signal'!$B$6+'Small Signal'!$B$5),IMPRODUCT(IMPOWER(H65,2),'Small Signal'!$B$32*'Small Signal'!$B$33*'Small Signal'!$B$8*'Small Signal'!$B$7*('Small Signal'!$B$5+'Small Signal'!$B$6)+('Small Signal'!$B$5+'Small Signal'!$B$6)*('Small Signal'!$B$9*'Small Signal'!$B$8*'Small Signal'!$B$33*'Small Signal'!$B$7)))),-1)</f>
        <v>-1.19301228209882+9.82993093018235i</v>
      </c>
      <c r="T65" s="85">
        <f t="shared" si="6"/>
        <v>19.91451231788308</v>
      </c>
      <c r="U65" s="85">
        <f t="shared" si="7"/>
        <v>96.91987503283953</v>
      </c>
      <c r="V65" s="85" t="str">
        <f t="shared" si="8"/>
        <v>-21.1333431400101+223.391850645894i</v>
      </c>
      <c r="W65" s="80">
        <f t="shared" si="9"/>
        <v>47.020041078621404</v>
      </c>
      <c r="X65" s="85">
        <f t="shared" si="10"/>
        <v>95.40421883148827</v>
      </c>
      <c r="Y65" s="85" t="str">
        <f t="shared" si="11"/>
        <v>-40.6278644106302+405.425444394173i</v>
      </c>
      <c r="Z65" s="80">
        <f t="shared" si="12"/>
        <v>52.201614933727996</v>
      </c>
      <c r="AA65" s="85">
        <f t="shared" si="13"/>
        <v>95.72253114650655</v>
      </c>
    </row>
    <row r="66" spans="6:27" ht="12.75">
      <c r="F66" s="84">
        <v>64</v>
      </c>
      <c r="G66" s="85">
        <f>10^('Small Signal'!F66/30)</f>
        <v>135.93563908785265</v>
      </c>
      <c r="H66" s="85" t="str">
        <f aca="true" t="shared" si="14" ref="H66:H129">COMPLEX(0,G66*2*PI())</f>
        <v>854.108810238863i</v>
      </c>
      <c r="I66" s="85">
        <f>IF('Small Signal'!$B$37&gt;=1,Q66+0,N66+0)</f>
        <v>27.105063050908708</v>
      </c>
      <c r="J66" s="85">
        <f>IF('Small Signal'!$B$37&gt;=1,R66,O66)</f>
        <v>-1.6365118470216626</v>
      </c>
      <c r="K66" s="85">
        <f>IF('Small Signal'!$B$37&gt;=1,Z66+0,W66+0)</f>
        <v>46.3587468551716</v>
      </c>
      <c r="L66" s="85">
        <f>IF('Small Signal'!$B$37&gt;=1,AA66,X66)</f>
        <v>95.02710129360358</v>
      </c>
      <c r="M66" s="85" t="str">
        <f>IMDIV(IMSUM('Small Signal'!$B$2*'Small Signal'!$B$16*'Small Signal'!$B$38,IMPRODUCT(H66,'Small Signal'!$B$2*'Small Signal'!$B$16*'Small Signal'!$B$38*'Small Signal'!$B$13*'Small Signal'!$B$14)),IMSUM(IMPRODUCT('Small Signal'!$B$11*'Small Signal'!$B$13*('Small Signal'!$B$14+'Small Signal'!$B$16),IMPOWER(H66,2)),IMSUM(IMPRODUCT(H66,('Small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22.6504052145311-0.647128640664807i</v>
      </c>
      <c r="N66" s="85">
        <f aca="true" t="shared" si="15" ref="N66:N129">20*LOG(IMABS(M66))</f>
        <v>27.105063050908708</v>
      </c>
      <c r="O66" s="85">
        <f aca="true" t="shared" si="16" ref="O66:O129">(180/PI())*IMARGUMENT(M66)</f>
        <v>-1.6365118470216626</v>
      </c>
      <c r="P66" s="85" t="str">
        <f>IMDIV(IMSUM('Small Signal'!$B$48,IMPRODUCT(H66,'Small Signal'!$B$49)),IMSUM(IMPRODUCT('Small Signal'!$B$52,IMPOWER(H66,2)),IMSUM(IMPRODUCT(H66,'Small Signal'!$B$51),'Small Signal'!$B$50)))</f>
        <v>41.1371726214118-0.928395225818855i</v>
      </c>
      <c r="Q66" s="85">
        <f aca="true" t="shared" si="17" ref="Q66:Q129">20*LOG(IMABS(P66))</f>
        <v>32.28690019917441</v>
      </c>
      <c r="R66" s="85">
        <f aca="true" t="shared" si="18" ref="R66:R129">(180/PI())*IMARGUMENT(P66)</f>
        <v>-1.2928477244758634</v>
      </c>
      <c r="S66" s="85" t="str">
        <f>IMPRODUCT(IMDIV(IMSUM(IMPRODUCT(H66,'Small Signal'!$B$33*'Small Signal'!$B$6*'Small Signal'!$B$27*'Small Signal'!$B$7*'Small Signal'!$B$8),'Small Signal'!$B$33*'Small Signal'!$B$6*'Small Signal'!$B$27),IMSUM(IMSUM(IMPRODUCT(H66,('Small Signal'!$B$5+'Small Signal'!$B$6)*('Small Signal'!$B$32*'Small Signal'!$B$33)+'Small Signal'!$B$5*'Small Signal'!$B$33*('Small Signal'!$B$8+'Small Signal'!$B$9)+'Small Signal'!$B$6*'Small Signal'!$B$33*('Small Signal'!$B$8+'Small Signal'!$B$9)+'Small Signal'!$B$7*'Small Signal'!$B$8*('Small Signal'!$B$5+'Small Signal'!$B$6)),'Small Signal'!$B$6+'Small Signal'!$B$5),IMPRODUCT(IMPOWER(H66,2),'Small Signal'!$B$32*'Small Signal'!$B$33*'Small Signal'!$B$8*'Small Signal'!$B$7*('Small Signal'!$B$5+'Small Signal'!$B$6)+('Small Signal'!$B$5+'Small Signal'!$B$6)*('Small Signal'!$B$9*'Small Signal'!$B$8*'Small Signal'!$B$33*'Small Signal'!$B$7)))),-1)</f>
        <v>-1.06485833929517+9.11465800730585i</v>
      </c>
      <c r="T66" s="85">
        <f aca="true" t="shared" si="19" ref="T66:T129">20*LOG(IMABS(S66))</f>
        <v>19.25368380426289</v>
      </c>
      <c r="U66" s="85">
        <f aca="true" t="shared" si="20" ref="U66:U129">(180/PI())*IMARGUMENT(S66)</f>
        <v>96.66361314062524</v>
      </c>
      <c r="V66" s="85" t="str">
        <f aca="true" t="shared" si="21" ref="V66:V129">IMPRODUCT(M66,S66)</f>
        <v>-18.2211166347158+207.139797586957i</v>
      </c>
      <c r="W66" s="80">
        <f aca="true" t="shared" si="22" ref="W66:W129">20*LOG(IMABS(V66))</f>
        <v>46.3587468551716</v>
      </c>
      <c r="X66" s="85">
        <f aca="true" t="shared" si="23" ref="X66:X129">(180/PI())*IMARGUMENT(V66)</f>
        <v>95.02710129360358</v>
      </c>
      <c r="Y66" s="85" t="str">
        <f aca="true" t="shared" si="24" ref="Y66:Y129">IMPRODUCT(P66,S66)</f>
        <v>-35.343256341981+375.939869230049i</v>
      </c>
      <c r="Z66" s="80">
        <f aca="true" t="shared" si="25" ref="Z66:Z129">20*LOG(IMABS(Y66))</f>
        <v>51.540584003437296</v>
      </c>
      <c r="AA66" s="85">
        <f aca="true" t="shared" si="26" ref="AA66:AA129">(180/PI())*IMARGUMENT(Y66)</f>
        <v>95.3707654161494</v>
      </c>
    </row>
    <row r="67" spans="6:27" ht="12.75">
      <c r="F67" s="84">
        <v>65</v>
      </c>
      <c r="G67" s="85">
        <f>10^('Small Signal'!F67/30)</f>
        <v>146.77992676220697</v>
      </c>
      <c r="H67" s="85" t="str">
        <f t="shared" si="14"/>
        <v>922.245479221195i</v>
      </c>
      <c r="I67" s="85">
        <f>IF('Small Signal'!$B$37&gt;=1,Q67+0,N67+0)</f>
        <v>27.1045201359172</v>
      </c>
      <c r="J67" s="85">
        <f>IF('Small Signal'!$B$37&gt;=1,R67,O67)</f>
        <v>-1.766994262322152</v>
      </c>
      <c r="K67" s="85">
        <f>IF('Small Signal'!$B$37&gt;=1,Z67+0,W67+0)</f>
        <v>45.696739421123674</v>
      </c>
      <c r="L67" s="85">
        <f>IF('Small Signal'!$B$37&gt;=1,AA67,X67)</f>
        <v>94.67904584469849</v>
      </c>
      <c r="M67" s="85" t="str">
        <f>IMDIV(IMSUM('Small Signal'!$B$2*'Small Signal'!$B$16*'Small Signal'!$B$38,IMPRODUCT(H67,'Small Signal'!$B$2*'Small Signal'!$B$16*'Small Signal'!$B$38*'Small Signal'!$B$13*'Small Signal'!$B$14)),IMSUM(IMPRODUCT('Small Signal'!$B$11*'Small Signal'!$B$13*('Small Signal'!$B$14+'Small Signal'!$B$16),IMPOWER(H67,2)),IMSUM(IMPRODUCT(H67,('Small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22.6474571102553-0.698666095850019i</v>
      </c>
      <c r="N67" s="85">
        <f t="shared" si="15"/>
        <v>27.1045201359172</v>
      </c>
      <c r="O67" s="85">
        <f t="shared" si="16"/>
        <v>-1.766994262322152</v>
      </c>
      <c r="P67" s="85" t="str">
        <f>IMDIV(IMSUM('Small Signal'!$B$48,IMPRODUCT(H67,'Small Signal'!$B$49)),IMSUM(IMPRODUCT('Small Signal'!$B$52,IMPOWER(H67,2)),IMSUM(IMPRODUCT(H67,'Small Signal'!$B$51),'Small Signal'!$B$50)))</f>
        <v>41.134317494146-1.00240368303329i</v>
      </c>
      <c r="Q67" s="85">
        <f t="shared" si="17"/>
        <v>32.28666420867796</v>
      </c>
      <c r="R67" s="85">
        <f t="shared" si="18"/>
        <v>-1.3959666524983956</v>
      </c>
      <c r="S67" s="85" t="str">
        <f>IMPRODUCT(IMDIV(IMSUM(IMPRODUCT(H67,'Small Signal'!$B$33*'Small Signal'!$B$6*'Small Signal'!$B$27*'Small Signal'!$B$7*'Small Signal'!$B$8),'Small Signal'!$B$33*'Small Signal'!$B$6*'Small Signal'!$B$27),IMSUM(IMSUM(IMPRODUCT(H67,('Small Signal'!$B$5+'Small Signal'!$B$6)*('Small Signal'!$B$32*'Small Signal'!$B$33)+'Small Signal'!$B$5*'Small Signal'!$B$33*('Small Signal'!$B$8+'Small Signal'!$B$9)+'Small Signal'!$B$6*'Small Signal'!$B$33*('Small Signal'!$B$8+'Small Signal'!$B$9)+'Small Signal'!$B$7*'Small Signal'!$B$8*('Small Signal'!$B$5+'Small Signal'!$B$6)),'Small Signal'!$B$6+'Small Signal'!$B$5),IMPRODUCT(IMPOWER(H67,2),'Small Signal'!$B$32*'Small Signal'!$B$33*'Small Signal'!$B$8*'Small Signal'!$B$7*('Small Signal'!$B$5+'Small Signal'!$B$6)+('Small Signal'!$B$5+'Small Signal'!$B$6)*('Small Signal'!$B$9*'Small Signal'!$B$8*'Small Signal'!$B$33*'Small Signal'!$B$7)))),-1)</f>
        <v>-0.954695296929734+8.44999886970939i</v>
      </c>
      <c r="T67" s="85">
        <f t="shared" si="19"/>
        <v>18.5922192852065</v>
      </c>
      <c r="U67" s="85">
        <f t="shared" si="20"/>
        <v>96.44604010702062</v>
      </c>
      <c r="V67" s="85" t="str">
        <f t="shared" si="21"/>
        <v>-15.7176930703417+192.038000219281i</v>
      </c>
      <c r="W67" s="80">
        <f t="shared" si="22"/>
        <v>45.696739421123674</v>
      </c>
      <c r="X67" s="85">
        <f t="shared" si="23"/>
        <v>94.67904584469849</v>
      </c>
      <c r="Y67" s="85" t="str">
        <f t="shared" si="24"/>
        <v>-30.8004294654518+348.541926413618i</v>
      </c>
      <c r="Z67" s="80">
        <f t="shared" si="25"/>
        <v>50.878883493884466</v>
      </c>
      <c r="AA67" s="85">
        <f t="shared" si="26"/>
        <v>95.05007345452222</v>
      </c>
    </row>
    <row r="68" spans="6:27" ht="12.75">
      <c r="F68" s="84">
        <v>66</v>
      </c>
      <c r="G68" s="85">
        <f>10^('Small Signal'!F68/30)</f>
        <v>158.48931924611153</v>
      </c>
      <c r="H68" s="85" t="str">
        <f t="shared" si="14"/>
        <v>995.817762032063i</v>
      </c>
      <c r="I68" s="85">
        <f>IF('Small Signal'!$B$37&gt;=1,Q68+0,N68+0)</f>
        <v>27.10388722886368</v>
      </c>
      <c r="J68" s="85">
        <f>IF('Small Signal'!$B$37&gt;=1,R68,O68)</f>
        <v>-1.9078676721708023</v>
      </c>
      <c r="K68" s="85">
        <f>IF('Small Signal'!$B$37&gt;=1,Z68+0,W68+0)</f>
        <v>45.03412661144692</v>
      </c>
      <c r="L68" s="85">
        <f>IF('Small Signal'!$B$37&gt;=1,AA68,X68)</f>
        <v>94.35811233432152</v>
      </c>
      <c r="M68" s="85" t="str">
        <f>IMDIV(IMSUM('Small Signal'!$B$2*'Small Signal'!$B$16*'Small Signal'!$B$38,IMPRODUCT(H68,'Small Signal'!$B$2*'Small Signal'!$B$16*'Small Signal'!$B$38*'Small Signal'!$B$13*'Small Signal'!$B$14)),IMSUM(IMPRODUCT('Small Signal'!$B$11*'Small Signal'!$B$13*('Small Signal'!$B$14+'Small Signal'!$B$16),IMPOWER(H68,2)),IMSUM(IMPRODUCT(H68,('Small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22.6440208017866-0.754292375782843i</v>
      </c>
      <c r="N68" s="85">
        <f t="shared" si="15"/>
        <v>27.10388722886368</v>
      </c>
      <c r="O68" s="85">
        <f t="shared" si="16"/>
        <v>-1.9078676721708023</v>
      </c>
      <c r="P68" s="85" t="str">
        <f>IMDIV(IMSUM('Small Signal'!$B$48,IMPRODUCT(H68,'Small Signal'!$B$49)),IMSUM(IMPRODUCT('Small Signal'!$B$52,IMPOWER(H68,2)),IMSUM(IMPRODUCT(H68,'Small Signal'!$B$51),'Small Signal'!$B$50)))</f>
        <v>41.1309890274796-1.08230209295428i</v>
      </c>
      <c r="Q68" s="85">
        <f t="shared" si="17"/>
        <v>32.28638907757178</v>
      </c>
      <c r="R68" s="85">
        <f t="shared" si="18"/>
        <v>-1.507307196393141</v>
      </c>
      <c r="S68" s="85" t="str">
        <f>IMPRODUCT(IMDIV(IMSUM(IMPRODUCT(H68,'Small Signal'!$B$33*'Small Signal'!$B$6*'Small Signal'!$B$27*'Small Signal'!$B$7*'Small Signal'!$B$8),'Small Signal'!$B$33*'Small Signal'!$B$6*'Small Signal'!$B$27),IMSUM(IMSUM(IMPRODUCT(H68,('Small Signal'!$B$5+'Small Signal'!$B$6)*('Small Signal'!$B$32*'Small Signal'!$B$33)+'Small Signal'!$B$5*'Small Signal'!$B$33*('Small Signal'!$B$8+'Small Signal'!$B$9)+'Small Signal'!$B$6*'Small Signal'!$B$33*('Small Signal'!$B$8+'Small Signal'!$B$9)+'Small Signal'!$B$7*'Small Signal'!$B$8*('Small Signal'!$B$5+'Small Signal'!$B$6)),'Small Signal'!$B$6+'Small Signal'!$B$5),IMPRODUCT(IMPOWER(H68,2),'Small Signal'!$B$32*'Small Signal'!$B$33*'Small Signal'!$B$8*'Small Signal'!$B$7*('Small Signal'!$B$5+'Small Signal'!$B$6)+('Small Signal'!$B$5+'Small Signal'!$B$6)*('Small Signal'!$B$9*'Small Signal'!$B$8*'Small Signal'!$B$33*'Small Signal'!$B$7)))),-1)</f>
        <v>-0.860027422767988+7.83266739826714i</v>
      </c>
      <c r="T68" s="85">
        <f t="shared" si="19"/>
        <v>17.93023938258323</v>
      </c>
      <c r="U68" s="85">
        <f t="shared" si="20"/>
        <v>96.26598000649233</v>
      </c>
      <c r="V68" s="85" t="str">
        <f t="shared" si="21"/>
        <v>-13.5663575507095+178.011795627795i</v>
      </c>
      <c r="W68" s="80">
        <f t="shared" si="22"/>
        <v>45.03412661144692</v>
      </c>
      <c r="X68" s="85">
        <f t="shared" si="23"/>
        <v>94.35811233432152</v>
      </c>
      <c r="Y68" s="85" t="str">
        <f t="shared" si="24"/>
        <v>-26.8964661706424+323.096166293683i</v>
      </c>
      <c r="Z68" s="80">
        <f t="shared" si="25"/>
        <v>50.21662846015502</v>
      </c>
      <c r="AA68" s="85">
        <f t="shared" si="26"/>
        <v>94.75867281009918</v>
      </c>
    </row>
    <row r="69" spans="6:27" ht="12.75">
      <c r="F69" s="84">
        <v>67</v>
      </c>
      <c r="G69" s="85">
        <f>10^('Small Signal'!F69/30)</f>
        <v>171.13283041617817</v>
      </c>
      <c r="H69" s="85" t="str">
        <f t="shared" si="14"/>
        <v>1075.25928564699i</v>
      </c>
      <c r="I69" s="85">
        <f>IF('Small Signal'!$B$37&gt;=1,Q69+0,N69+0)</f>
        <v>27.103149429407367</v>
      </c>
      <c r="J69" s="85">
        <f>IF('Small Signal'!$B$37&gt;=1,R69,O69)</f>
        <v>-2.0599562982584656</v>
      </c>
      <c r="K69" s="85">
        <f>IF('Small Signal'!$B$37&gt;=1,Z69+0,W69+0)</f>
        <v>44.371002522962534</v>
      </c>
      <c r="L69" s="85">
        <f>IF('Small Signal'!$B$37&gt;=1,AA69,X69)</f>
        <v>94.06249667156673</v>
      </c>
      <c r="M69" s="85" t="str">
        <f>IMDIV(IMSUM('Small Signal'!$B$2*'Small Signal'!$B$16*'Small Signal'!$B$38,IMPRODUCT(H69,'Small Signal'!$B$2*'Small Signal'!$B$16*'Small Signal'!$B$38*'Small Signal'!$B$13*'Small Signal'!$B$14)),IMSUM(IMPRODUCT('Small Signal'!$B$11*'Small Signal'!$B$13*('Small Signal'!$B$14+'Small Signal'!$B$16),IMPOWER(H69,2)),IMSUM(IMPRODUCT(H69,('Small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22.6400156222201-0.814327833400165i</v>
      </c>
      <c r="N69" s="85">
        <f t="shared" si="15"/>
        <v>27.103149429407367</v>
      </c>
      <c r="O69" s="85">
        <f t="shared" si="16"/>
        <v>-2.0599562982584656</v>
      </c>
      <c r="P69" s="85" t="str">
        <f>IMDIV(IMSUM('Small Signal'!$B$48,IMPRODUCT(H69,'Small Signal'!$B$49)),IMSUM(IMPRODUCT('Small Signal'!$B$52,IMPOWER(H69,2)),IMSUM(IMPRODUCT(H69,'Small Signal'!$B$51),'Small Signal'!$B$50)))</f>
        <v>41.1271088195047-1.16855668428378i</v>
      </c>
      <c r="Q69" s="85">
        <f t="shared" si="17"/>
        <v>32.286068316754644</v>
      </c>
      <c r="R69" s="85">
        <f t="shared" si="18"/>
        <v>-1.6275240171678154</v>
      </c>
      <c r="S69" s="85" t="str">
        <f>IMPRODUCT(IMDIV(IMSUM(IMPRODUCT(H69,'Small Signal'!$B$33*'Small Signal'!$B$6*'Small Signal'!$B$27*'Small Signal'!$B$7*'Small Signal'!$B$8),'Small Signal'!$B$33*'Small Signal'!$B$6*'Small Signal'!$B$27),IMSUM(IMSUM(IMPRODUCT(H69,('Small Signal'!$B$5+'Small Signal'!$B$6)*('Small Signal'!$B$32*'Small Signal'!$B$33)+'Small Signal'!$B$5*'Small Signal'!$B$33*('Small Signal'!$B$8+'Small Signal'!$B$9)+'Small Signal'!$B$6*'Small Signal'!$B$33*('Small Signal'!$B$8+'Small Signal'!$B$9)+'Small Signal'!$B$7*'Small Signal'!$B$8*('Small Signal'!$B$5+'Small Signal'!$B$6)),'Small Signal'!$B$6+'Small Signal'!$B$5),IMPRODUCT(IMPOWER(H69,2),'Small Signal'!$B$32*'Small Signal'!$B$33*'Small Signal'!$B$8*'Small Signal'!$B$7*('Small Signal'!$B$5+'Small Signal'!$B$6)+('Small Signal'!$B$5+'Small Signal'!$B$6)*('Small Signal'!$B$9*'Small Signal'!$B$8*'Small Signal'!$B$33*'Small Signal'!$B$7)))),-1)</f>
        <v>-0.778697307597889+7.25952901398091i</v>
      </c>
      <c r="T69" s="85">
        <f t="shared" si="19"/>
        <v>17.267853093555146</v>
      </c>
      <c r="U69" s="85">
        <f t="shared" si="20"/>
        <v>96.12245296982522</v>
      </c>
      <c r="V69" s="85" t="str">
        <f t="shared" si="21"/>
        <v>-11.7180826755362+164.989965177859i</v>
      </c>
      <c r="W69" s="80">
        <f t="shared" si="22"/>
        <v>44.371002522962534</v>
      </c>
      <c r="X69" s="85">
        <f t="shared" si="23"/>
        <v>94.06249667156673</v>
      </c>
      <c r="Y69" s="85" t="str">
        <f t="shared" si="24"/>
        <v>-23.5423977529943+299.473391680172i</v>
      </c>
      <c r="Z69" s="80">
        <f t="shared" si="25"/>
        <v>49.5539214103098</v>
      </c>
      <c r="AA69" s="85">
        <f t="shared" si="26"/>
        <v>94.4949289526574</v>
      </c>
    </row>
    <row r="70" spans="6:27" ht="12.75">
      <c r="F70" s="84">
        <v>68</v>
      </c>
      <c r="G70" s="85">
        <f>10^('Small Signal'!F70/30)</f>
        <v>184.7849797422291</v>
      </c>
      <c r="H70" s="85" t="str">
        <f t="shared" si="14"/>
        <v>1161.03826970385i</v>
      </c>
      <c r="I70" s="85">
        <f>IF('Small Signal'!$B$37&gt;=1,Q70+0,N70+0)</f>
        <v>27.102289376016834</v>
      </c>
      <c r="J70" s="85">
        <f>IF('Small Signal'!$B$37&gt;=1,R70,O70)</f>
        <v>-2.2241488953011737</v>
      </c>
      <c r="K70" s="85">
        <f>IF('Small Signal'!$B$37&gt;=1,Z70+0,W70+0)</f>
        <v>43.707449585473924</v>
      </c>
      <c r="L70" s="85">
        <f>IF('Small Signal'!$B$37&gt;=1,AA70,X70)</f>
        <v>93.79052469987042</v>
      </c>
      <c r="M70" s="85" t="str">
        <f>IMDIV(IMSUM('Small Signal'!$B$2*'Small Signal'!$B$16*'Small Signal'!$B$38,IMPRODUCT(H70,'Small Signal'!$B$2*'Small Signal'!$B$16*'Small Signal'!$B$38*'Small Signal'!$B$13*'Small Signal'!$B$14)),IMSUM(IMPRODUCT('Small Signal'!$B$11*'Small Signal'!$B$13*('Small Signal'!$B$14+'Small Signal'!$B$16),IMPOWER(H70,2)),IMSUM(IMPRODUCT(H70,('Small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22.6353476402644-0.879116873826229i</v>
      </c>
      <c r="N70" s="85">
        <f t="shared" si="15"/>
        <v>27.102289376016834</v>
      </c>
      <c r="O70" s="85">
        <f t="shared" si="16"/>
        <v>-2.2241488953011737</v>
      </c>
      <c r="P70" s="85" t="str">
        <f>IMDIV(IMSUM('Small Signal'!$B$48,IMPRODUCT(H70,'Small Signal'!$B$49)),IMSUM(IMPRODUCT('Small Signal'!$B$52,IMPOWER(H70,2)),IMSUM(IMPRODUCT(H70,'Small Signal'!$B$51),'Small Signal'!$B$50)))</f>
        <v>41.1225855076604-1.26166993749056i</v>
      </c>
      <c r="Q70" s="85">
        <f t="shared" si="17"/>
        <v>32.285694362245614</v>
      </c>
      <c r="R70" s="85">
        <f t="shared" si="18"/>
        <v>-1.7573236860130532</v>
      </c>
      <c r="S70" s="85" t="str">
        <f>IMPRODUCT(IMDIV(IMSUM(IMPRODUCT(H70,'Small Signal'!$B$33*'Small Signal'!$B$6*'Small Signal'!$B$27*'Small Signal'!$B$7*'Small Signal'!$B$8),'Small Signal'!$B$33*'Small Signal'!$B$6*'Small Signal'!$B$27),IMSUM(IMSUM(IMPRODUCT(H70,('Small Signal'!$B$5+'Small Signal'!$B$6)*('Small Signal'!$B$32*'Small Signal'!$B$33)+'Small Signal'!$B$5*'Small Signal'!$B$33*('Small Signal'!$B$8+'Small Signal'!$B$9)+'Small Signal'!$B$6*'Small Signal'!$B$33*('Small Signal'!$B$8+'Small Signal'!$B$9)+'Small Signal'!$B$7*'Small Signal'!$B$8*('Small Signal'!$B$5+'Small Signal'!$B$6)),'Small Signal'!$B$6+'Small Signal'!$B$5),IMPRODUCT(IMPOWER(H70,2),'Small Signal'!$B$32*'Small Signal'!$B$33*'Small Signal'!$B$8*'Small Signal'!$B$7*('Small Signal'!$B$5+'Small Signal'!$B$6)+('Small Signal'!$B$5+'Small Signal'!$B$6)*('Small Signal'!$B$9*'Small Signal'!$B$8*'Small Signal'!$B$33*'Small Signal'!$B$7)))),-1)</f>
        <v>-0.708842093669669+6.72760763778945i</v>
      </c>
      <c r="T70" s="85">
        <f t="shared" si="19"/>
        <v>16.60516020945712</v>
      </c>
      <c r="U70" s="85">
        <f t="shared" si="20"/>
        <v>96.01467359517157</v>
      </c>
      <c r="V70" s="85" t="str">
        <f t="shared" si="21"/>
        <v>-10.1305338174029+152.904892714085i</v>
      </c>
      <c r="W70" s="80">
        <f t="shared" si="22"/>
        <v>43.707449585473924</v>
      </c>
      <c r="X70" s="85">
        <f t="shared" si="23"/>
        <v>93.79052469987042</v>
      </c>
      <c r="Y70" s="85" t="str">
        <f t="shared" si="24"/>
        <v>-20.6613993005292+277.550945106997i</v>
      </c>
      <c r="Z70" s="80">
        <f t="shared" si="25"/>
        <v>48.89085457170274</v>
      </c>
      <c r="AA70" s="85">
        <f t="shared" si="26"/>
        <v>94.25734990915852</v>
      </c>
    </row>
    <row r="71" spans="6:27" ht="12.75">
      <c r="F71" s="84">
        <v>69</v>
      </c>
      <c r="G71" s="85">
        <f>10^('Small Signal'!F71/30)</f>
        <v>199.52623149688802</v>
      </c>
      <c r="H71" s="85" t="str">
        <f t="shared" si="14"/>
        <v>1253.66028613816i</v>
      </c>
      <c r="I71" s="85">
        <f>IF('Small Signal'!$B$37&gt;=1,Q71+0,N71+0)</f>
        <v>27.101286841560324</v>
      </c>
      <c r="J71" s="85">
        <f>IF('Small Signal'!$B$37&gt;=1,R71,O71)</f>
        <v>-2.401403584908219</v>
      </c>
      <c r="K71" s="85">
        <f>IF('Small Signal'!$B$37&gt;=1,Z71+0,W71+0)</f>
        <v>43.04354039477387</v>
      </c>
      <c r="L71" s="85">
        <f>IF('Small Signal'!$B$37&gt;=1,AA71,X71)</f>
        <v>93.5406458590927</v>
      </c>
      <c r="M71" s="85" t="str">
        <f>IMDIV(IMSUM('Small Signal'!$B$2*'Small Signal'!$B$16*'Small Signal'!$B$38,IMPRODUCT(H71,'Small Signal'!$B$2*'Small Signal'!$B$16*'Small Signal'!$B$38*'Small Signal'!$B$13*'Small Signal'!$B$14)),IMSUM(IMPRODUCT('Small Signal'!$B$11*'Small Signal'!$B$13*('Small Signal'!$B$14+'Small Signal'!$B$16),IMPOWER(H71,2)),IMSUM(IMPRODUCT(H71,('Small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22.6299075022105-0.949029486731598i</v>
      </c>
      <c r="N71" s="85">
        <f t="shared" si="15"/>
        <v>27.101286841560324</v>
      </c>
      <c r="O71" s="85">
        <f t="shared" si="16"/>
        <v>-2.401403584908219</v>
      </c>
      <c r="P71" s="85" t="str">
        <f>IMDIV(IMSUM('Small Signal'!$B$48,IMPRODUCT(H71,'Small Signal'!$B$49)),IMSUM(IMPRODUCT('Small Signal'!$B$52,IMPOWER(H71,2)),IMSUM(IMPRODUCT(H71,'Small Signal'!$B$51),'Small Signal'!$B$50)))</f>
        <v>41.1173126353619-1.36218323372745i</v>
      </c>
      <c r="Q71" s="85">
        <f t="shared" si="17"/>
        <v>32.28525839747657</v>
      </c>
      <c r="R71" s="85">
        <f t="shared" si="18"/>
        <v>-1.8974687439003868</v>
      </c>
      <c r="S71" s="85" t="str">
        <f>IMPRODUCT(IMDIV(IMSUM(IMPRODUCT(H71,'Small Signal'!$B$33*'Small Signal'!$B$6*'Small Signal'!$B$27*'Small Signal'!$B$7*'Small Signal'!$B$8),'Small Signal'!$B$33*'Small Signal'!$B$6*'Small Signal'!$B$27),IMSUM(IMSUM(IMPRODUCT(H71,('Small Signal'!$B$5+'Small Signal'!$B$6)*('Small Signal'!$B$32*'Small Signal'!$B$33)+'Small Signal'!$B$5*'Small Signal'!$B$33*('Small Signal'!$B$8+'Small Signal'!$B$9)+'Small Signal'!$B$6*'Small Signal'!$B$33*('Small Signal'!$B$8+'Small Signal'!$B$9)+'Small Signal'!$B$7*'Small Signal'!$B$8*('Small Signal'!$B$5+'Small Signal'!$B$6)),'Small Signal'!$B$6+'Small Signal'!$B$5),IMPRODUCT(IMPOWER(H71,2),'Small Signal'!$B$32*'Small Signal'!$B$33*'Small Signal'!$B$8*'Small Signal'!$B$7*('Small Signal'!$B$5+'Small Signal'!$B$6)+('Small Signal'!$B$5+'Small Signal'!$B$6)*('Small Signal'!$B$9*'Small Signal'!$B$8*'Small Signal'!$B$33*'Small Signal'!$B$7)))),-1)</f>
        <v>-0.648854803627556+6.2340885948781i</v>
      </c>
      <c r="T71" s="85">
        <f t="shared" si="19"/>
        <v>15.942253553213533</v>
      </c>
      <c r="U71" s="85">
        <f t="shared" si="20"/>
        <v>95.94204944400093</v>
      </c>
      <c r="V71" s="85" t="str">
        <f t="shared" si="21"/>
        <v>-8.76719028902008+141.692630603927i</v>
      </c>
      <c r="W71" s="80">
        <f t="shared" si="22"/>
        <v>43.04354039477387</v>
      </c>
      <c r="X71" s="85">
        <f t="shared" si="23"/>
        <v>93.5406458590927</v>
      </c>
      <c r="Y71" s="85" t="str">
        <f t="shared" si="24"/>
        <v>-18.1871948541961+257.212828886772i</v>
      </c>
      <c r="Z71" s="80">
        <f t="shared" si="25"/>
        <v>48.2275119506901</v>
      </c>
      <c r="AA71" s="85">
        <f t="shared" si="26"/>
        <v>94.04458070010054</v>
      </c>
    </row>
    <row r="72" spans="6:27" ht="12.75">
      <c r="F72" s="84">
        <v>70</v>
      </c>
      <c r="G72" s="85">
        <f>10^('Small Signal'!F72/30)</f>
        <v>215.44346900318848</v>
      </c>
      <c r="H72" s="85" t="str">
        <f t="shared" si="14"/>
        <v>1353.67123896863i</v>
      </c>
      <c r="I72" s="85">
        <f>IF('Small Signal'!$B$37&gt;=1,Q72+0,N72+0)</f>
        <v>27.10011826320798</v>
      </c>
      <c r="J72" s="85">
        <f>IF('Small Signal'!$B$37&gt;=1,R72,O72)</f>
        <v>-2.5927529943860965</v>
      </c>
      <c r="K72" s="85">
        <f>IF('Small Signal'!$B$37&gt;=1,Z72+0,W72+0)</f>
        <v>42.37933934046317</v>
      </c>
      <c r="L72" s="85">
        <f>IF('Small Signal'!$B$37&gt;=1,AA72,X72)</f>
        <v>93.31142677081893</v>
      </c>
      <c r="M72" s="85" t="str">
        <f>IMDIV(IMSUM('Small Signal'!$B$2*'Small Signal'!$B$16*'Small Signal'!$B$38,IMPRODUCT(H72,'Small Signal'!$B$2*'Small Signal'!$B$16*'Small Signal'!$B$38*'Small Signal'!$B$13*'Small Signal'!$B$14)),IMSUM(IMPRODUCT('Small Signal'!$B$11*'Small Signal'!$B$13*('Small Signal'!$B$14+'Small Signal'!$B$16),IMPOWER(H72,2)),IMSUM(IMPRODUCT(H72,('Small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22.6235679310976-1.02446280229188i</v>
      </c>
      <c r="N72" s="85">
        <f t="shared" si="15"/>
        <v>27.10011826320798</v>
      </c>
      <c r="O72" s="85">
        <f t="shared" si="16"/>
        <v>-2.5927529943860965</v>
      </c>
      <c r="P72" s="85" t="str">
        <f>IMDIV(IMSUM('Small Signal'!$B$48,IMPRODUCT(H72,'Small Signal'!$B$49)),IMSUM(IMPRODUCT('Small Signal'!$B$52,IMPOWER(H72,2)),IMSUM(IMPRODUCT(H72,'Small Signal'!$B$51),'Small Signal'!$B$50)))</f>
        <v>41.1111661707575-1.47067965248218i</v>
      </c>
      <c r="Q72" s="85">
        <f t="shared" si="17"/>
        <v>32.28475014632607</v>
      </c>
      <c r="R72" s="85">
        <f t="shared" si="18"/>
        <v>-2.048782063989828</v>
      </c>
      <c r="S72" s="85" t="str">
        <f>IMPRODUCT(IMDIV(IMSUM(IMPRODUCT(H72,'Small Signal'!$B$33*'Small Signal'!$B$6*'Small Signal'!$B$27*'Small Signal'!$B$7*'Small Signal'!$B$8),'Small Signal'!$B$33*'Small Signal'!$B$6*'Small Signal'!$B$27),IMSUM(IMSUM(IMPRODUCT(H72,('Small Signal'!$B$5+'Small Signal'!$B$6)*('Small Signal'!$B$32*'Small Signal'!$B$33)+'Small Signal'!$B$5*'Small Signal'!$B$33*('Small Signal'!$B$8+'Small Signal'!$B$9)+'Small Signal'!$B$6*'Small Signal'!$B$33*('Small Signal'!$B$8+'Small Signal'!$B$9)+'Small Signal'!$B$7*'Small Signal'!$B$8*('Small Signal'!$B$5+'Small Signal'!$B$6)),'Small Signal'!$B$6+'Small Signal'!$B$5),IMPRODUCT(IMPOWER(H72,2),'Small Signal'!$B$32*'Small Signal'!$B$33*'Small Signal'!$B$8*'Small Signal'!$B$7*('Small Signal'!$B$5+'Small Signal'!$B$6)+('Small Signal'!$B$5+'Small Signal'!$B$6)*('Small Signal'!$B$9*'Small Signal'!$B$8*'Small Signal'!$B$33*'Small Signal'!$B$7)))),-1)</f>
        <v>-0.597350332311634+5.77631843130728i</v>
      </c>
      <c r="T72" s="85">
        <f t="shared" si="19"/>
        <v>15.27922107725521</v>
      </c>
      <c r="U72" s="85">
        <f t="shared" si="20"/>
        <v>95.904179765205</v>
      </c>
      <c r="V72" s="85" t="str">
        <f t="shared" si="21"/>
        <v>-7.59657245464869+131.292895617721i</v>
      </c>
      <c r="W72" s="80">
        <f t="shared" si="22"/>
        <v>42.37933934046317</v>
      </c>
      <c r="X72" s="85">
        <f t="shared" si="23"/>
        <v>93.31142677081893</v>
      </c>
      <c r="Y72" s="85" t="str">
        <f t="shared" si="24"/>
        <v>-16.0626547906394+238.349697863817i</v>
      </c>
      <c r="Z72" s="80">
        <f t="shared" si="25"/>
        <v>47.56397122358128</v>
      </c>
      <c r="AA72" s="85">
        <f t="shared" si="26"/>
        <v>93.85539770121518</v>
      </c>
    </row>
    <row r="73" spans="6:27" ht="12.75">
      <c r="F73" s="84">
        <v>71</v>
      </c>
      <c r="G73" s="85">
        <f>10^('Small Signal'!F73/30)</f>
        <v>232.6305067153628</v>
      </c>
      <c r="H73" s="85" t="str">
        <f t="shared" si="14"/>
        <v>1461.66058179571i</v>
      </c>
      <c r="I73" s="85">
        <f>IF('Small Signal'!$B$37&gt;=1,Q73+0,N73+0)</f>
        <v>27.098756196247713</v>
      </c>
      <c r="J73" s="85">
        <f>IF('Small Signal'!$B$37&gt;=1,R73,O73)</f>
        <v>-2.7993097042309243</v>
      </c>
      <c r="K73" s="85">
        <f>IF('Small Signal'!$B$37&gt;=1,Z73+0,W73+0)</f>
        <v>41.714904059085065</v>
      </c>
      <c r="L73" s="85">
        <f>IF('Small Signal'!$B$37&gt;=1,AA73,X73)</f>
        <v>93.10154484436447</v>
      </c>
      <c r="M73" s="85" t="str">
        <f>IMDIV(IMSUM('Small Signal'!$B$2*'Small Signal'!$B$16*'Small Signal'!$B$38,IMPRODUCT(H73,'Small Signal'!$B$2*'Small Signal'!$B$16*'Small Signal'!$B$38*'Small Signal'!$B$13*'Small Signal'!$B$14)),IMSUM(IMPRODUCT('Small Signal'!$B$11*'Small Signal'!$B$13*('Small Signal'!$B$14+'Small Signal'!$B$16),IMPOWER(H73,2)),IMSUM(IMPRODUCT(H73,('Small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22.6161808316083-1.1058426477401i</v>
      </c>
      <c r="N73" s="85">
        <f t="shared" si="15"/>
        <v>27.098756196247713</v>
      </c>
      <c r="O73" s="85">
        <f t="shared" si="16"/>
        <v>-2.7993097042309243</v>
      </c>
      <c r="P73" s="85" t="str">
        <f>IMDIV(IMSUM('Small Signal'!$B$48,IMPRODUCT(H73,'Small Signal'!$B$49)),IMSUM(IMPRODUCT('Small Signal'!$B$52,IMPOWER(H73,2)),IMSUM(IMPRODUCT(H73,'Small Signal'!$B$51),'Small Signal'!$B$50)))</f>
        <v>41.1040016220767-1.58778691378764i</v>
      </c>
      <c r="Q73" s="85">
        <f t="shared" si="17"/>
        <v>32.28415763212181</v>
      </c>
      <c r="R73" s="85">
        <f t="shared" si="18"/>
        <v>-2.212151535586812</v>
      </c>
      <c r="S73" s="85" t="str">
        <f>IMPRODUCT(IMDIV(IMSUM(IMPRODUCT(H73,'Small Signal'!$B$33*'Small Signal'!$B$6*'Small Signal'!$B$27*'Small Signal'!$B$7*'Small Signal'!$B$8),'Small Signal'!$B$33*'Small Signal'!$B$6*'Small Signal'!$B$27),IMSUM(IMSUM(IMPRODUCT(H73,('Small Signal'!$B$5+'Small Signal'!$B$6)*('Small Signal'!$B$32*'Small Signal'!$B$33)+'Small Signal'!$B$5*'Small Signal'!$B$33*('Small Signal'!$B$8+'Small Signal'!$B$9)+'Small Signal'!$B$6*'Small Signal'!$B$33*('Small Signal'!$B$8+'Small Signal'!$B$9)+'Small Signal'!$B$7*'Small Signal'!$B$8*('Small Signal'!$B$5+'Small Signal'!$B$6)),'Small Signal'!$B$6+'Small Signal'!$B$5),IMPRODUCT(IMPOWER(H73,2),'Small Signal'!$B$32*'Small Signal'!$B$33*'Small Signal'!$B$8*'Small Signal'!$B$7*('Small Signal'!$B$5+'Small Signal'!$B$6)+('Small Signal'!$B$5+'Small Signal'!$B$6)*('Small Signal'!$B$9*'Small Signal'!$B$8*'Small Signal'!$B$33*'Small Signal'!$B$7)))),-1)</f>
        <v>-0.553135653560876+5.35180242052724i</v>
      </c>
      <c r="T73" s="85">
        <f t="shared" si="19"/>
        <v>14.616147862837366</v>
      </c>
      <c r="U73" s="85">
        <f t="shared" si="20"/>
        <v>95.90085454859539</v>
      </c>
      <c r="V73" s="85" t="str">
        <f t="shared" si="21"/>
        <v>-6.59156460644489+121.649012313376i</v>
      </c>
      <c r="W73" s="80">
        <f t="shared" si="22"/>
        <v>41.714904059085065</v>
      </c>
      <c r="X73" s="85">
        <f t="shared" si="23"/>
        <v>93.10154484436447</v>
      </c>
      <c r="Y73" s="85" t="str">
        <f t="shared" si="24"/>
        <v>-14.2385669527045+220.858756926659i</v>
      </c>
      <c r="Z73" s="80">
        <f t="shared" si="25"/>
        <v>46.90030549495917</v>
      </c>
      <c r="AA73" s="85">
        <f t="shared" si="26"/>
        <v>93.68870301300856</v>
      </c>
    </row>
    <row r="74" spans="6:27" ht="12.75">
      <c r="F74" s="84">
        <v>72</v>
      </c>
      <c r="G74" s="85">
        <f>10^('Small Signal'!F74/30)</f>
        <v>251.18864315095806</v>
      </c>
      <c r="H74" s="85" t="str">
        <f t="shared" si="14"/>
        <v>1578.26479197648i</v>
      </c>
      <c r="I74" s="85">
        <f>IF('Small Signal'!$B$37&gt;=1,Q74+0,N74+0)</f>
        <v>27.09716867987275</v>
      </c>
      <c r="J74" s="85">
        <f>IF('Small Signal'!$B$37&gt;=1,R74,O74)</f>
        <v>-3.022272003182454</v>
      </c>
      <c r="K74" s="85">
        <f>IF('Small Signal'!$B$37&gt;=1,Z74+0,W74+0)</f>
        <v>41.05028674068619</v>
      </c>
      <c r="L74" s="85">
        <f>IF('Small Signal'!$B$37&gt;=1,AA74,X74)</f>
        <v>92.90978196891152</v>
      </c>
      <c r="M74" s="85" t="str">
        <f>IMDIV(IMSUM('Small Signal'!$B$2*'Small Signal'!$B$16*'Small Signal'!$B$38,IMPRODUCT(H74,'Small Signal'!$B$2*'Small Signal'!$B$16*'Small Signal'!$B$38*'Small Signal'!$B$13*'Small Signal'!$B$14)),IMSUM(IMPRODUCT('Small Signal'!$B$11*'Small Signal'!$B$13*('Small Signal'!$B$14+'Small Signal'!$B$16),IMPOWER(H74,2)),IMSUM(IMPRODUCT(H74,('Small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22.6075739426037-1.19362507352952i</v>
      </c>
      <c r="N74" s="85">
        <f t="shared" si="15"/>
        <v>27.09716867987275</v>
      </c>
      <c r="O74" s="85">
        <f t="shared" si="16"/>
        <v>-3.022272003182454</v>
      </c>
      <c r="P74" s="85" t="str">
        <f>IMDIV(IMSUM('Small Signal'!$B$48,IMPRODUCT(H74,'Small Signal'!$B$49)),IMSUM(IMPRODUCT('Small Signal'!$B$52,IMPOWER(H74,2)),IMSUM(IMPRODUCT(H74,'Small Signal'!$B$51),'Small Signal'!$B$50)))</f>
        <v>41.0956506855904-1.71418045640762i</v>
      </c>
      <c r="Q74" s="85">
        <f t="shared" si="17"/>
        <v>32.283466897075044</v>
      </c>
      <c r="R74" s="85">
        <f t="shared" si="18"/>
        <v>-2.388535088494918</v>
      </c>
      <c r="S74" s="85" t="str">
        <f>IMPRODUCT(IMDIV(IMSUM(IMPRODUCT(H74,'Small Signal'!$B$33*'Small Signal'!$B$6*'Small Signal'!$B$27*'Small Signal'!$B$7*'Small Signal'!$B$8),'Small Signal'!$B$33*'Small Signal'!$B$6*'Small Signal'!$B$27),IMSUM(IMSUM(IMPRODUCT(H74,('Small Signal'!$B$5+'Small Signal'!$B$6)*('Small Signal'!$B$32*'Small Signal'!$B$33)+'Small Signal'!$B$5*'Small Signal'!$B$33*('Small Signal'!$B$8+'Small Signal'!$B$9)+'Small Signal'!$B$6*'Small Signal'!$B$33*('Small Signal'!$B$8+'Small Signal'!$B$9)+'Small Signal'!$B$7*'Small Signal'!$B$8*('Small Signal'!$B$5+'Small Signal'!$B$6)),'Small Signal'!$B$6+'Small Signal'!$B$5),IMPRODUCT(IMPOWER(H74,2),'Small Signal'!$B$32*'Small Signal'!$B$33*'Small Signal'!$B$8*'Small Signal'!$B$7*('Small Signal'!$B$5+'Small Signal'!$B$6)+('Small Signal'!$B$5+'Small Signal'!$B$6)*('Small Signal'!$B$9*'Small Signal'!$B$8*'Small Signal'!$B$33*'Small Signal'!$B$7)))),-1)</f>
        <v>-0.51518380320705+4.95820037983227i</v>
      </c>
      <c r="T74" s="85">
        <f t="shared" si="19"/>
        <v>13.953118060813443</v>
      </c>
      <c r="U74" s="85">
        <f t="shared" si="20"/>
        <v>95.93205397209397</v>
      </c>
      <c r="V74" s="85" t="str">
        <f t="shared" si="21"/>
        <v>-5.72882363208379+112.707818014288i</v>
      </c>
      <c r="W74" s="80">
        <f t="shared" si="22"/>
        <v>41.05028674068619</v>
      </c>
      <c r="X74" s="85">
        <f t="shared" si="23"/>
        <v>92.90978196891152</v>
      </c>
      <c r="Y74" s="85" t="str">
        <f t="shared" si="24"/>
        <v>-12.6725634254096+204.643588845664i</v>
      </c>
      <c r="Z74" s="80">
        <f t="shared" si="25"/>
        <v>46.23658495788849</v>
      </c>
      <c r="AA74" s="85">
        <f t="shared" si="26"/>
        <v>93.54351888359906</v>
      </c>
    </row>
    <row r="75" spans="6:27" ht="12.75">
      <c r="F75" s="84">
        <v>73</v>
      </c>
      <c r="G75" s="85">
        <f>10^('Small Signal'!F75/30)</f>
        <v>271.22725793320296</v>
      </c>
      <c r="H75" s="85" t="str">
        <f t="shared" si="14"/>
        <v>1704.17112195251i</v>
      </c>
      <c r="I75" s="85">
        <f>IF('Small Signal'!$B$37&gt;=1,Q75+0,N75+0)</f>
        <v>27.0953185012554</v>
      </c>
      <c r="J75" s="85">
        <f>IF('Small Signal'!$B$37&gt;=1,R75,O75)</f>
        <v>-3.2629299431705534</v>
      </c>
      <c r="K75" s="85">
        <f>IF('Small Signal'!$B$37&gt;=1,Z75+0,W75+0)</f>
        <v>40.385535314620206</v>
      </c>
      <c r="L75" s="85">
        <f>IF('Small Signal'!$B$37&gt;=1,AA75,X75)</f>
        <v>92.73501833011584</v>
      </c>
      <c r="M75" s="85" t="str">
        <f>IMDIV(IMSUM('Small Signal'!$B$2*'Small Signal'!$B$16*'Small Signal'!$B$38,IMPRODUCT(H75,'Small Signal'!$B$2*'Small Signal'!$B$16*'Small Signal'!$B$38*'Small Signal'!$B$13*'Small Signal'!$B$14)),IMSUM(IMPRODUCT('Small Signal'!$B$11*'Small Signal'!$B$13*('Small Signal'!$B$14+'Small Signal'!$B$16),IMPOWER(H75,2)),IMSUM(IMPRODUCT(H75,('Small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22.5975469721356-1.28829780805788i</v>
      </c>
      <c r="N75" s="85">
        <f t="shared" si="15"/>
        <v>27.0953185012554</v>
      </c>
      <c r="O75" s="85">
        <f t="shared" si="16"/>
        <v>-3.2629299431705534</v>
      </c>
      <c r="P75" s="85" t="str">
        <f>IMDIV(IMSUM('Small Signal'!$B$48,IMPRODUCT(H75,'Small Signal'!$B$49)),IMSUM(IMPRODUCT('Small Signal'!$B$52,IMPOWER(H75,2)),IMSUM(IMPRODUCT(H75,'Small Signal'!$B$51),'Small Signal'!$B$50)))</f>
        <v>41.0859173526427-1.85058663763398i</v>
      </c>
      <c r="Q75" s="85">
        <f t="shared" si="17"/>
        <v>32.28266167573133</v>
      </c>
      <c r="R75" s="85">
        <f t="shared" si="18"/>
        <v>-2.5789660763750963</v>
      </c>
      <c r="S75" s="85" t="str">
        <f>IMPRODUCT(IMDIV(IMSUM(IMPRODUCT(H75,'Small Signal'!$B$33*'Small Signal'!$B$6*'Small Signal'!$B$27*'Small Signal'!$B$7*'Small Signal'!$B$8),'Small Signal'!$B$33*'Small Signal'!$B$6*'Small Signal'!$B$27),IMSUM(IMSUM(IMPRODUCT(H75,('Small Signal'!$B$5+'Small Signal'!$B$6)*('Small Signal'!$B$32*'Small Signal'!$B$33)+'Small Signal'!$B$5*'Small Signal'!$B$33*('Small Signal'!$B$8+'Small Signal'!$B$9)+'Small Signal'!$B$6*'Small Signal'!$B$33*('Small Signal'!$B$8+'Small Signal'!$B$9)+'Small Signal'!$B$7*'Small Signal'!$B$8*('Small Signal'!$B$5+'Small Signal'!$B$6)),'Small Signal'!$B$6+'Small Signal'!$B$5),IMPRODUCT(IMPOWER(H75,2),'Small Signal'!$B$32*'Small Signal'!$B$33*'Small Signal'!$B$8*'Small Signal'!$B$7*('Small Signal'!$B$5+'Small Signal'!$B$6)+('Small Signal'!$B$5+'Small Signal'!$B$6)*('Small Signal'!$B$9*'Small Signal'!$B$8*'Small Signal'!$B$33*'Small Signal'!$B$7)))),-1)</f>
        <v>-0.482611220822235+4.59332128750011i</v>
      </c>
      <c r="T75" s="85">
        <f t="shared" si="19"/>
        <v>13.290216813364763</v>
      </c>
      <c r="U75" s="85">
        <f t="shared" si="20"/>
        <v>95.99794827328641</v>
      </c>
      <c r="V75" s="85" t="str">
        <f t="shared" si="21"/>
        <v>-4.98826398541817+104.419540530324i</v>
      </c>
      <c r="W75" s="80">
        <f t="shared" si="22"/>
        <v>40.385535314620206</v>
      </c>
      <c r="X75" s="85">
        <f t="shared" si="23"/>
        <v>92.73501833011584</v>
      </c>
      <c r="Y75" s="85" t="str">
        <f t="shared" si="24"/>
        <v>-11.3281857351529+189.61393266879i</v>
      </c>
      <c r="Z75" s="80">
        <f t="shared" si="25"/>
        <v>45.572878489096105</v>
      </c>
      <c r="AA75" s="85">
        <f t="shared" si="26"/>
        <v>93.4189821969113</v>
      </c>
    </row>
    <row r="76" spans="6:27" ht="12.75">
      <c r="F76" s="84">
        <v>74</v>
      </c>
      <c r="G76" s="85">
        <f>10^('Small Signal'!F76/30)</f>
        <v>292.86445646252383</v>
      </c>
      <c r="H76" s="85" t="str">
        <f t="shared" si="14"/>
        <v>1840.12164984047i</v>
      </c>
      <c r="I76" s="85">
        <f>IF('Small Signal'!$B$37&gt;=1,Q76+0,N76+0)</f>
        <v>27.09316234227879</v>
      </c>
      <c r="J76" s="85">
        <f>IF('Small Signal'!$B$37&gt;=1,R76,O76)</f>
        <v>-3.5226716778502536</v>
      </c>
      <c r="K76" s="85">
        <f>IF('Small Signal'!$B$37&gt;=1,Z76+0,W76+0)</f>
        <v>39.72069453828566</v>
      </c>
      <c r="L76" s="85">
        <f>IF('Small Signal'!$B$37&gt;=1,AA76,X76)</f>
        <v>92.5762263661564</v>
      </c>
      <c r="M76" s="85" t="str">
        <f>IMDIV(IMSUM('Small Signal'!$B$2*'Small Signal'!$B$16*'Small Signal'!$B$38,IMPRODUCT(H76,'Small Signal'!$B$2*'Small Signal'!$B$16*'Small Signal'!$B$38*'Small Signal'!$B$13*'Small Signal'!$B$14)),IMSUM(IMPRODUCT('Small Signal'!$B$11*'Small Signal'!$B$13*('Small Signal'!$B$14+'Small Signal'!$B$16),IMPOWER(H76,2)),IMSUM(IMPRODUCT(H76,('Small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22.5858671424302-1.39038158727178i</v>
      </c>
      <c r="N76" s="85">
        <f t="shared" si="15"/>
        <v>27.09316234227879</v>
      </c>
      <c r="O76" s="85">
        <f t="shared" si="16"/>
        <v>-3.5226716778502536</v>
      </c>
      <c r="P76" s="85" t="str">
        <f>IMDIV(IMSUM('Small Signal'!$B$48,IMPRODUCT(H76,'Small Signal'!$B$49)),IMSUM(IMPRODUCT('Small Signal'!$B$52,IMPOWER(H76,2)),IMSUM(IMPRODUCT(H76,'Small Signal'!$B$51),'Small Signal'!$B$50)))</f>
        <v>41.0745733914363-1.9977860328216i</v>
      </c>
      <c r="Q76" s="85">
        <f t="shared" si="17"/>
        <v>32.28172301501068</v>
      </c>
      <c r="R76" s="85">
        <f t="shared" si="18"/>
        <v>-2.7845590370258146</v>
      </c>
      <c r="S76" s="85" t="str">
        <f>IMPRODUCT(IMDIV(IMSUM(IMPRODUCT(H76,'Small Signal'!$B$33*'Small Signal'!$B$6*'Small Signal'!$B$27*'Small Signal'!$B$7*'Small Signal'!$B$8),'Small Signal'!$B$33*'Small Signal'!$B$6*'Small Signal'!$B$27),IMSUM(IMSUM(IMPRODUCT(H76,('Small Signal'!$B$5+'Small Signal'!$B$6)*('Small Signal'!$B$32*'Small Signal'!$B$33)+'Small Signal'!$B$5*'Small Signal'!$B$33*('Small Signal'!$B$8+'Small Signal'!$B$9)+'Small Signal'!$B$6*'Small Signal'!$B$33*('Small Signal'!$B$8+'Small Signal'!$B$9)+'Small Signal'!$B$7*'Small Signal'!$B$8*('Small Signal'!$B$5+'Small Signal'!$B$6)),'Small Signal'!$B$6+'Small Signal'!$B$5),IMPRODUCT(IMPOWER(H76,2),'Small Signal'!$B$32*'Small Signal'!$B$33*'Small Signal'!$B$8*'Small Signal'!$B$7*('Small Signal'!$B$5+'Small Signal'!$B$6)+('Small Signal'!$B$5+'Small Signal'!$B$6)*('Small Signal'!$B$9*'Small Signal'!$B$8*'Small Signal'!$B$33*'Small Signal'!$B$7)))),-1)</f>
        <v>-0.454658061430655+4.25511708601412i</v>
      </c>
      <c r="T76" s="85">
        <f t="shared" si="19"/>
        <v>12.627532196006877</v>
      </c>
      <c r="U76" s="85">
        <f t="shared" si="20"/>
        <v>96.09889804400665</v>
      </c>
      <c r="V76" s="85" t="str">
        <f t="shared" si="21"/>
        <v>-4.35261012262806+96.7376573773175i</v>
      </c>
      <c r="W76" s="80">
        <f t="shared" si="22"/>
        <v>39.72069453828566</v>
      </c>
      <c r="X76" s="85">
        <f t="shared" si="23"/>
        <v>92.5762263661564</v>
      </c>
      <c r="Y76" s="85" t="str">
        <f t="shared" si="24"/>
        <v>-10.174072429782+175.685428563477i</v>
      </c>
      <c r="Z76" s="80">
        <f t="shared" si="25"/>
        <v>44.90925521101752</v>
      </c>
      <c r="AA76" s="85">
        <f t="shared" si="26"/>
        <v>93.31433900698083</v>
      </c>
    </row>
    <row r="77" spans="6:27" ht="12.75">
      <c r="F77" s="84">
        <v>75</v>
      </c>
      <c r="G77" s="85">
        <f>10^('Small Signal'!F77/30)</f>
        <v>316.22776601683825</v>
      </c>
      <c r="H77" s="85" t="str">
        <f t="shared" si="14"/>
        <v>1986.91765315922i</v>
      </c>
      <c r="I77" s="85">
        <f>IF('Small Signal'!$B$37&gt;=1,Q77+0,N77+0)</f>
        <v>27.090649791143115</v>
      </c>
      <c r="J77" s="85">
        <f>IF('Small Signal'!$B$37&gt;=1,R77,O77)</f>
        <v>-3.8029900571662174</v>
      </c>
      <c r="K77" s="85">
        <f>IF('Small Signal'!$B$37&gt;=1,Z77+0,W77+0)</f>
        <v>39.05580701052901</v>
      </c>
      <c r="L77" s="85">
        <f>IF('Small Signal'!$B$37&gt;=1,AA77,X77)</f>
        <v>92.43246485741506</v>
      </c>
      <c r="M77" s="85" t="str">
        <f>IMDIV(IMSUM('Small Signal'!$B$2*'Small Signal'!$B$16*'Small Signal'!$B$38,IMPRODUCT(H77,'Small Signal'!$B$2*'Small Signal'!$B$16*'Small Signal'!$B$38*'Small Signal'!$B$13*'Small Signal'!$B$14)),IMSUM(IMPRODUCT('Small Signal'!$B$11*'Small Signal'!$B$13*('Small Signal'!$B$14+'Small Signal'!$B$16),IMPOWER(H77,2)),IMSUM(IMPRODUCT(H77,('Small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22.57226406496-1.50043128970073i</v>
      </c>
      <c r="N77" s="85">
        <f t="shared" si="15"/>
        <v>27.090649791143115</v>
      </c>
      <c r="O77" s="85">
        <f t="shared" si="16"/>
        <v>-3.8029900571662174</v>
      </c>
      <c r="P77" s="85" t="str">
        <f>IMDIV(IMSUM('Small Signal'!$B$48,IMPRODUCT(H77,'Small Signal'!$B$49)),IMSUM(IMPRODUCT('Small Signal'!$B$52,IMPOWER(H77,2)),IMSUM(IMPRODUCT(H77,'Small Signal'!$B$51),'Small Signal'!$B$50)))</f>
        <v>41.0613531071933-2.15661680310821i</v>
      </c>
      <c r="Q77" s="85">
        <f t="shared" si="17"/>
        <v>32.280628832250365</v>
      </c>
      <c r="R77" s="85">
        <f t="shared" si="18"/>
        <v>-3.0065158461977783</v>
      </c>
      <c r="S77" s="85" t="str">
        <f>IMPRODUCT(IMDIV(IMSUM(IMPRODUCT(H77,'Small Signal'!$B$33*'Small Signal'!$B$6*'Small Signal'!$B$27*'Small Signal'!$B$7*'Small Signal'!$B$8),'Small Signal'!$B$33*'Small Signal'!$B$6*'Small Signal'!$B$27),IMSUM(IMSUM(IMPRODUCT(H77,('Small Signal'!$B$5+'Small Signal'!$B$6)*('Small Signal'!$B$32*'Small Signal'!$B$33)+'Small Signal'!$B$5*'Small Signal'!$B$33*('Small Signal'!$B$8+'Small Signal'!$B$9)+'Small Signal'!$B$6*'Small Signal'!$B$33*('Small Signal'!$B$8+'Small Signal'!$B$9)+'Small Signal'!$B$7*'Small Signal'!$B$8*('Small Signal'!$B$5+'Small Signal'!$B$6)),'Small Signal'!$B$6+'Small Signal'!$B$5),IMPRODUCT(IMPOWER(H77,2),'Small Signal'!$B$32*'Small Signal'!$B$33*'Small Signal'!$B$8*'Small Signal'!$B$7*('Small Signal'!$B$5+'Small Signal'!$B$6)+('Small Signal'!$B$5+'Small Signal'!$B$6)*('Small Signal'!$B$9*'Small Signal'!$B$8*'Small Signal'!$B$33*'Small Signal'!$B$7)))),-1)</f>
        <v>-0.430671120750329+3.94167597148576i</v>
      </c>
      <c r="T77" s="85">
        <f t="shared" si="19"/>
        <v>11.965157219385896</v>
      </c>
      <c r="U77" s="85">
        <f t="shared" si="20"/>
        <v>96.23545491458128</v>
      </c>
      <c r="V77" s="85" t="str">
        <f t="shared" si="21"/>
        <v>-3.80700830124994+89.6187433120286i</v>
      </c>
      <c r="W77" s="80">
        <f t="shared" si="22"/>
        <v>39.05580701052901</v>
      </c>
      <c r="X77" s="85">
        <f t="shared" si="23"/>
        <v>92.43246485741506</v>
      </c>
      <c r="Y77" s="85" t="str">
        <f t="shared" si="24"/>
        <v>-9.18325432968587+162.77934147494i</v>
      </c>
      <c r="Z77" s="80">
        <f t="shared" si="25"/>
        <v>44.24578605163628</v>
      </c>
      <c r="AA77" s="85">
        <f t="shared" si="26"/>
        <v>93.22893906838348</v>
      </c>
    </row>
    <row r="78" spans="6:27" ht="12.75">
      <c r="F78" s="84">
        <v>76</v>
      </c>
      <c r="G78" s="85">
        <f>10^('Small Signal'!F78/30)</f>
        <v>341.4548873833603</v>
      </c>
      <c r="H78" s="85" t="str">
        <f t="shared" si="14"/>
        <v>2145.42433147179i</v>
      </c>
      <c r="I78" s="85">
        <f>IF('Small Signal'!$B$37&gt;=1,Q78+0,N78+0)</f>
        <v>27.087722198702696</v>
      </c>
      <c r="J78" s="85">
        <f>IF('Small Signal'!$B$37&gt;=1,R78,O78)</f>
        <v>-4.105489435866321</v>
      </c>
      <c r="K78" s="85">
        <f>IF('Small Signal'!$B$37&gt;=1,Z78+0,W78+0)</f>
        <v>38.39091412963759</v>
      </c>
      <c r="L78" s="85">
        <f>IF('Small Signal'!$B$37&gt;=1,AA78,X78)</f>
        <v>92.30287312477324</v>
      </c>
      <c r="M78" s="85" t="str">
        <f>IMDIV(IMSUM('Small Signal'!$B$2*'Small Signal'!$B$16*'Small Signal'!$B$38,IMPRODUCT(H78,'Small Signal'!$B$2*'Small Signal'!$B$16*'Small Signal'!$B$38*'Small Signal'!$B$13*'Small Signal'!$B$14)),IMSUM(IMPRODUCT('Small Signal'!$B$11*'Small Signal'!$B$13*('Small Signal'!$B$14+'Small Signal'!$B$16),IMPOWER(H78,2)),IMSUM(IMPRODUCT(H78,('Small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22.5564238587047-1.61903678789433i</v>
      </c>
      <c r="N78" s="85">
        <f t="shared" si="15"/>
        <v>27.087722198702696</v>
      </c>
      <c r="O78" s="85">
        <f t="shared" si="16"/>
        <v>-4.105489435866321</v>
      </c>
      <c r="P78" s="85" t="str">
        <f>IMDIV(IMSUM('Small Signal'!$B$48,IMPRODUCT(H78,'Small Signal'!$B$49)),IMSUM(IMPRODUCT('Small Signal'!$B$52,IMPOWER(H78,2)),IMSUM(IMPRODUCT(H78,'Small Signal'!$B$51),'Small Signal'!$B$50)))</f>
        <v>41.0459472709263-2.32797808737176i</v>
      </c>
      <c r="Q78" s="85">
        <f t="shared" si="17"/>
        <v>32.27935340133622</v>
      </c>
      <c r="R78" s="85">
        <f t="shared" si="18"/>
        <v>-3.2461322794674663</v>
      </c>
      <c r="S78" s="85" t="str">
        <f>IMPRODUCT(IMDIV(IMSUM(IMPRODUCT(H78,'Small Signal'!$B$33*'Small Signal'!$B$6*'Small Signal'!$B$27*'Small Signal'!$B$7*'Small Signal'!$B$8),'Small Signal'!$B$33*'Small Signal'!$B$6*'Small Signal'!$B$27),IMSUM(IMSUM(IMPRODUCT(H78,('Small Signal'!$B$5+'Small Signal'!$B$6)*('Small Signal'!$B$32*'Small Signal'!$B$33)+'Small Signal'!$B$5*'Small Signal'!$B$33*('Small Signal'!$B$8+'Small Signal'!$B$9)+'Small Signal'!$B$6*'Small Signal'!$B$33*('Small Signal'!$B$8+'Small Signal'!$B$9)+'Small Signal'!$B$7*'Small Signal'!$B$8*('Small Signal'!$B$5+'Small Signal'!$B$6)),'Small Signal'!$B$6+'Small Signal'!$B$5),IMPRODUCT(IMPOWER(H78,2),'Small Signal'!$B$32*'Small Signal'!$B$33*'Small Signal'!$B$8*'Small Signal'!$B$7*('Small Signal'!$B$5+'Small Signal'!$B$6)+('Small Signal'!$B$5+'Small Signal'!$B$6)*('Small Signal'!$B$9*'Small Signal'!$B$8*'Small Signal'!$B$33*'Small Signal'!$B$7)))),-1)</f>
        <v>-0.410089051133457+3.65121540077585i</v>
      </c>
      <c r="T78" s="85">
        <f t="shared" si="19"/>
        <v>11.303191930934894</v>
      </c>
      <c r="U78" s="85">
        <f t="shared" si="20"/>
        <v>96.40836256063956</v>
      </c>
      <c r="V78" s="85" t="str">
        <f t="shared" si="21"/>
        <v>-3.33869040279784+83.0223114394282i</v>
      </c>
      <c r="W78" s="80">
        <f t="shared" si="22"/>
        <v>38.39091412963759</v>
      </c>
      <c r="X78" s="85">
        <f t="shared" si="23"/>
        <v>92.30287312477324</v>
      </c>
      <c r="Y78" s="85" t="str">
        <f t="shared" si="24"/>
        <v>-8.3325441239276+150.822273139949i</v>
      </c>
      <c r="Z78" s="80">
        <f t="shared" si="25"/>
        <v>43.5825453322711</v>
      </c>
      <c r="AA78" s="85">
        <f t="shared" si="26"/>
        <v>93.16223028117211</v>
      </c>
    </row>
    <row r="79" spans="6:27" ht="12.75">
      <c r="F79" s="84">
        <v>77</v>
      </c>
      <c r="G79" s="85">
        <f>10^('Small Signal'!F79/30)</f>
        <v>368.6945064519578</v>
      </c>
      <c r="H79" s="85" t="str">
        <f t="shared" si="14"/>
        <v>2316.57590577677i</v>
      </c>
      <c r="I79" s="85">
        <f>IF('Small Signal'!$B$37&gt;=1,Q79+0,N79+0)</f>
        <v>27.084311356846747</v>
      </c>
      <c r="J79" s="85">
        <f>IF('Small Signal'!$B$37&gt;=1,R79,O79)</f>
        <v>-4.431892635324034</v>
      </c>
      <c r="K79" s="85">
        <f>IF('Small Signal'!$B$37&gt;=1,Z79+0,W79+0)</f>
        <v>37.72605701416953</v>
      </c>
      <c r="L79" s="85">
        <f>IF('Small Signal'!$B$37&gt;=1,AA79,X79)</f>
        <v>92.18666529296328</v>
      </c>
      <c r="M79" s="85" t="str">
        <f>IMDIV(IMSUM('Small Signal'!$B$2*'Small Signal'!$B$16*'Small Signal'!$B$38,IMPRODUCT(H79,'Small Signal'!$B$2*'Small Signal'!$B$16*'Small Signal'!$B$38*'Small Signal'!$B$13*'Small Signal'!$B$14)),IMSUM(IMPRODUCT('Small Signal'!$B$11*'Small Signal'!$B$13*('Small Signal'!$B$14+'Small Signal'!$B$16),IMPOWER(H79,2)),IMSUM(IMPRODUCT(H79,('Small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22.5379824186464-1.74682340308351i</v>
      </c>
      <c r="N79" s="85">
        <f t="shared" si="15"/>
        <v>27.084311356846747</v>
      </c>
      <c r="O79" s="85">
        <f t="shared" si="16"/>
        <v>-4.431892635324034</v>
      </c>
      <c r="P79" s="85" t="str">
        <f>IMDIV(IMSUM('Small Signal'!$B$48,IMPRODUCT(H79,'Small Signal'!$B$49)),IMSUM(IMPRODUCT('Small Signal'!$B$52,IMPOWER(H79,2)),IMSUM(IMPRODUCT(H79,'Small Signal'!$B$51),'Small Signal'!$B$50)))</f>
        <v>41.02799609237-2.51283335870017i</v>
      </c>
      <c r="Q79" s="85">
        <f t="shared" si="17"/>
        <v>32.27786675549658</v>
      </c>
      <c r="R79" s="85">
        <f t="shared" si="18"/>
        <v>-3.504804993584684</v>
      </c>
      <c r="S79" s="85" t="str">
        <f>IMPRODUCT(IMDIV(IMSUM(IMPRODUCT(H79,'Small Signal'!$B$33*'Small Signal'!$B$6*'Small Signal'!$B$27*'Small Signal'!$B$7*'Small Signal'!$B$8),'Small Signal'!$B$33*'Small Signal'!$B$6*'Small Signal'!$B$27),IMSUM(IMSUM(IMPRODUCT(H79,('Small Signal'!$B$5+'Small Signal'!$B$6)*('Small Signal'!$B$32*'Small Signal'!$B$33)+'Small Signal'!$B$5*'Small Signal'!$B$33*('Small Signal'!$B$8+'Small Signal'!$B$9)+'Small Signal'!$B$6*'Small Signal'!$B$33*('Small Signal'!$B$8+'Small Signal'!$B$9)+'Small Signal'!$B$7*'Small Signal'!$B$8*('Small Signal'!$B$5+'Small Signal'!$B$6)),'Small Signal'!$B$6+'Small Signal'!$B$5),IMPRODUCT(IMPOWER(H79,2),'Small Signal'!$B$32*'Small Signal'!$B$33*'Small Signal'!$B$8*'Small Signal'!$B$7*('Small Signal'!$B$5+'Small Signal'!$B$6)+('Small Signal'!$B$5+'Small Signal'!$B$6)*('Small Signal'!$B$9*'Small Signal'!$B$8*'Small Signal'!$B$33*'Small Signal'!$B$7)))),-1)</f>
        <v>-0.392429578581214+3.38207499290475i</v>
      </c>
      <c r="T79" s="85">
        <f t="shared" si="19"/>
        <v>10.641745657322774</v>
      </c>
      <c r="U79" s="85">
        <f t="shared" si="20"/>
        <v>96.61855792828733</v>
      </c>
      <c r="V79" s="85" t="str">
        <f t="shared" si="21"/>
        <v>-2.9366831940307+76.9106519005588i</v>
      </c>
      <c r="W79" s="80">
        <f t="shared" si="22"/>
        <v>37.72605701416953</v>
      </c>
      <c r="X79" s="85">
        <f t="shared" si="23"/>
        <v>92.18666529296328</v>
      </c>
      <c r="Y79" s="85" t="str">
        <f t="shared" si="24"/>
        <v>-7.60200835276376+139.745869728998i</v>
      </c>
      <c r="Z79" s="80">
        <f t="shared" si="25"/>
        <v>42.91961241281936</v>
      </c>
      <c r="AA79" s="85">
        <f t="shared" si="26"/>
        <v>93.11375293470265</v>
      </c>
    </row>
    <row r="80" spans="6:27" ht="12.75">
      <c r="F80" s="84">
        <v>78</v>
      </c>
      <c r="G80" s="85">
        <f>10^('Small Signal'!F80/30)</f>
        <v>398.1071705534976</v>
      </c>
      <c r="H80" s="85" t="str">
        <f t="shared" si="14"/>
        <v>2501.38112470457i</v>
      </c>
      <c r="I80" s="85">
        <f>IF('Small Signal'!$B$37&gt;=1,Q80+0,N80+0)</f>
        <v>27.080337973538118</v>
      </c>
      <c r="J80" s="85">
        <f>IF('Small Signal'!$B$37&gt;=1,R80,O80)</f>
        <v>-4.784047974495982</v>
      </c>
      <c r="K80" s="85">
        <f>IF('Small Signal'!$B$37&gt;=1,Z80+0,W80+0)</f>
        <v>37.06127740322083</v>
      </c>
      <c r="L80" s="85">
        <f>IF('Small Signal'!$B$37&gt;=1,AA80,X80)</f>
        <v>92.08312455669834</v>
      </c>
      <c r="M80" s="85" t="str">
        <f>IMDIV(IMSUM('Small Signal'!$B$2*'Small Signal'!$B$16*'Small Signal'!$B$38,IMPRODUCT(H80,'Small Signal'!$B$2*'Small Signal'!$B$16*'Small Signal'!$B$38*'Small Signal'!$B$13*'Small Signal'!$B$14)),IMSUM(IMPRODUCT('Small Signal'!$B$11*'Small Signal'!$B$13*('Small Signal'!$B$14+'Small Signal'!$B$16),IMPOWER(H80,2)),IMSUM(IMPRODUCT(H80,('Small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22.5165177372621-1.88445182028278i</v>
      </c>
      <c r="N80" s="85">
        <f t="shared" si="15"/>
        <v>27.080337973538118</v>
      </c>
      <c r="O80" s="85">
        <f t="shared" si="16"/>
        <v>-4.784047974495982</v>
      </c>
      <c r="P80" s="85" t="str">
        <f>IMDIV(IMSUM('Small Signal'!$B$48,IMPRODUCT(H80,'Small Signal'!$B$49)),IMSUM(IMPRODUCT('Small Signal'!$B$52,IMPOWER(H80,2)),IMSUM(IMPRODUCT(H80,'Small Signal'!$B$51),'Small Signal'!$B$50)))</f>
        <v>41.0070810967254-2.71221366567217i</v>
      </c>
      <c r="Q80" s="85">
        <f t="shared" si="17"/>
        <v>32.276133993615595</v>
      </c>
      <c r="R80" s="85">
        <f t="shared" si="18"/>
        <v>-3.7840389342948333</v>
      </c>
      <c r="S80" s="85" t="str">
        <f>IMPRODUCT(IMDIV(IMSUM(IMPRODUCT(H80,'Small Signal'!$B$33*'Small Signal'!$B$6*'Small Signal'!$B$27*'Small Signal'!$B$7*'Small Signal'!$B$8),'Small Signal'!$B$33*'Small Signal'!$B$6*'Small Signal'!$B$27),IMSUM(IMSUM(IMPRODUCT(H80,('Small Signal'!$B$5+'Small Signal'!$B$6)*('Small Signal'!$B$32*'Small Signal'!$B$33)+'Small Signal'!$B$5*'Small Signal'!$B$33*('Small Signal'!$B$8+'Small Signal'!$B$9)+'Small Signal'!$B$6*'Small Signal'!$B$33*('Small Signal'!$B$8+'Small Signal'!$B$9)+'Small Signal'!$B$7*'Small Signal'!$B$8*('Small Signal'!$B$5+'Small Signal'!$B$6)),'Small Signal'!$B$6+'Small Signal'!$B$5),IMPRODUCT(IMPOWER(H80,2),'Small Signal'!$B$32*'Small Signal'!$B$33*'Small Signal'!$B$8*'Small Signal'!$B$7*('Small Signal'!$B$5+'Small Signal'!$B$6)+('Small Signal'!$B$5+'Small Signal'!$B$6)*('Small Signal'!$B$9*'Small Signal'!$B$8*'Small Signal'!$B$33*'Small Signal'!$B$7)))),-1)</f>
        <v>-0.377278462966929+3.13270945763514i</v>
      </c>
      <c r="T80" s="85">
        <f t="shared" si="19"/>
        <v>9.980939429682712</v>
      </c>
      <c r="U80" s="85">
        <f t="shared" si="20"/>
        <v>96.86717253119431</v>
      </c>
      <c r="V80" s="85" t="str">
        <f t="shared" si="21"/>
        <v>-2.59155716342422+71.2486711548219i</v>
      </c>
      <c r="W80" s="80">
        <f t="shared" si="22"/>
        <v>37.06127740322083</v>
      </c>
      <c r="X80" s="85">
        <f t="shared" si="23"/>
        <v>92.08312455669834</v>
      </c>
      <c r="Y80" s="85" t="str">
        <f t="shared" si="24"/>
        <v>-6.97451112535429+129.486530584746i</v>
      </c>
      <c r="Z80" s="80">
        <f t="shared" si="25"/>
        <v>42.25707342329834</v>
      </c>
      <c r="AA80" s="85">
        <f t="shared" si="26"/>
        <v>93.08313359689946</v>
      </c>
    </row>
    <row r="81" spans="6:27" ht="12.75">
      <c r="F81" s="84">
        <v>79</v>
      </c>
      <c r="G81" s="85">
        <f>10^('Small Signal'!F81/30)</f>
        <v>429.8662347082278</v>
      </c>
      <c r="H81" s="85" t="str">
        <f t="shared" si="14"/>
        <v>2700.92920997135i</v>
      </c>
      <c r="I81" s="85">
        <f>IF('Small Signal'!$B$37&gt;=1,Q81+0,N81+0)</f>
        <v>27.075709916347233</v>
      </c>
      <c r="J81" s="85">
        <f>IF('Small Signal'!$B$37&gt;=1,R81,O81)</f>
        <v>-5.163936256237387</v>
      </c>
      <c r="K81" s="85">
        <f>IF('Small Signal'!$B$37&gt;=1,Z81+0,W81+0)</f>
        <v>36.39661855105173</v>
      </c>
      <c r="L81" s="85">
        <f>IF('Small Signal'!$B$37&gt;=1,AA81,X81)</f>
        <v>91.99159736766272</v>
      </c>
      <c r="M81" s="85" t="str">
        <f>IMDIV(IMSUM('Small Signal'!$B$2*'Small Signal'!$B$16*'Small Signal'!$B$38,IMPRODUCT(H81,'Small Signal'!$B$2*'Small Signal'!$B$16*'Small Signal'!$B$38*'Small Signal'!$B$13*'Small Signal'!$B$14)),IMSUM(IMPRODUCT('Small Signal'!$B$11*'Small Signal'!$B$13*('Small Signal'!$B$14+'Small Signal'!$B$16),IMPOWER(H81,2)),IMSUM(IMPRODUCT(H81,('Small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22.4915411804814-2.03261728504445i</v>
      </c>
      <c r="N81" s="85">
        <f t="shared" si="15"/>
        <v>27.075709916347233</v>
      </c>
      <c r="O81" s="85">
        <f t="shared" si="16"/>
        <v>-5.163936256237387</v>
      </c>
      <c r="P81" s="85" t="str">
        <f>IMDIV(IMSUM('Small Signal'!$B$48,IMPRODUCT(H81,'Small Signal'!$B$49)),IMSUM(IMPRODUCT('Small Signal'!$B$52,IMPOWER(H81,2)),IMSUM(IMPRODUCT(H81,'Small Signal'!$B$51),'Small Signal'!$B$50)))</f>
        <v>40.9827157479927-2.92722065358544i</v>
      </c>
      <c r="Q81" s="85">
        <f t="shared" si="17"/>
        <v>32.27411447498471</v>
      </c>
      <c r="R81" s="85">
        <f t="shared" si="18"/>
        <v>-4.085455171558256</v>
      </c>
      <c r="S81" s="85" t="str">
        <f>IMPRODUCT(IMDIV(IMSUM(IMPRODUCT(H81,'Small Signal'!$B$33*'Small Signal'!$B$6*'Small Signal'!$B$27*'Small Signal'!$B$7*'Small Signal'!$B$8),'Small Signal'!$B$33*'Small Signal'!$B$6*'Small Signal'!$B$27),IMSUM(IMSUM(IMPRODUCT(H81,('Small Signal'!$B$5+'Small Signal'!$B$6)*('Small Signal'!$B$32*'Small Signal'!$B$33)+'Small Signal'!$B$5*'Small Signal'!$B$33*('Small Signal'!$B$8+'Small Signal'!$B$9)+'Small Signal'!$B$6*'Small Signal'!$B$33*('Small Signal'!$B$8+'Small Signal'!$B$9)+'Small Signal'!$B$7*'Small Signal'!$B$8*('Small Signal'!$B$5+'Small Signal'!$B$6)),'Small Signal'!$B$6+'Small Signal'!$B$5),IMPRODUCT(IMPOWER(H81,2),'Small Signal'!$B$32*'Small Signal'!$B$33*'Small Signal'!$B$8*'Small Signal'!$B$7*('Small Signal'!$B$5+'Small Signal'!$B$6)+('Small Signal'!$B$5+'Small Signal'!$B$6)*('Small Signal'!$B$9*'Small Signal'!$B$8*'Small Signal'!$B$33*'Small Signal'!$B$7)))),-1)</f>
        <v>-0.364279973284087+2.90168164951075i</v>
      </c>
      <c r="T81" s="85">
        <f t="shared" si="19"/>
        <v>9.320908634704496</v>
      </c>
      <c r="U81" s="85">
        <f t="shared" si="20"/>
        <v>97.15553362390011</v>
      </c>
      <c r="V81" s="85" t="str">
        <f t="shared" si="21"/>
        <v>-2.29520974385186+66.003734082911i</v>
      </c>
      <c r="W81" s="80">
        <f t="shared" si="22"/>
        <v>36.39661855105173</v>
      </c>
      <c r="X81" s="85">
        <f t="shared" si="23"/>
        <v>91.99159736766272</v>
      </c>
      <c r="Y81" s="85" t="str">
        <f t="shared" si="24"/>
        <v>-6.43532014321038+119.98512209455i</v>
      </c>
      <c r="Z81" s="80">
        <f t="shared" si="25"/>
        <v>41.59502310968917</v>
      </c>
      <c r="AA81" s="85">
        <f t="shared" si="26"/>
        <v>93.07007845234186</v>
      </c>
    </row>
    <row r="82" spans="6:27" ht="12.75">
      <c r="F82" s="84">
        <v>80</v>
      </c>
      <c r="G82" s="85">
        <f>10^('Small Signal'!F82/30)</f>
        <v>464.1588833612782</v>
      </c>
      <c r="H82" s="85" t="str">
        <f t="shared" si="14"/>
        <v>2916.39627613247i</v>
      </c>
      <c r="I82" s="85">
        <f>IF('Small Signal'!$B$37&gt;=1,Q82+0,N82+0)</f>
        <v>27.070320193560296</v>
      </c>
      <c r="J82" s="85">
        <f>IF('Small Signal'!$B$37&gt;=1,R82,O82)</f>
        <v>-5.573677558239472</v>
      </c>
      <c r="K82" s="85">
        <f>IF('Small Signal'!$B$37&gt;=1,Z82+0,W82+0)</f>
        <v>35.73212612913413</v>
      </c>
      <c r="L82" s="85">
        <f>IF('Small Signal'!$B$37&gt;=1,AA82,X82)</f>
        <v>91.911487439216</v>
      </c>
      <c r="M82" s="85" t="str">
        <f>IMDIV(IMSUM('Small Signal'!$B$2*'Small Signal'!$B$16*'Small Signal'!$B$38,IMPRODUCT(H82,'Small Signal'!$B$2*'Small Signal'!$B$16*'Small Signal'!$B$38*'Small Signal'!$B$13*'Small Signal'!$B$14)),IMSUM(IMPRODUCT('Small Signal'!$B$11*'Small Signal'!$B$13*('Small Signal'!$B$14+'Small Signal'!$B$16),IMPOWER(H82,2)),IMSUM(IMPRODUCT(H82,('Small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22.4624876228843-2.19204785966954i</v>
      </c>
      <c r="N82" s="85">
        <f t="shared" si="15"/>
        <v>27.070320193560296</v>
      </c>
      <c r="O82" s="85">
        <f t="shared" si="16"/>
        <v>-5.573677558239472</v>
      </c>
      <c r="P82" s="85" t="str">
        <f>IMDIV(IMSUM('Small Signal'!$B$48,IMPRODUCT(H82,'Small Signal'!$B$49)),IMSUM(IMPRODUCT('Small Signal'!$B$52,IMPOWER(H82,2)),IMSUM(IMPRODUCT(H82,'Small Signal'!$B$51),'Small Signal'!$B$50)))</f>
        <v>40.9543346442129-3.15902922923429i</v>
      </c>
      <c r="Q82" s="85">
        <f t="shared" si="17"/>
        <v>32.271760885236105</v>
      </c>
      <c r="R82" s="85">
        <f t="shared" si="18"/>
        <v>-4.410799154907433</v>
      </c>
      <c r="S82" s="85" t="str">
        <f>IMPRODUCT(IMDIV(IMSUM(IMPRODUCT(H82,'Small Signal'!$B$33*'Small Signal'!$B$6*'Small Signal'!$B$27*'Small Signal'!$B$7*'Small Signal'!$B$8),'Small Signal'!$B$33*'Small Signal'!$B$6*'Small Signal'!$B$27),IMSUM(IMSUM(IMPRODUCT(H82,('Small Signal'!$B$5+'Small Signal'!$B$6)*('Small Signal'!$B$32*'Small Signal'!$B$33)+'Small Signal'!$B$5*'Small Signal'!$B$33*('Small Signal'!$B$8+'Small Signal'!$B$9)+'Small Signal'!$B$6*'Small Signal'!$B$33*('Small Signal'!$B$8+'Small Signal'!$B$9)+'Small Signal'!$B$7*'Small Signal'!$B$8*('Small Signal'!$B$5+'Small Signal'!$B$6)),'Small Signal'!$B$6+'Small Signal'!$B$5),IMPRODUCT(IMPOWER(H82,2),'Small Signal'!$B$32*'Small Signal'!$B$33*'Small Signal'!$B$8*'Small Signal'!$B$7*('Small Signal'!$B$5+'Small Signal'!$B$6)+('Small Signal'!$B$5+'Small Signal'!$B$6)*('Small Signal'!$B$9*'Small Signal'!$B$8*'Small Signal'!$B$33*'Small Signal'!$B$7)))),-1)</f>
        <v>-0.353128677011994+2.68765581839072i</v>
      </c>
      <c r="T82" s="85">
        <f t="shared" si="19"/>
        <v>8.661805935573835</v>
      </c>
      <c r="U82" s="85">
        <f t="shared" si="20"/>
        <v>97.48516499745546</v>
      </c>
      <c r="V82" s="85" t="str">
        <f t="shared" si="21"/>
        <v>-2.04067835243566+61.1455105158066i</v>
      </c>
      <c r="W82" s="80">
        <f t="shared" si="22"/>
        <v>35.73212612913413</v>
      </c>
      <c r="X82" s="85">
        <f t="shared" si="23"/>
        <v>91.911487439216</v>
      </c>
      <c r="Y82" s="85" t="str">
        <f t="shared" si="24"/>
        <v>-5.97176672239948+111.186699607201i</v>
      </c>
      <c r="Z82" s="80">
        <f t="shared" si="25"/>
        <v>40.93356682080993</v>
      </c>
      <c r="AA82" s="85">
        <f t="shared" si="26"/>
        <v>93.07436584254803</v>
      </c>
    </row>
    <row r="83" spans="6:27" ht="12.75">
      <c r="F83" s="84">
        <v>81</v>
      </c>
      <c r="G83" s="85">
        <f>10^('Small Signal'!F83/30)</f>
        <v>501.1872336272727</v>
      </c>
      <c r="H83" s="85" t="str">
        <f t="shared" si="14"/>
        <v>3149.05226247286i</v>
      </c>
      <c r="I83" s="85">
        <f>IF('Small Signal'!$B$37&gt;=1,Q83+0,N83+0)</f>
        <v>27.064044639367246</v>
      </c>
      <c r="J83" s="85">
        <f>IF('Small Signal'!$B$37&gt;=1,R83,O83)</f>
        <v>-6.015537632078314</v>
      </c>
      <c r="K83" s="85">
        <f>IF('Small Signal'!$B$37&gt;=1,Z83+0,W83+0)</f>
        <v>35.06784914648549</v>
      </c>
      <c r="L83" s="85">
        <f>IF('Small Signal'!$B$37&gt;=1,AA83,X83)</f>
        <v>91.84224944229628</v>
      </c>
      <c r="M83" s="85" t="str">
        <f>IMDIV(IMSUM('Small Signal'!$B$2*'Small Signal'!$B$16*'Small Signal'!$B$38,IMPRODUCT(H83,'Small Signal'!$B$2*'Small Signal'!$B$16*'Small Signal'!$B$38*'Small Signal'!$B$13*'Small Signal'!$B$14)),IMSUM(IMPRODUCT('Small Signal'!$B$11*'Small Signal'!$B$13*('Small Signal'!$B$14+'Small Signal'!$B$16),IMPOWER(H83,2)),IMSUM(IMPRODUCT(H83,('Small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22.4287043570572-2.3635014649106i</v>
      </c>
      <c r="N83" s="85">
        <f t="shared" si="15"/>
        <v>27.064044639367246</v>
      </c>
      <c r="O83" s="85">
        <f t="shared" si="16"/>
        <v>-6.015537632078314</v>
      </c>
      <c r="P83" s="85" t="str">
        <f>IMDIV(IMSUM('Small Signal'!$B$48,IMPRODUCT(H83,'Small Signal'!$B$49)),IMSUM(IMPRODUCT('Small Signal'!$B$52,IMPOWER(H83,2)),IMSUM(IMPRODUCT(H83,'Small Signal'!$B$51),'Small Signal'!$B$50)))</f>
        <v>40.9212810925453-3.408889693523i</v>
      </c>
      <c r="Q83" s="85">
        <f t="shared" si="17"/>
        <v>32.26901815377961</v>
      </c>
      <c r="R83" s="85">
        <f t="shared" si="18"/>
        <v>-4.761949370856183</v>
      </c>
      <c r="S83" s="85" t="str">
        <f>IMPRODUCT(IMDIV(IMSUM(IMPRODUCT(H83,'Small Signal'!$B$33*'Small Signal'!$B$6*'Small Signal'!$B$27*'Small Signal'!$B$7*'Small Signal'!$B$8),'Small Signal'!$B$33*'Small Signal'!$B$6*'Small Signal'!$B$27),IMSUM(IMSUM(IMPRODUCT(H83,('Small Signal'!$B$5+'Small Signal'!$B$6)*('Small Signal'!$B$32*'Small Signal'!$B$33)+'Small Signal'!$B$5*'Small Signal'!$B$33*('Small Signal'!$B$8+'Small Signal'!$B$9)+'Small Signal'!$B$6*'Small Signal'!$B$33*('Small Signal'!$B$8+'Small Signal'!$B$9)+'Small Signal'!$B$7*'Small Signal'!$B$8*('Small Signal'!$B$5+'Small Signal'!$B$6)),'Small Signal'!$B$6+'Small Signal'!$B$5),IMPRODUCT(IMPOWER(H83,2),'Small Signal'!$B$32*'Small Signal'!$B$33*'Small Signal'!$B$8*'Small Signal'!$B$7*('Small Signal'!$B$5+'Small Signal'!$B$6)+('Small Signal'!$B$5+'Small Signal'!$B$6)*('Small Signal'!$B$9*'Small Signal'!$B$8*'Small Signal'!$B$33*'Small Signal'!$B$7)))),-1)</f>
        <v>-0.343562367437416+2.48939110619575i</v>
      </c>
      <c r="T83" s="85">
        <f t="shared" si="19"/>
        <v>8.00380450711825</v>
      </c>
      <c r="U83" s="85">
        <f t="shared" si="20"/>
        <v>97.85778707437458</v>
      </c>
      <c r="V83" s="85" t="str">
        <f t="shared" si="21"/>
        <v>-1.82197924123539+56.6458273086785i</v>
      </c>
      <c r="W83" s="80">
        <f t="shared" si="22"/>
        <v>35.06784914648549</v>
      </c>
      <c r="X83" s="85">
        <f t="shared" si="23"/>
        <v>91.84224944229628</v>
      </c>
      <c r="Y83" s="85" t="str">
        <f t="shared" si="24"/>
        <v>-5.57295252566832+103.040239419358i</v>
      </c>
      <c r="Z83" s="80">
        <f t="shared" si="25"/>
        <v>40.27282266089784</v>
      </c>
      <c r="AA83" s="85">
        <f t="shared" si="26"/>
        <v>93.0958377035184</v>
      </c>
    </row>
    <row r="84" spans="6:27" ht="12.75">
      <c r="F84" s="84">
        <v>82</v>
      </c>
      <c r="G84" s="85">
        <f>10^('Small Signal'!F84/30)</f>
        <v>541.1695265464643</v>
      </c>
      <c r="H84" s="85" t="str">
        <f t="shared" si="14"/>
        <v>3400.26841789008i</v>
      </c>
      <c r="I84" s="85">
        <f>IF('Small Signal'!$B$37&gt;=1,Q84+0,N84+0)</f>
        <v>27.05673926746838</v>
      </c>
      <c r="J84" s="85">
        <f>IF('Small Signal'!$B$37&gt;=1,R84,O84)</f>
        <v>-6.4919336576307165</v>
      </c>
      <c r="K84" s="85">
        <f>IF('Small Signal'!$B$37&gt;=1,Z84+0,W84+0)</f>
        <v>34.40384089639708</v>
      </c>
      <c r="L84" s="85">
        <f>IF('Small Signal'!$B$37&gt;=1,AA84,X84)</f>
        <v>91.78338224013153</v>
      </c>
      <c r="M84" s="85" t="str">
        <f>IMDIV(IMSUM('Small Signal'!$B$2*'Small Signal'!$B$16*'Small Signal'!$B$38,IMPRODUCT(H84,'Small Signal'!$B$2*'Small Signal'!$B$16*'Small Signal'!$B$38*'Small Signal'!$B$13*'Small Signal'!$B$14)),IMSUM(IMPRODUCT('Small Signal'!$B$11*'Small Signal'!$B$13*('Small Signal'!$B$14+'Small Signal'!$B$16),IMPOWER(H84,2)),IMSUM(IMPRODUCT(H84,('Small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22.3894387119348-2.54776137224909i</v>
      </c>
      <c r="N84" s="85">
        <f t="shared" si="15"/>
        <v>27.05673926746838</v>
      </c>
      <c r="O84" s="85">
        <f t="shared" si="16"/>
        <v>-6.4919336576307165</v>
      </c>
      <c r="P84" s="85" t="str">
        <f>IMDIV(IMSUM('Small Signal'!$B$48,IMPRODUCT(H84,'Small Signal'!$B$49)),IMSUM(IMPRODUCT('Small Signal'!$B$52,IMPOWER(H84,2)),IMSUM(IMPRODUCT(H84,'Small Signal'!$B$51),'Small Signal'!$B$50)))</f>
        <v>40.8827928557975-3.67812911744908i</v>
      </c>
      <c r="Q84" s="85">
        <f t="shared" si="17"/>
        <v>32.265822200395384</v>
      </c>
      <c r="R84" s="85">
        <f t="shared" si="18"/>
        <v>-5.1409263701412415</v>
      </c>
      <c r="S84" s="85" t="str">
        <f>IMPRODUCT(IMDIV(IMSUM(IMPRODUCT(H84,'Small Signal'!$B$33*'Small Signal'!$B$6*'Small Signal'!$B$27*'Small Signal'!$B$7*'Small Signal'!$B$8),'Small Signal'!$B$33*'Small Signal'!$B$6*'Small Signal'!$B$27),IMSUM(IMSUM(IMPRODUCT(H84,('Small Signal'!$B$5+'Small Signal'!$B$6)*('Small Signal'!$B$32*'Small Signal'!$B$33)+'Small Signal'!$B$5*'Small Signal'!$B$33*('Small Signal'!$B$8+'Small Signal'!$B$9)+'Small Signal'!$B$6*'Small Signal'!$B$33*('Small Signal'!$B$8+'Small Signal'!$B$9)+'Small Signal'!$B$7*'Small Signal'!$B$8*('Small Signal'!$B$5+'Small Signal'!$B$6)),'Small Signal'!$B$6+'Small Signal'!$B$5),IMPRODUCT(IMPOWER(H84,2),'Small Signal'!$B$32*'Small Signal'!$B$33*'Small Signal'!$B$8*'Small Signal'!$B$7*('Small Signal'!$B$5+'Small Signal'!$B$6)+('Small Signal'!$B$5+'Small Signal'!$B$6)*('Small Signal'!$B$9*'Small Signal'!$B$8*'Small Signal'!$B$33*'Small Signal'!$B$7)))),-1)</f>
        <v>-0.335355974996323+2.30573532300188i</v>
      </c>
      <c r="T84" s="85">
        <f t="shared" si="19"/>
        <v>7.347101628928694</v>
      </c>
      <c r="U84" s="85">
        <f t="shared" si="20"/>
        <v>98.27531589776225</v>
      </c>
      <c r="V84" s="85" t="str">
        <f t="shared" si="21"/>
        <v>-1.63396865828684+52.4785266993424i</v>
      </c>
      <c r="W84" s="80">
        <f t="shared" si="22"/>
        <v>34.40384089639708</v>
      </c>
      <c r="X84" s="85">
        <f t="shared" si="23"/>
        <v>91.78338224013153</v>
      </c>
      <c r="Y84" s="85" t="str">
        <f t="shared" si="24"/>
        <v>-5.2294966300646+95.4983821669257i</v>
      </c>
      <c r="Z84" s="80">
        <f t="shared" si="25"/>
        <v>39.612923829324075</v>
      </c>
      <c r="AA84" s="85">
        <f t="shared" si="26"/>
        <v>93.13438952762101</v>
      </c>
    </row>
    <row r="85" spans="6:27" ht="12.75">
      <c r="F85" s="84">
        <v>83</v>
      </c>
      <c r="G85" s="85">
        <f>10^('Small Signal'!F85/30)</f>
        <v>584.3414133735179</v>
      </c>
      <c r="H85" s="85" t="str">
        <f t="shared" si="14"/>
        <v>3671.52538288504i</v>
      </c>
      <c r="I85" s="85">
        <f>IF('Small Signal'!$B$37&gt;=1,Q85+0,N85+0)</f>
        <v>27.048237256023384</v>
      </c>
      <c r="J85" s="85">
        <f>IF('Small Signal'!$B$37&gt;=1,R85,O85)</f>
        <v>-7.005439031675594</v>
      </c>
      <c r="K85" s="85">
        <f>IF('Small Signal'!$B$37&gt;=1,Z85+0,W85+0)</f>
        <v>33.74015993409537</v>
      </c>
      <c r="L85" s="85">
        <f>IF('Small Signal'!$B$37&gt;=1,AA85,X85)</f>
        <v>91.73442148085152</v>
      </c>
      <c r="M85" s="85" t="str">
        <f>IMDIV(IMSUM('Small Signal'!$B$2*'Small Signal'!$B$16*'Small Signal'!$B$38,IMPRODUCT(H85,'Small Signal'!$B$2*'Small Signal'!$B$16*'Small Signal'!$B$38*'Small Signal'!$B$13*'Small Signal'!$B$14)),IMSUM(IMPRODUCT('Small Signal'!$B$11*'Small Signal'!$B$13*('Small Signal'!$B$14+'Small Signal'!$B$16),IMPOWER(H85,2)),IMSUM(IMPRODUCT(H85,('Small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22.3438243485438-2.74562974123585i</v>
      </c>
      <c r="N85" s="85">
        <f t="shared" si="15"/>
        <v>27.048237256023384</v>
      </c>
      <c r="O85" s="85">
        <f t="shared" si="16"/>
        <v>-7.005439031675594</v>
      </c>
      <c r="P85" s="85" t="str">
        <f>IMDIV(IMSUM('Small Signal'!$B$48,IMPRODUCT(H85,'Small Signal'!$B$49)),IMSUM(IMPRODUCT('Small Signal'!$B$52,IMPOWER(H85,2)),IMSUM(IMPRODUCT(H85,'Small Signal'!$B$51),'Small Signal'!$B$50)))</f>
        <v>40.837985848257-3.96815167689646i</v>
      </c>
      <c r="Q85" s="85">
        <f t="shared" si="17"/>
        <v>32.26209848572645</v>
      </c>
      <c r="R85" s="85">
        <f t="shared" si="18"/>
        <v>-5.549902114337682</v>
      </c>
      <c r="S85" s="85" t="str">
        <f>IMPRODUCT(IMDIV(IMSUM(IMPRODUCT(H85,'Small Signal'!$B$33*'Small Signal'!$B$6*'Small Signal'!$B$27*'Small Signal'!$B$7*'Small Signal'!$B$8),'Small Signal'!$B$33*'Small Signal'!$B$6*'Small Signal'!$B$27),IMSUM(IMSUM(IMPRODUCT(H85,('Small Signal'!$B$5+'Small Signal'!$B$6)*('Small Signal'!$B$32*'Small Signal'!$B$33)+'Small Signal'!$B$5*'Small Signal'!$B$33*('Small Signal'!$B$8+'Small Signal'!$B$9)+'Small Signal'!$B$6*'Small Signal'!$B$33*('Small Signal'!$B$8+'Small Signal'!$B$9)+'Small Signal'!$B$7*'Small Signal'!$B$8*('Small Signal'!$B$5+'Small Signal'!$B$6)),'Small Signal'!$B$6+'Small Signal'!$B$5),IMPRODUCT(IMPOWER(H85,2),'Small Signal'!$B$32*'Small Signal'!$B$33*'Small Signal'!$B$8*'Small Signal'!$B$7*('Small Signal'!$B$5+'Small Signal'!$B$6)+('Small Signal'!$B$5+'Small Signal'!$B$6)*('Small Signal'!$B$9*'Small Signal'!$B$8*'Small Signal'!$B$33*'Small Signal'!$B$7)))),-1)</f>
        <v>-0.328316328505177+2.13561902282258i</v>
      </c>
      <c r="T85" s="85">
        <f t="shared" si="19"/>
        <v>6.691922678071975</v>
      </c>
      <c r="U85" s="85">
        <f t="shared" si="20"/>
        <v>98.73986051252713</v>
      </c>
      <c r="V85" s="85" t="str">
        <f t="shared" si="21"/>
        <v>-1.47222326986776+48.6193313974337i</v>
      </c>
      <c r="W85" s="80">
        <f t="shared" si="22"/>
        <v>33.74015993409537</v>
      </c>
      <c r="X85" s="85">
        <f t="shared" si="23"/>
        <v>91.73442148085152</v>
      </c>
      <c r="Y85" s="85" t="str">
        <f t="shared" si="24"/>
        <v>-4.93331737062071+88.5171884208073i</v>
      </c>
      <c r="Z85" s="80">
        <f t="shared" si="25"/>
        <v>38.95402116379842</v>
      </c>
      <c r="AA85" s="85">
        <f t="shared" si="26"/>
        <v>93.18995839818945</v>
      </c>
    </row>
    <row r="86" spans="6:27" ht="12.75">
      <c r="F86" s="84">
        <v>84</v>
      </c>
      <c r="G86" s="85">
        <f>10^('Small Signal'!F86/30)</f>
        <v>630.9573444801932</v>
      </c>
      <c r="H86" s="85" t="str">
        <f t="shared" si="14"/>
        <v>3964.421916295i</v>
      </c>
      <c r="I86" s="85">
        <f>IF('Small Signal'!$B$37&gt;=1,Q86+0,N86+0)</f>
        <v>27.038345526630174</v>
      </c>
      <c r="J86" s="85">
        <f>IF('Small Signal'!$B$37&gt;=1,R86,O86)</f>
        <v>-7.558786787057164</v>
      </c>
      <c r="K86" s="85">
        <f>IF('Small Signal'!$B$37&gt;=1,Z86+0,W86+0)</f>
        <v>33.076871085132154</v>
      </c>
      <c r="L86" s="85">
        <f>IF('Small Signal'!$B$37&gt;=1,AA86,X86)</f>
        <v>91.6949313362267</v>
      </c>
      <c r="M86" s="85" t="str">
        <f>IMDIV(IMSUM('Small Signal'!$B$2*'Small Signal'!$B$16*'Small Signal'!$B$38,IMPRODUCT(H86,'Small Signal'!$B$2*'Small Signal'!$B$16*'Small Signal'!$B$38*'Small Signal'!$B$13*'Small Signal'!$B$14)),IMSUM(IMPRODUCT('Small Signal'!$B$11*'Small Signal'!$B$13*('Small Signal'!$B$14+'Small Signal'!$B$16),IMPOWER(H86,2)),IMSUM(IMPRODUCT(H86,('Small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22.2908662537288-2.95791871630907i</v>
      </c>
      <c r="N86" s="85">
        <f t="shared" si="15"/>
        <v>27.038345526630174</v>
      </c>
      <c r="O86" s="85">
        <f t="shared" si="16"/>
        <v>-7.558786787057164</v>
      </c>
      <c r="P86" s="85" t="str">
        <f>IMDIV(IMSUM('Small Signal'!$B$48,IMPRODUCT(H86,'Small Signal'!$B$49)),IMSUM(IMPRODUCT('Small Signal'!$B$52,IMPOWER(H86,2)),IMSUM(IMPRODUCT(H86,'Small Signal'!$B$51),'Small Signal'!$B$50)))</f>
        <v>40.7858355495958-4.28043758809182i</v>
      </c>
      <c r="Q86" s="85">
        <f t="shared" si="17"/>
        <v>32.25776033730099</v>
      </c>
      <c r="R86" s="85">
        <f t="shared" si="18"/>
        <v>-5.9912095680826525</v>
      </c>
      <c r="S86" s="85" t="str">
        <f>IMPRODUCT(IMDIV(IMSUM(IMPRODUCT(H86,'Small Signal'!$B$33*'Small Signal'!$B$6*'Small Signal'!$B$27*'Small Signal'!$B$7*'Small Signal'!$B$8),'Small Signal'!$B$33*'Small Signal'!$B$6*'Small Signal'!$B$27),IMSUM(IMSUM(IMPRODUCT(H86,('Small Signal'!$B$5+'Small Signal'!$B$6)*('Small Signal'!$B$32*'Small Signal'!$B$33)+'Small Signal'!$B$5*'Small Signal'!$B$33*('Small Signal'!$B$8+'Small Signal'!$B$9)+'Small Signal'!$B$6*'Small Signal'!$B$33*('Small Signal'!$B$8+'Small Signal'!$B$9)+'Small Signal'!$B$7*'Small Signal'!$B$8*('Small Signal'!$B$5+'Small Signal'!$B$6)),'Small Signal'!$B$6+'Small Signal'!$B$5),IMPRODUCT(IMPOWER(H86,2),'Small Signal'!$B$32*'Small Signal'!$B$33*'Small Signal'!$B$8*'Small Signal'!$B$7*('Small Signal'!$B$5+'Small Signal'!$B$6)+('Small Signal'!$B$5+'Small Signal'!$B$6)*('Small Signal'!$B$9*'Small Signal'!$B$8*'Small Signal'!$B$33*'Small Signal'!$B$7)))),-1)</f>
        <v>-0.322277649687318+1.97804988963239i</v>
      </c>
      <c r="T86" s="85">
        <f t="shared" si="19"/>
        <v>6.038525558501986</v>
      </c>
      <c r="U86" s="85">
        <f t="shared" si="20"/>
        <v>99.25371812328387</v>
      </c>
      <c r="V86" s="85" t="str">
        <f t="shared" si="21"/>
        <v>-1.33293719540933+45.0457166248568i</v>
      </c>
      <c r="W86" s="80">
        <f t="shared" si="22"/>
        <v>33.076871085132154</v>
      </c>
      <c r="X86" s="85">
        <f t="shared" si="23"/>
        <v>91.6949313362267</v>
      </c>
      <c r="Y86" s="85" t="str">
        <f t="shared" si="24"/>
        <v>-4.67744412275384+82.0559068729663i</v>
      </c>
      <c r="Z86" s="80">
        <f t="shared" si="25"/>
        <v>38.29628589580298</v>
      </c>
      <c r="AA86" s="85">
        <f t="shared" si="26"/>
        <v>93.26250855520122</v>
      </c>
    </row>
    <row r="87" spans="6:27" ht="12.75">
      <c r="F87" s="84">
        <v>85</v>
      </c>
      <c r="G87" s="85">
        <f>10^('Small Signal'!F87/30)</f>
        <v>681.292069057962</v>
      </c>
      <c r="H87" s="85" t="str">
        <f t="shared" si="14"/>
        <v>4280.68431820297i</v>
      </c>
      <c r="I87" s="85">
        <f>IF('Small Signal'!$B$37&gt;=1,Q87+0,N87+0)</f>
        <v>27.026840881598982</v>
      </c>
      <c r="J87" s="85">
        <f>IF('Small Signal'!$B$37&gt;=1,R87,O87)</f>
        <v>-8.154871140683003</v>
      </c>
      <c r="K87" s="85">
        <f>IF('Small Signal'!$B$37&gt;=1,Z87+0,W87+0)</f>
        <v>32.41404647801565</v>
      </c>
      <c r="L87" s="85">
        <f>IF('Small Signal'!$B$37&gt;=1,AA87,X87)</f>
        <v>91.66449514240017</v>
      </c>
      <c r="M87" s="85" t="str">
        <f>IMDIV(IMSUM('Small Signal'!$B$2*'Small Signal'!$B$16*'Small Signal'!$B$38,IMPRODUCT(H87,'Small Signal'!$B$2*'Small Signal'!$B$16*'Small Signal'!$B$38*'Small Signal'!$B$13*'Small Signal'!$B$14)),IMSUM(IMPRODUCT('Small Signal'!$B$11*'Small Signal'!$B$13*('Small Signal'!$B$14+'Small Signal'!$B$16),IMPOWER(H87,2)),IMSUM(IMPRODUCT(H87,('Small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22.2294245294775-3.18543850920342i</v>
      </c>
      <c r="N87" s="85">
        <f t="shared" si="15"/>
        <v>27.026840881598982</v>
      </c>
      <c r="O87" s="85">
        <f t="shared" si="16"/>
        <v>-8.154871140683003</v>
      </c>
      <c r="P87" s="85" t="str">
        <f>IMDIV(IMSUM('Small Signal'!$B$48,IMPRODUCT(H87,'Small Signal'!$B$49)),IMSUM(IMPRODUCT('Small Signal'!$B$52,IMPOWER(H87,2)),IMSUM(IMPRODUCT(H87,'Small Signal'!$B$51),'Small Signal'!$B$50)))</f>
        <v>40.7251559041995-4.61654019615097i</v>
      </c>
      <c r="Q87" s="85">
        <f t="shared" si="17"/>
        <v>32.252707019447556</v>
      </c>
      <c r="R87" s="85">
        <f t="shared" si="18"/>
        <v>-6.4673524336296335</v>
      </c>
      <c r="S87" s="85" t="str">
        <f>IMPRODUCT(IMDIV(IMSUM(IMPRODUCT(H87,'Small Signal'!$B$33*'Small Signal'!$B$6*'Small Signal'!$B$27*'Small Signal'!$B$7*'Small Signal'!$B$8),'Small Signal'!$B$33*'Small Signal'!$B$6*'Small Signal'!$B$27),IMSUM(IMSUM(IMPRODUCT(H87,('Small Signal'!$B$5+'Small Signal'!$B$6)*('Small Signal'!$B$32*'Small Signal'!$B$33)+'Small Signal'!$B$5*'Small Signal'!$B$33*('Small Signal'!$B$8+'Small Signal'!$B$9)+'Small Signal'!$B$6*'Small Signal'!$B$33*('Small Signal'!$B$8+'Small Signal'!$B$9)+'Small Signal'!$B$7*'Small Signal'!$B$8*('Small Signal'!$B$5+'Small Signal'!$B$6)),'Small Signal'!$B$6+'Small Signal'!$B$5),IMPRODUCT(IMPOWER(H87,2),'Small Signal'!$B$32*'Small Signal'!$B$33*'Small Signal'!$B$8*'Small Signal'!$B$7*('Small Signal'!$B$5+'Small Signal'!$B$6)+('Small Signal'!$B$5+'Small Signal'!$B$6)*('Small Signal'!$B$9*'Small Signal'!$B$8*'Small Signal'!$B$33*'Small Signal'!$B$7)))),-1)</f>
        <v>-0.317097679846922+1.83210743678245i</v>
      </c>
      <c r="T87" s="85">
        <f t="shared" si="19"/>
        <v>5.387205596416662</v>
      </c>
      <c r="U87" s="85">
        <f t="shared" si="20"/>
        <v>99.81936628308317</v>
      </c>
      <c r="V87" s="85" t="str">
        <f t="shared" si="21"/>
        <v>-1.21283336050479+41.7367891564134i</v>
      </c>
      <c r="W87" s="80">
        <f t="shared" si="22"/>
        <v>32.41404647801565</v>
      </c>
      <c r="X87" s="85">
        <f t="shared" si="23"/>
        <v>91.66449514240017</v>
      </c>
      <c r="Y87" s="85" t="str">
        <f t="shared" si="24"/>
        <v>-4.45585482305253+76.0767551813281i</v>
      </c>
      <c r="Z87" s="80">
        <f t="shared" si="25"/>
        <v>37.63991261586422</v>
      </c>
      <c r="AA87" s="85">
        <f t="shared" si="26"/>
        <v>93.35201384945354</v>
      </c>
    </row>
    <row r="88" spans="6:27" ht="12.75">
      <c r="F88" s="84">
        <v>86</v>
      </c>
      <c r="G88" s="85">
        <f>10^('Small Signal'!F88/30)</f>
        <v>735.6422544596417</v>
      </c>
      <c r="H88" s="85" t="str">
        <f t="shared" si="14"/>
        <v>4622.17660456129i</v>
      </c>
      <c r="I88" s="85">
        <f>IF('Small Signal'!$B$37&gt;=1,Q88+0,N88+0)</f>
        <v>27.013465667957504</v>
      </c>
      <c r="J88" s="85">
        <f>IF('Small Signal'!$B$37&gt;=1,R88,O88)</f>
        <v>-8.796746553566988</v>
      </c>
      <c r="K88" s="85">
        <f>IF('Small Signal'!$B$37&gt;=1,Z88+0,W88+0)</f>
        <v>31.751766586264768</v>
      </c>
      <c r="L88" s="85">
        <f>IF('Small Signal'!$B$37&gt;=1,AA88,X88)</f>
        <v>91.64270466637839</v>
      </c>
      <c r="M88" s="85" t="str">
        <f>IMDIV(IMSUM('Small Signal'!$B$2*'Small Signal'!$B$16*'Small Signal'!$B$38,IMPRODUCT(H88,'Small Signal'!$B$2*'Small Signal'!$B$16*'Small Signal'!$B$38*'Small Signal'!$B$13*'Small Signal'!$B$14)),IMSUM(IMPRODUCT('Small Signal'!$B$11*'Small Signal'!$B$13*('Small Signal'!$B$14+'Small Signal'!$B$16),IMPOWER(H88,2)),IMSUM(IMPRODUCT(H88,('Small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22.1581971848993-3.4289817994455i</v>
      </c>
      <c r="N88" s="85">
        <f t="shared" si="15"/>
        <v>27.013465667957504</v>
      </c>
      <c r="O88" s="85">
        <f t="shared" si="16"/>
        <v>-8.796746553566988</v>
      </c>
      <c r="P88" s="85" t="str">
        <f>IMDIV(IMSUM('Small Signal'!$B$48,IMPRODUCT(H88,'Small Signal'!$B$49)),IMSUM(IMPRODUCT('Small Signal'!$B$52,IMPOWER(H88,2)),IMSUM(IMPRODUCT(H88,'Small Signal'!$B$51),'Small Signal'!$B$50)))</f>
        <v>40.6545754836533-4.97808066143246i</v>
      </c>
      <c r="Q88" s="85">
        <f t="shared" si="17"/>
        <v>32.24682151214702</v>
      </c>
      <c r="R88" s="85">
        <f t="shared" si="18"/>
        <v>-6.981014887403296</v>
      </c>
      <c r="S88" s="85" t="str">
        <f>IMPRODUCT(IMDIV(IMSUM(IMPRODUCT(H88,'Small Signal'!$B$33*'Small Signal'!$B$6*'Small Signal'!$B$27*'Small Signal'!$B$7*'Small Signal'!$B$8),'Small Signal'!$B$33*'Small Signal'!$B$6*'Small Signal'!$B$27),IMSUM(IMSUM(IMPRODUCT(H88,('Small Signal'!$B$5+'Small Signal'!$B$6)*('Small Signal'!$B$32*'Small Signal'!$B$33)+'Small Signal'!$B$5*'Small Signal'!$B$33*('Small Signal'!$B$8+'Small Signal'!$B$9)+'Small Signal'!$B$6*'Small Signal'!$B$33*('Small Signal'!$B$8+'Small Signal'!$B$9)+'Small Signal'!$B$7*'Small Signal'!$B$8*('Small Signal'!$B$5+'Small Signal'!$B$6)),'Small Signal'!$B$6+'Small Signal'!$B$5),IMPRODUCT(IMPOWER(H88,2),'Small Signal'!$B$32*'Small Signal'!$B$33*'Small Signal'!$B$8*'Small Signal'!$B$7*('Small Signal'!$B$5+'Small Signal'!$B$6)+('Small Signal'!$B$5+'Small Signal'!$B$6)*('Small Signal'!$B$9*'Small Signal'!$B$8*'Small Signal'!$B$33*'Small Signal'!$B$7)))),-1)</f>
        <v>-0.312654351091888+1.69693801743292i</v>
      </c>
      <c r="T88" s="85">
        <f t="shared" si="19"/>
        <v>4.738300918307256</v>
      </c>
      <c r="U88" s="85">
        <f t="shared" si="20"/>
        <v>100.43945121994538</v>
      </c>
      <c r="V88" s="85" t="str">
        <f t="shared" si="21"/>
        <v>-1.10908718564618+38.6731732802423i</v>
      </c>
      <c r="W88" s="80">
        <f t="shared" si="22"/>
        <v>31.751766586264768</v>
      </c>
      <c r="X88" s="85">
        <f t="shared" si="23"/>
        <v>91.64270466637839</v>
      </c>
      <c r="Y88" s="85" t="str">
        <f t="shared" si="24"/>
        <v>-4.26333558852544+70.5447132996909i</v>
      </c>
      <c r="Z88" s="80">
        <f t="shared" si="25"/>
        <v>36.985122430454275</v>
      </c>
      <c r="AA88" s="85">
        <f t="shared" si="26"/>
        <v>93.45843633254208</v>
      </c>
    </row>
    <row r="89" spans="6:27" ht="12.75">
      <c r="F89" s="84">
        <v>87</v>
      </c>
      <c r="G89" s="85">
        <f>10^('Small Signal'!F89/30)</f>
        <v>794.3282347242821</v>
      </c>
      <c r="H89" s="85" t="str">
        <f t="shared" si="14"/>
        <v>4990.91149349751i</v>
      </c>
      <c r="I89" s="85">
        <f>IF('Small Signal'!$B$37&gt;=1,Q89+0,N89+0)</f>
        <v>26.99792294444391</v>
      </c>
      <c r="J89" s="85">
        <f>IF('Small Signal'!$B$37&gt;=1,R89,O89)</f>
        <v>-9.487623553584575</v>
      </c>
      <c r="K89" s="85">
        <f>IF('Small Signal'!$B$37&gt;=1,Z89+0,W89+0)</f>
        <v>31.09012125420027</v>
      </c>
      <c r="L89" s="85">
        <f>IF('Small Signal'!$B$37&gt;=1,AA89,X89)</f>
        <v>91.62914769314179</v>
      </c>
      <c r="M89" s="85" t="str">
        <f>IMDIV(IMSUM('Small Signal'!$B$2*'Small Signal'!$B$16*'Small Signal'!$B$38,IMPRODUCT(H89,'Small Signal'!$B$2*'Small Signal'!$B$16*'Small Signal'!$B$38*'Small Signal'!$B$13*'Small Signal'!$B$14)),IMSUM(IMPRODUCT('Small Signal'!$B$11*'Small Signal'!$B$13*('Small Signal'!$B$14+'Small Signal'!$B$16),IMPOWER(H89,2)),IMSUM(IMPRODUCT(H89,('Small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22.0757022887536-3.68930369192713i</v>
      </c>
      <c r="N89" s="85">
        <f t="shared" si="15"/>
        <v>26.99792294444391</v>
      </c>
      <c r="O89" s="85">
        <f t="shared" si="16"/>
        <v>-9.487623553584575</v>
      </c>
      <c r="P89" s="85" t="str">
        <f>IMDIV(IMSUM('Small Signal'!$B$48,IMPRODUCT(H89,'Small Signal'!$B$49)),IMSUM(IMPRODUCT('Small Signal'!$B$52,IMPOWER(H89,2)),IMSUM(IMPRODUCT(H89,'Small Signal'!$B$51),'Small Signal'!$B$50)))</f>
        <v>40.5725107178418-5.36673956006142i</v>
      </c>
      <c r="Q89" s="85">
        <f t="shared" si="17"/>
        <v>32.239967960634964</v>
      </c>
      <c r="R89" s="85">
        <f t="shared" si="18"/>
        <v>-7.535071132103707</v>
      </c>
      <c r="S89" s="85" t="str">
        <f>IMPRODUCT(IMDIV(IMSUM(IMPRODUCT(H89,'Small Signal'!$B$33*'Small Signal'!$B$6*'Small Signal'!$B$27*'Small Signal'!$B$7*'Small Signal'!$B$8),'Small Signal'!$B$33*'Small Signal'!$B$6*'Small Signal'!$B$27),IMSUM(IMSUM(IMPRODUCT(H89,('Small Signal'!$B$5+'Small Signal'!$B$6)*('Small Signal'!$B$32*'Small Signal'!$B$33)+'Small Signal'!$B$5*'Small Signal'!$B$33*('Small Signal'!$B$8+'Small Signal'!$B$9)+'Small Signal'!$B$6*'Small Signal'!$B$33*('Small Signal'!$B$8+'Small Signal'!$B$9)+'Small Signal'!$B$7*'Small Signal'!$B$8*('Small Signal'!$B$5+'Small Signal'!$B$6)),'Small Signal'!$B$6+'Small Signal'!$B$5),IMPRODUCT(IMPOWER(H89,2),'Small Signal'!$B$32*'Small Signal'!$B$33*'Small Signal'!$B$8*'Small Signal'!$B$7*('Small Signal'!$B$5+'Small Signal'!$B$6)+('Small Signal'!$B$5+'Small Signal'!$B$6)*('Small Signal'!$B$9*'Small Signal'!$B$8*'Small Signal'!$B$33*'Small Signal'!$B$7)))),-1)</f>
        <v>-0.30884292634929+1.57175013957948i</v>
      </c>
      <c r="T89" s="85">
        <f t="shared" si="19"/>
        <v>4.092198309756367</v>
      </c>
      <c r="U89" s="85">
        <f t="shared" si="20"/>
        <v>101.11677124672637</v>
      </c>
      <c r="V89" s="85" t="str">
        <f t="shared" si="21"/>
        <v>-1.01926090333682+35.8369035020695i</v>
      </c>
      <c r="W89" s="80">
        <f t="shared" si="22"/>
        <v>31.09012125420027</v>
      </c>
      <c r="X89" s="85">
        <f t="shared" si="23"/>
        <v>91.62914769314179</v>
      </c>
      <c r="Y89" s="85" t="str">
        <f t="shared" si="24"/>
        <v>-4.09535928682294+65.4273289345417i</v>
      </c>
      <c r="Z89" s="80">
        <f t="shared" si="25"/>
        <v>36.33216627039133</v>
      </c>
      <c r="AA89" s="85">
        <f t="shared" si="26"/>
        <v>93.58170011462266</v>
      </c>
    </row>
    <row r="90" spans="6:27" ht="12.75">
      <c r="F90" s="84">
        <v>88</v>
      </c>
      <c r="G90" s="85">
        <f>10^('Small Signal'!F90/30)</f>
        <v>857.6958985908942</v>
      </c>
      <c r="H90" s="85" t="str">
        <f t="shared" si="14"/>
        <v>5389.0622680545i</v>
      </c>
      <c r="I90" s="85">
        <f>IF('Small Signal'!$B$37&gt;=1,Q90+0,N90+0)</f>
        <v>26.979871140503633</v>
      </c>
      <c r="J90" s="85">
        <f>IF('Small Signal'!$B$37&gt;=1,R90,O90)</f>
        <v>-10.230860422369934</v>
      </c>
      <c r="K90" s="85">
        <f>IF('Small Signal'!$B$37&gt;=1,Z90+0,W90+0)</f>
        <v>30.429210666809322</v>
      </c>
      <c r="L90" s="85">
        <f>IF('Small Signal'!$B$37&gt;=1,AA90,X90)</f>
        <v>91.62339360718171</v>
      </c>
      <c r="M90" s="85" t="str">
        <f>IMDIV(IMSUM('Small Signal'!$B$2*'Small Signal'!$B$16*'Small Signal'!$B$38,IMPRODUCT(H90,'Small Signal'!$B$2*'Small Signal'!$B$16*'Small Signal'!$B$38*'Small Signal'!$B$13*'Small Signal'!$B$14)),IMSUM(IMPRODUCT('Small Signal'!$B$11*'Small Signal'!$B$13*('Small Signal'!$B$14+'Small Signal'!$B$16),IMPOWER(H90,2)),IMSUM(IMPRODUCT(H90,('Small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21.9802600426641-3.96709638615845i</v>
      </c>
      <c r="N90" s="85">
        <f t="shared" si="15"/>
        <v>26.979871140503633</v>
      </c>
      <c r="O90" s="85">
        <f t="shared" si="16"/>
        <v>-10.230860422369934</v>
      </c>
      <c r="P90" s="85" t="str">
        <f>IMDIV(IMSUM('Small Signal'!$B$48,IMPRODUCT(H90,'Small Signal'!$B$49)),IMSUM(IMPRODUCT('Small Signal'!$B$52,IMPOWER(H90,2)),IMSUM(IMPRODUCT(H90,'Small Signal'!$B$51),'Small Signal'!$B$50)))</f>
        <v>40.4771360526392-5.7842445640234i</v>
      </c>
      <c r="Q90" s="85">
        <f t="shared" si="17"/>
        <v>32.231988754652576</v>
      </c>
      <c r="R90" s="85">
        <f t="shared" si="18"/>
        <v>-8.13259452099759</v>
      </c>
      <c r="S90" s="85" t="str">
        <f>IMPRODUCT(IMDIV(IMSUM(IMPRODUCT(H90,'Small Signal'!$B$33*'Small Signal'!$B$6*'Small Signal'!$B$27*'Small Signal'!$B$7*'Small Signal'!$B$8),'Small Signal'!$B$33*'Small Signal'!$B$6*'Small Signal'!$B$27),IMSUM(IMSUM(IMPRODUCT(H90,('Small Signal'!$B$5+'Small Signal'!$B$6)*('Small Signal'!$B$32*'Small Signal'!$B$33)+'Small Signal'!$B$5*'Small Signal'!$B$33*('Small Signal'!$B$8+'Small Signal'!$B$9)+'Small Signal'!$B$6*'Small Signal'!$B$33*('Small Signal'!$B$8+'Small Signal'!$B$9)+'Small Signal'!$B$7*'Small Signal'!$B$8*('Small Signal'!$B$5+'Small Signal'!$B$6)),'Small Signal'!$B$6+'Small Signal'!$B$5),IMPRODUCT(IMPOWER(H90,2),'Small Signal'!$B$32*'Small Signal'!$B$33*'Small Signal'!$B$8*'Small Signal'!$B$7*('Small Signal'!$B$5+'Small Signal'!$B$6)+('Small Signal'!$B$5+'Small Signal'!$B$6)*('Small Signal'!$B$9*'Small Signal'!$B$8*'Small Signal'!$B$33*'Small Signal'!$B$7)))),-1)</f>
        <v>-0.305573542737682+1.4558100763568i</v>
      </c>
      <c r="T90" s="85">
        <f t="shared" si="19"/>
        <v>3.4493395263056996</v>
      </c>
      <c r="U90" s="85">
        <f t="shared" si="20"/>
        <v>101.85425402955164</v>
      </c>
      <c r="V90" s="85" t="str">
        <f t="shared" si="21"/>
        <v>-0.941247038684264+33.2113237481534i</v>
      </c>
      <c r="W90" s="80">
        <f t="shared" si="22"/>
        <v>30.429210666809322</v>
      </c>
      <c r="X90" s="85">
        <f t="shared" si="23"/>
        <v>91.62339360718171</v>
      </c>
      <c r="Y90" s="85" t="str">
        <f t="shared" si="24"/>
        <v>-3.9479803430628+60.6945346309871i</v>
      </c>
      <c r="Z90" s="80">
        <f t="shared" si="25"/>
        <v>35.681328280958276</v>
      </c>
      <c r="AA90" s="85">
        <f t="shared" si="26"/>
        <v>93.72165950855405</v>
      </c>
    </row>
    <row r="91" spans="6:27" ht="12.75">
      <c r="F91" s="84">
        <v>89</v>
      </c>
      <c r="G91" s="85">
        <f>10^('Small Signal'!F91/30)</f>
        <v>926.1187281287947</v>
      </c>
      <c r="H91" s="85" t="str">
        <f t="shared" si="14"/>
        <v>5818.97558528269i</v>
      </c>
      <c r="I91" s="85">
        <f>IF('Small Signal'!$B$37&gt;=1,Q91+0,N91+0)</f>
        <v>26.958918215612975</v>
      </c>
      <c r="J91" s="85">
        <f>IF('Small Signal'!$B$37&gt;=1,R91,O91)</f>
        <v>-11.029949684763876</v>
      </c>
      <c r="K91" s="85">
        <f>IF('Small Signal'!$B$37&gt;=1,Z91+0,W91+0)</f>
        <v>29.769146206452643</v>
      </c>
      <c r="L91" s="85">
        <f>IF('Small Signal'!$B$37&gt;=1,AA91,X91)</f>
        <v>91.6249766358782</v>
      </c>
      <c r="M91" s="85" t="str">
        <f>IMDIV(IMSUM('Small Signal'!$B$2*'Small Signal'!$B$16*'Small Signal'!$B$38,IMPRODUCT(H91,'Small Signal'!$B$2*'Small Signal'!$B$16*'Small Signal'!$B$38*'Small Signal'!$B$13*'Small Signal'!$B$14)),IMSUM(IMPRODUCT('Small Signal'!$B$11*'Small Signal'!$B$13*('Small Signal'!$B$14+'Small Signal'!$B$16),IMPOWER(H91,2)),IMSUM(IMPRODUCT(H91,('Small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21.8699755992944-4.26295765047679i</v>
      </c>
      <c r="N91" s="85">
        <f t="shared" si="15"/>
        <v>26.958918215612975</v>
      </c>
      <c r="O91" s="85">
        <f t="shared" si="16"/>
        <v>-11.029949684763876</v>
      </c>
      <c r="P91" s="85" t="str">
        <f>IMDIV(IMSUM('Small Signal'!$B$48,IMPRODUCT(H91,'Small Signal'!$B$49)),IMSUM(IMPRODUCT('Small Signal'!$B$52,IMPOWER(H91,2)),IMSUM(IMPRODUCT(H91,'Small Signal'!$B$51),'Small Signal'!$B$50)))</f>
        <v>40.366350979152-6.23235319157097i</v>
      </c>
      <c r="Q91" s="85">
        <f t="shared" si="17"/>
        <v>32.22270119395057</v>
      </c>
      <c r="R91" s="85">
        <f t="shared" si="18"/>
        <v>-8.776865941474417</v>
      </c>
      <c r="S91" s="85" t="str">
        <f>IMPRODUCT(IMDIV(IMSUM(IMPRODUCT(H91,'Small Signal'!$B$33*'Small Signal'!$B$6*'Small Signal'!$B$27*'Small Signal'!$B$7*'Small Signal'!$B$8),'Small Signal'!$B$33*'Small Signal'!$B$6*'Small Signal'!$B$27),IMSUM(IMSUM(IMPRODUCT(H91,('Small Signal'!$B$5+'Small Signal'!$B$6)*('Small Signal'!$B$32*'Small Signal'!$B$33)+'Small Signal'!$B$5*'Small Signal'!$B$33*('Small Signal'!$B$8+'Small Signal'!$B$9)+'Small Signal'!$B$6*'Small Signal'!$B$33*('Small Signal'!$B$8+'Small Signal'!$B$9)+'Small Signal'!$B$7*'Small Signal'!$B$8*('Small Signal'!$B$5+'Small Signal'!$B$6)),'Small Signal'!$B$6+'Small Signal'!$B$5),IMPRODUCT(IMPOWER(H91,2),'Small Signal'!$B$32*'Small Signal'!$B$33*'Small Signal'!$B$8*'Small Signal'!$B$7*('Small Signal'!$B$5+'Small Signal'!$B$6)+('Small Signal'!$B$5+'Small Signal'!$B$6)*('Small Signal'!$B$9*'Small Signal'!$B$8*'Small Signal'!$B$33*'Small Signal'!$B$7)))),-1)</f>
        <v>-0.302769101833024+1.34843776030513i</v>
      </c>
      <c r="T91" s="85">
        <f t="shared" si="19"/>
        <v>2.810227990839658</v>
      </c>
      <c r="U91" s="85">
        <f t="shared" si="20"/>
        <v>102.65492632064209</v>
      </c>
      <c r="V91" s="85" t="str">
        <f t="shared" si="21"/>
        <v>-0.873219802823974+30.7809927740275i</v>
      </c>
      <c r="W91" s="80">
        <f t="shared" si="22"/>
        <v>29.769146206452643</v>
      </c>
      <c r="X91" s="85">
        <f t="shared" si="23"/>
        <v>91.6249766358782</v>
      </c>
      <c r="Y91" s="85" t="str">
        <f t="shared" si="24"/>
        <v>-3.81774345116197+56.3184758841366i</v>
      </c>
      <c r="Z91" s="80">
        <f t="shared" si="25"/>
        <v>35.03292918479022</v>
      </c>
      <c r="AA91" s="85">
        <f t="shared" si="26"/>
        <v>93.87806037916766</v>
      </c>
    </row>
    <row r="92" spans="6:27" ht="12.75">
      <c r="F92" s="84">
        <v>90</v>
      </c>
      <c r="G92" s="85">
        <f>10^('Small Signal'!F92/30)</f>
        <v>1000</v>
      </c>
      <c r="H92" s="85" t="str">
        <f t="shared" si="14"/>
        <v>6283.18530717959i</v>
      </c>
      <c r="I92" s="85">
        <f>IF('Small Signal'!$B$37&gt;=1,Q92+0,N92+0)</f>
        <v>26.93461535497991</v>
      </c>
      <c r="J92" s="85">
        <f>IF('Small Signal'!$B$37&gt;=1,R92,O92)</f>
        <v>-11.888498168484944</v>
      </c>
      <c r="K92" s="85">
        <f>IF('Small Signal'!$B$37&gt;=1,Z92+0,W92+0)</f>
        <v>29.110051117672953</v>
      </c>
      <c r="L92" s="85">
        <f>IF('Small Signal'!$B$37&gt;=1,AA92,X92)</f>
        <v>91.63337643998247</v>
      </c>
      <c r="M92" s="85" t="str">
        <f>IMDIV(IMSUM('Small Signal'!$B$2*'Small Signal'!$B$16*'Small Signal'!$B$38,IMPRODUCT(H92,'Small Signal'!$B$2*'Small Signal'!$B$16*'Small Signal'!$B$38*'Small Signal'!$B$13*'Small Signal'!$B$14)),IMSUM(IMPRODUCT('Small Signal'!$B$11*'Small Signal'!$B$13*('Small Signal'!$B$14+'Small Signal'!$B$16),IMPOWER(H92,2)),IMSUM(IMPRODUCT(H92,('Small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21.7427237853711-4.57735217666246i</v>
      </c>
      <c r="N92" s="85">
        <f t="shared" si="15"/>
        <v>26.93461535497991</v>
      </c>
      <c r="O92" s="85">
        <f t="shared" si="16"/>
        <v>-11.888498168484944</v>
      </c>
      <c r="P92" s="85" t="str">
        <f>IMDIV(IMSUM('Small Signal'!$B$48,IMPRODUCT(H92,'Small Signal'!$B$49)),IMSUM(IMPRODUCT('Small Signal'!$B$52,IMPOWER(H92,2)),IMSUM(IMPRODUCT(H92,'Small Signal'!$B$51),'Small Signal'!$B$50)))</f>
        <v>40.2377440133778-6.71282942086697i</v>
      </c>
      <c r="Q92" s="85">
        <f t="shared" si="17"/>
        <v>32.21189369541844</v>
      </c>
      <c r="R92" s="85">
        <f t="shared" si="18"/>
        <v>-9.4713810608045</v>
      </c>
      <c r="S92" s="85" t="str">
        <f>IMPRODUCT(IMDIV(IMSUM(IMPRODUCT(H92,'Small Signal'!$B$33*'Small Signal'!$B$6*'Small Signal'!$B$27*'Small Signal'!$B$7*'Small Signal'!$B$8),'Small Signal'!$B$33*'Small Signal'!$B$6*'Small Signal'!$B$27),IMSUM(IMSUM(IMPRODUCT(H92,('Small Signal'!$B$5+'Small Signal'!$B$6)*('Small Signal'!$B$32*'Small Signal'!$B$33)+'Small Signal'!$B$5*'Small Signal'!$B$33*('Small Signal'!$B$8+'Small Signal'!$B$9)+'Small Signal'!$B$6*'Small Signal'!$B$33*('Small Signal'!$B$8+'Small Signal'!$B$9)+'Small Signal'!$B$7*'Small Signal'!$B$8*('Small Signal'!$B$5+'Small Signal'!$B$6)),'Small Signal'!$B$6+'Small Signal'!$B$5),IMPRODUCT(IMPOWER(H92,2),'Small Signal'!$B$32*'Small Signal'!$B$33*'Small Signal'!$B$8*'Small Signal'!$B$7*('Small Signal'!$B$5+'Small Signal'!$B$6)+('Small Signal'!$B$5+'Small Signal'!$B$6)*('Small Signal'!$B$9*'Small Signal'!$B$8*'Small Signal'!$B$33*'Small Signal'!$B$7)))),-1)</f>
        <v>-0.300363458149435+1.24900294898304i</v>
      </c>
      <c r="T92" s="85">
        <f t="shared" si="19"/>
        <v>2.175435762693033</v>
      </c>
      <c r="U92" s="85">
        <f t="shared" si="20"/>
        <v>103.5218746084674</v>
      </c>
      <c r="V92" s="85" t="str">
        <f t="shared" si="21"/>
        <v>-0.813593338576687+28.5315954558024i</v>
      </c>
      <c r="W92" s="80">
        <f t="shared" si="22"/>
        <v>29.110051117672953</v>
      </c>
      <c r="X92" s="85">
        <f t="shared" si="23"/>
        <v>91.63337643998247</v>
      </c>
      <c r="Y92" s="85" t="str">
        <f t="shared" si="24"/>
        <v>-3.70160419730692+52.2733495919524i</v>
      </c>
      <c r="Z92" s="80">
        <f t="shared" si="25"/>
        <v>34.387329458111466</v>
      </c>
      <c r="AA92" s="85">
        <f t="shared" si="26"/>
        <v>94.05049354766291</v>
      </c>
    </row>
    <row r="93" spans="6:27" ht="12.75">
      <c r="F93" s="84">
        <v>91</v>
      </c>
      <c r="G93" s="85">
        <f>10^('Small Signal'!F93/30)</f>
        <v>1079.7751623277097</v>
      </c>
      <c r="H93" s="85" t="str">
        <f t="shared" si="14"/>
        <v>6784.42743499492i</v>
      </c>
      <c r="I93" s="85">
        <f>IF('Small Signal'!$B$37&gt;=1,Q93+0,N93+0)</f>
        <v>26.906450275942653</v>
      </c>
      <c r="J93" s="85">
        <f>IF('Small Signal'!$B$37&gt;=1,R93,O93)</f>
        <v>-12.810199233866461</v>
      </c>
      <c r="K93" s="85">
        <f>IF('Small Signal'!$B$37&gt;=1,Z93+0,W93+0)</f>
        <v>28.45206087591201</v>
      </c>
      <c r="L93" s="85">
        <f>IF('Small Signal'!$B$37&gt;=1,AA93,X93)</f>
        <v>91.64799579132081</v>
      </c>
      <c r="M93" s="85" t="str">
        <f>IMDIV(IMSUM('Small Signal'!$B$2*'Small Signal'!$B$16*'Small Signal'!$B$38,IMPRODUCT(H93,'Small Signal'!$B$2*'Small Signal'!$B$16*'Small Signal'!$B$38*'Small Signal'!$B$13*'Small Signal'!$B$14)),IMSUM(IMPRODUCT('Small Signal'!$B$11*'Small Signal'!$B$13*('Small Signal'!$B$14+'Small Signal'!$B$16),IMPOWER(H93,2)),IMSUM(IMPRODUCT(H93,('Small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21.596137303051-4.91056494468732i</v>
      </c>
      <c r="N93" s="85">
        <f t="shared" si="15"/>
        <v>26.906450275942653</v>
      </c>
      <c r="O93" s="85">
        <f t="shared" si="16"/>
        <v>-12.810199233866461</v>
      </c>
      <c r="P93" s="85" t="str">
        <f>IMDIV(IMSUM('Small Signal'!$B$48,IMPRODUCT(H93,'Small Signal'!$B$49)),IMSUM(IMPRODUCT('Small Signal'!$B$52,IMPOWER(H93,2)),IMSUM(IMPRODUCT(H93,'Small Signal'!$B$51),'Small Signal'!$B$50)))</f>
        <v>40.0885539015457-7.22741274204466i</v>
      </c>
      <c r="Q93" s="85">
        <f t="shared" si="17"/>
        <v>32.19932149763121</v>
      </c>
      <c r="R93" s="85">
        <f t="shared" si="18"/>
        <v>-10.219855936483093</v>
      </c>
      <c r="S93" s="85" t="str">
        <f>IMPRODUCT(IMDIV(IMSUM(IMPRODUCT(H93,'Small Signal'!$B$33*'Small Signal'!$B$6*'Small Signal'!$B$27*'Small Signal'!$B$7*'Small Signal'!$B$8),'Small Signal'!$B$33*'Small Signal'!$B$6*'Small Signal'!$B$27),IMSUM(IMSUM(IMPRODUCT(H93,('Small Signal'!$B$5+'Small Signal'!$B$6)*('Small Signal'!$B$32*'Small Signal'!$B$33)+'Small Signal'!$B$5*'Small Signal'!$B$33*('Small Signal'!$B$8+'Small Signal'!$B$9)+'Small Signal'!$B$6*'Small Signal'!$B$33*('Small Signal'!$B$8+'Small Signal'!$B$9)+'Small Signal'!$B$7*'Small Signal'!$B$8*('Small Signal'!$B$5+'Small Signal'!$B$6)),'Small Signal'!$B$6+'Small Signal'!$B$5),IMPRODUCT(IMPOWER(H93,2),'Small Signal'!$B$32*'Small Signal'!$B$33*'Small Signal'!$B$8*'Small Signal'!$B$7*('Small Signal'!$B$5+'Small Signal'!$B$6)+('Small Signal'!$B$5+'Small Signal'!$B$6)*('Small Signal'!$B$9*'Small Signal'!$B$8*'Small Signal'!$B$33*'Small Signal'!$B$7)))),-1)</f>
        <v>-0.298299863898109+1.15692164853858i</v>
      </c>
      <c r="T93" s="85">
        <f t="shared" si="19"/>
        <v>1.5456105999693683</v>
      </c>
      <c r="U93" s="85">
        <f t="shared" si="20"/>
        <v>104.45819502518727</v>
      </c>
      <c r="V93" s="85" t="str">
        <f t="shared" si="21"/>
        <v>-0.760985927161572+26.4498596253743i</v>
      </c>
      <c r="W93" s="80">
        <f t="shared" si="22"/>
        <v>28.45206087591201</v>
      </c>
      <c r="X93" s="85">
        <f t="shared" si="23"/>
        <v>91.64799579132081</v>
      </c>
      <c r="Y93" s="85" t="str">
        <f t="shared" si="24"/>
        <v>-3.59685990850804+48.5352521045914i</v>
      </c>
      <c r="Z93" s="80">
        <f t="shared" si="25"/>
        <v>33.74493209760058</v>
      </c>
      <c r="AA93" s="85">
        <f t="shared" si="26"/>
        <v>94.23833908870415</v>
      </c>
    </row>
    <row r="94" spans="6:27" ht="12.75">
      <c r="F94" s="84">
        <v>92</v>
      </c>
      <c r="G94" s="85">
        <f>10^('Small Signal'!F94/30)</f>
        <v>1165.914401179833</v>
      </c>
      <c r="H94" s="85" t="str">
        <f t="shared" si="14"/>
        <v>7325.65623492221i</v>
      </c>
      <c r="I94" s="85">
        <f>IF('Small Signal'!$B$37&gt;=1,Q94+0,N94+0)</f>
        <v>26.87384027041603</v>
      </c>
      <c r="J94" s="85">
        <f>IF('Small Signal'!$B$37&gt;=1,R94,O94)</f>
        <v>-13.798795625358823</v>
      </c>
      <c r="K94" s="85">
        <f>IF('Small Signal'!$B$37&gt;=1,Z94+0,W94+0)</f>
        <v>27.79532312713811</v>
      </c>
      <c r="L94" s="85">
        <f>IF('Small Signal'!$B$37&gt;=1,AA94,X94)</f>
        <v>91.66813518587415</v>
      </c>
      <c r="M94" s="85" t="str">
        <f>IMDIV(IMSUM('Small Signal'!$B$2*'Small Signal'!$B$16*'Small Signal'!$B$38,IMPRODUCT(H94,'Small Signal'!$B$2*'Small Signal'!$B$16*'Small Signal'!$B$38*'Small Signal'!$B$13*'Small Signal'!$B$14)),IMSUM(IMPRODUCT('Small Signal'!$B$11*'Small Signal'!$B$13*('Small Signal'!$B$14+'Small Signal'!$B$16),IMPOWER(H94,2)),IMSUM(IMPRODUCT(H94,('Small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21.4276004746775-5.26264589182988i</v>
      </c>
      <c r="N94" s="85">
        <f t="shared" si="15"/>
        <v>26.87384027041603</v>
      </c>
      <c r="O94" s="85">
        <f t="shared" si="16"/>
        <v>-13.798795625358823</v>
      </c>
      <c r="P94" s="85" t="str">
        <f>IMDIV(IMSUM('Small Signal'!$B$48,IMPRODUCT(H94,'Small Signal'!$B$49)),IMSUM(IMPRODUCT('Small Signal'!$B$52,IMPOWER(H94,2)),IMSUM(IMPRODUCT(H94,'Small Signal'!$B$51),'Small Signal'!$B$50)))</f>
        <v>39.9156286043111-7.77777799263912i</v>
      </c>
      <c r="Q94" s="85">
        <f t="shared" si="17"/>
        <v>32.184701821462085</v>
      </c>
      <c r="R94" s="85">
        <f t="shared" si="18"/>
        <v>-11.026230375058</v>
      </c>
      <c r="S94" s="85" t="str">
        <f>IMPRODUCT(IMDIV(IMSUM(IMPRODUCT(H94,'Small Signal'!$B$33*'Small Signal'!$B$6*'Small Signal'!$B$27*'Small Signal'!$B$7*'Small Signal'!$B$8),'Small Signal'!$B$33*'Small Signal'!$B$6*'Small Signal'!$B$27),IMSUM(IMSUM(IMPRODUCT(H94,('Small Signal'!$B$5+'Small Signal'!$B$6)*('Small Signal'!$B$32*'Small Signal'!$B$33)+'Small Signal'!$B$5*'Small Signal'!$B$33*('Small Signal'!$B$8+'Small Signal'!$B$9)+'Small Signal'!$B$6*'Small Signal'!$B$33*('Small Signal'!$B$8+'Small Signal'!$B$9)+'Small Signal'!$B$7*'Small Signal'!$B$8*('Small Signal'!$B$5+'Small Signal'!$B$6)),'Small Signal'!$B$6+'Small Signal'!$B$5),IMPRODUCT(IMPOWER(H94,2),'Small Signal'!$B$32*'Small Signal'!$B$33*'Small Signal'!$B$8*'Small Signal'!$B$7*('Small Signal'!$B$5+'Small Signal'!$B$6)+('Small Signal'!$B$5+'Small Signal'!$B$6)*('Small Signal'!$B$9*'Small Signal'!$B$8*'Small Signal'!$B$33*'Small Signal'!$B$7)))),-1)</f>
        <v>-0.296529633918418+1.07165278148499i</v>
      </c>
      <c r="T94" s="85">
        <f t="shared" si="19"/>
        <v>0.921482856722085</v>
      </c>
      <c r="U94" s="85">
        <f t="shared" si="20"/>
        <v>105.46693081123298</v>
      </c>
      <c r="V94" s="85" t="str">
        <f t="shared" si="21"/>
        <v>-0.714189416556192+24.5234781089838i</v>
      </c>
      <c r="W94" s="80">
        <f t="shared" si="22"/>
        <v>27.79532312713811</v>
      </c>
      <c r="X94" s="85">
        <f t="shared" si="23"/>
        <v>91.66813518587415</v>
      </c>
      <c r="Y94" s="85" t="str">
        <f t="shared" si="24"/>
        <v>-3.50108931807545+45.0820360793878i</v>
      </c>
      <c r="Z94" s="80">
        <f t="shared" si="25"/>
        <v>33.106184678184164</v>
      </c>
      <c r="AA94" s="85">
        <f t="shared" si="26"/>
        <v>94.44070043617496</v>
      </c>
    </row>
    <row r="95" spans="6:27" ht="12.75">
      <c r="F95" s="84">
        <v>93</v>
      </c>
      <c r="G95" s="85">
        <f>10^('Small Signal'!F95/30)</f>
        <v>1258.925411794168</v>
      </c>
      <c r="H95" s="85" t="str">
        <f t="shared" si="14"/>
        <v>7910.06165022013i</v>
      </c>
      <c r="I95" s="85">
        <f>IF('Small Signal'!$B$37&gt;=1,Q95+0,N95+0)</f>
        <v>26.836125174584243</v>
      </c>
      <c r="J95" s="85">
        <f>IF('Small Signal'!$B$37&gt;=1,R95,O95)</f>
        <v>-14.858031292886984</v>
      </c>
      <c r="K95" s="85">
        <f>IF('Small Signal'!$B$37&gt;=1,Z95+0,W95+0)</f>
        <v>27.13999703475409</v>
      </c>
      <c r="L95" s="85">
        <f>IF('Small Signal'!$B$37&gt;=1,AA95,X95)</f>
        <v>91.69296442076138</v>
      </c>
      <c r="M95" s="85" t="str">
        <f>IMDIV(IMSUM('Small Signal'!$B$2*'Small Signal'!$B$16*'Small Signal'!$B$38,IMPRODUCT(H95,'Small Signal'!$B$2*'Small Signal'!$B$16*'Small Signal'!$B$38*'Small Signal'!$B$13*'Small Signal'!$B$14)),IMSUM(IMPRODUCT('Small Signal'!$B$11*'Small Signal'!$B$13*('Small Signal'!$B$14+'Small Signal'!$B$16),IMPOWER(H95,2)),IMSUM(IMPRODUCT(H95,('Small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21.2342511537203-5.6333455034085i</v>
      </c>
      <c r="N95" s="85">
        <f t="shared" si="15"/>
        <v>26.836125174584243</v>
      </c>
      <c r="O95" s="85">
        <f t="shared" si="16"/>
        <v>-14.858031292886984</v>
      </c>
      <c r="P95" s="85" t="str">
        <f>IMDIV(IMSUM('Small Signal'!$B$48,IMPRODUCT(H95,'Small Signal'!$B$49)),IMSUM(IMPRODUCT('Small Signal'!$B$52,IMPOWER(H95,2)),IMSUM(IMPRODUCT(H95,'Small Signal'!$B$51),'Small Signal'!$B$50)))</f>
        <v>39.715382994779-8.36548409239074i</v>
      </c>
      <c r="Q95" s="85">
        <f t="shared" si="17"/>
        <v>32.16770845172189</v>
      </c>
      <c r="R95" s="85">
        <f t="shared" si="18"/>
        <v>-11.894668286125608</v>
      </c>
      <c r="S95" s="85" t="str">
        <f>IMPRODUCT(IMDIV(IMSUM(IMPRODUCT(H95,'Small Signal'!$B$33*'Small Signal'!$B$6*'Small Signal'!$B$27*'Small Signal'!$B$7*'Small Signal'!$B$8),'Small Signal'!$B$33*'Small Signal'!$B$6*'Small Signal'!$B$27),IMSUM(IMSUM(IMPRODUCT(H95,('Small Signal'!$B$5+'Small Signal'!$B$6)*('Small Signal'!$B$32*'Small Signal'!$B$33)+'Small Signal'!$B$5*'Small Signal'!$B$33*('Small Signal'!$B$8+'Small Signal'!$B$9)+'Small Signal'!$B$6*'Small Signal'!$B$33*('Small Signal'!$B$8+'Small Signal'!$B$9)+'Small Signal'!$B$7*'Small Signal'!$B$8*('Small Signal'!$B$5+'Small Signal'!$B$6)),'Small Signal'!$B$6+'Small Signal'!$B$5),IMPRODUCT(IMPOWER(H95,2),'Small Signal'!$B$32*'Small Signal'!$B$33*'Small Signal'!$B$8*'Small Signal'!$B$7*('Small Signal'!$B$5+'Small Signal'!$B$6)+('Small Signal'!$B$5+'Small Signal'!$B$6)*('Small Signal'!$B$9*'Small Signal'!$B$8*'Small Signal'!$B$33*'Small Signal'!$B$7)))),-1)</f>
        <v>-0.295010999711607+0.992695084865189i</v>
      </c>
      <c r="T95" s="85">
        <f t="shared" si="19"/>
        <v>0.30387186016986295</v>
      </c>
      <c r="U95" s="85">
        <f t="shared" si="20"/>
        <v>106.55099571364836</v>
      </c>
      <c r="V95" s="85" t="str">
        <f t="shared" si="21"/>
        <v>-0.672143268405338+22.7410356397725i</v>
      </c>
      <c r="W95" s="80">
        <f t="shared" si="22"/>
        <v>27.13999703475409</v>
      </c>
      <c r="X95" s="85">
        <f t="shared" si="23"/>
        <v>91.69296442076138</v>
      </c>
      <c r="Y95" s="85" t="str">
        <f t="shared" si="24"/>
        <v>-3.41209990018489+41.8931753176234i</v>
      </c>
      <c r="Z95" s="80">
        <f t="shared" si="25"/>
        <v>32.47158031189176</v>
      </c>
      <c r="AA95" s="85">
        <f t="shared" si="26"/>
        <v>94.65632742752274</v>
      </c>
    </row>
    <row r="96" spans="6:27" ht="12.75">
      <c r="F96" s="84">
        <v>94</v>
      </c>
      <c r="G96" s="85">
        <f>10^('Small Signal'!F96/30)</f>
        <v>1359.3563908785268</v>
      </c>
      <c r="H96" s="85" t="str">
        <f t="shared" si="14"/>
        <v>8541.08810238863i</v>
      </c>
      <c r="I96" s="85">
        <f>IF('Small Signal'!$B$37&gt;=1,Q96+0,N96+0)</f>
        <v>26.792560539200927</v>
      </c>
      <c r="J96" s="85">
        <f>IF('Small Signal'!$B$37&gt;=1,R96,O96)</f>
        <v>-15.991590506741575</v>
      </c>
      <c r="K96" s="85">
        <f>IF('Small Signal'!$B$37&gt;=1,Z96+0,W96+0)</f>
        <v>26.486251840608194</v>
      </c>
      <c r="L96" s="85">
        <f>IF('Small Signal'!$B$37&gt;=1,AA96,X96)</f>
        <v>91.7214914370956</v>
      </c>
      <c r="M96" s="85" t="str">
        <f>IMDIV(IMSUM('Small Signal'!$B$2*'Small Signal'!$B$16*'Small Signal'!$B$38,IMPRODUCT(H96,'Small Signal'!$B$2*'Small Signal'!$B$16*'Small Signal'!$B$38*'Small Signal'!$B$13*'Small Signal'!$B$14)),IMSUM(IMPRODUCT('Small Signal'!$B$11*'Small Signal'!$B$13*('Small Signal'!$B$14+'Small Signal'!$B$16),IMPOWER(H96,2)),IMSUM(IMPRODUCT(H96,('Small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21.0129940183689-6.02204148115525i</v>
      </c>
      <c r="N96" s="85">
        <f t="shared" si="15"/>
        <v>26.792560539200927</v>
      </c>
      <c r="O96" s="85">
        <f t="shared" si="16"/>
        <v>-15.991590506741575</v>
      </c>
      <c r="P96" s="85" t="str">
        <f>IMDIV(IMSUM('Small Signal'!$B$48,IMPRODUCT(H96,'Small Signal'!$B$49)),IMSUM(IMPRODUCT('Small Signal'!$B$52,IMPOWER(H96,2)),IMSUM(IMPRODUCT(H96,'Small Signal'!$B$51),'Small Signal'!$B$50)))</f>
        <v>39.4837567161319-8.99190958847858i</v>
      </c>
      <c r="Q96" s="85">
        <f t="shared" si="17"/>
        <v>32.14796571584389</v>
      </c>
      <c r="R96" s="85">
        <f t="shared" si="18"/>
        <v>-12.82955412266789</v>
      </c>
      <c r="S96" s="85" t="str">
        <f>IMPRODUCT(IMDIV(IMSUM(IMPRODUCT(H96,'Small Signal'!$B$33*'Small Signal'!$B$6*'Small Signal'!$B$27*'Small Signal'!$B$7*'Small Signal'!$B$8),'Small Signal'!$B$33*'Small Signal'!$B$6*'Small Signal'!$B$27),IMSUM(IMSUM(IMPRODUCT(H96,('Small Signal'!$B$5+'Small Signal'!$B$6)*('Small Signal'!$B$32*'Small Signal'!$B$33)+'Small Signal'!$B$5*'Small Signal'!$B$33*('Small Signal'!$B$8+'Small Signal'!$B$9)+'Small Signal'!$B$6*'Small Signal'!$B$33*('Small Signal'!$B$8+'Small Signal'!$B$9)+'Small Signal'!$B$7*'Small Signal'!$B$8*('Small Signal'!$B$5+'Small Signal'!$B$6)),'Small Signal'!$B$6+'Small Signal'!$B$5),IMPRODUCT(IMPOWER(H96,2),'Small Signal'!$B$32*'Small Signal'!$B$33*'Small Signal'!$B$8*'Small Signal'!$B$7*('Small Signal'!$B$5+'Small Signal'!$B$6)+('Small Signal'!$B$5+'Small Signal'!$B$6)*('Small Signal'!$B$9*'Small Signal'!$B$8*'Small Signal'!$B$33*'Small Signal'!$B$7)))),-1)</f>
        <v>-0.293708125852905+0.919584225152884i</v>
      </c>
      <c r="T96" s="85">
        <f t="shared" si="19"/>
        <v>-0.306308698592726</v>
      </c>
      <c r="U96" s="85">
        <f t="shared" si="20"/>
        <v>107.71308194383717</v>
      </c>
      <c r="V96" s="85" t="str">
        <f t="shared" si="21"/>
        <v>-0.633912742406757+21.0919403397625i</v>
      </c>
      <c r="W96" s="80">
        <f t="shared" si="22"/>
        <v>26.486251840608194</v>
      </c>
      <c r="X96" s="85">
        <f t="shared" si="23"/>
        <v>91.7214914370956</v>
      </c>
      <c r="Y96" s="85" t="str">
        <f t="shared" si="24"/>
        <v>-3.32788197516129+38.9496367389999i</v>
      </c>
      <c r="Z96" s="80">
        <f t="shared" si="25"/>
        <v>31.841657017251155</v>
      </c>
      <c r="AA96" s="85">
        <f t="shared" si="26"/>
        <v>94.88352782116928</v>
      </c>
    </row>
    <row r="97" spans="6:27" ht="12.75">
      <c r="F97" s="84">
        <v>95</v>
      </c>
      <c r="G97" s="85">
        <f>10^('Small Signal'!F97/30)</f>
        <v>1467.79926762207</v>
      </c>
      <c r="H97" s="85" t="str">
        <f t="shared" si="14"/>
        <v>9222.45479221195i</v>
      </c>
      <c r="I97" s="85">
        <f>IF('Small Signal'!$B$37&gt;=1,Q97+0,N97+0)</f>
        <v>26.742311372611955</v>
      </c>
      <c r="J97" s="85">
        <f>IF('Small Signal'!$B$37&gt;=1,R97,O97)</f>
        <v>-17.203022690344028</v>
      </c>
      <c r="K97" s="85">
        <f>IF('Small Signal'!$B$37&gt;=1,Z97+0,W97+0)</f>
        <v>25.83426442322211</v>
      </c>
      <c r="L97" s="85">
        <f>IF('Small Signal'!$B$37&gt;=1,AA97,X97)</f>
        <v>91.75252911642411</v>
      </c>
      <c r="M97" s="85" t="str">
        <f>IMDIV(IMSUM('Small Signal'!$B$2*'Small Signal'!$B$16*'Small Signal'!$B$38,IMPRODUCT(H97,'Small Signal'!$B$2*'Small Signal'!$B$16*'Small Signal'!$B$38*'Small Signal'!$B$13*'Small Signal'!$B$14)),IMSUM(IMPRODUCT('Small Signal'!$B$11*'Small Signal'!$B$13*('Small Signal'!$B$14+'Small Signal'!$B$16),IMPOWER(H97,2)),IMSUM(IMPRODUCT(H97,('Small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20.7605290364543-6.42765746175225i</v>
      </c>
      <c r="N97" s="85">
        <f t="shared" si="15"/>
        <v>26.742311372611955</v>
      </c>
      <c r="O97" s="85">
        <f t="shared" si="16"/>
        <v>-17.203022690344028</v>
      </c>
      <c r="P97" s="85" t="str">
        <f>IMDIV(IMSUM('Small Signal'!$B$48,IMPRODUCT(H97,'Small Signal'!$B$49)),IMSUM(IMPRODUCT('Small Signal'!$B$52,IMPOWER(H97,2)),IMSUM(IMPRODUCT(H97,'Small Signal'!$B$51),'Small Signal'!$B$50)))</f>
        <v>39.2161743105751-9.65817277645323i</v>
      </c>
      <c r="Q97" s="85">
        <f t="shared" si="17"/>
        <v>32.12504185301333</v>
      </c>
      <c r="R97" s="85">
        <f t="shared" si="18"/>
        <v>-13.835484327573454</v>
      </c>
      <c r="S97" s="85" t="str">
        <f>IMPRODUCT(IMDIV(IMSUM(IMPRODUCT(H97,'Small Signal'!$B$33*'Small Signal'!$B$6*'Small Signal'!$B$27*'Small Signal'!$B$7*'Small Signal'!$B$8),'Small Signal'!$B$33*'Small Signal'!$B$6*'Small Signal'!$B$27),IMSUM(IMSUM(IMPRODUCT(H97,('Small Signal'!$B$5+'Small Signal'!$B$6)*('Small Signal'!$B$32*'Small Signal'!$B$33)+'Small Signal'!$B$5*'Small Signal'!$B$33*('Small Signal'!$B$8+'Small Signal'!$B$9)+'Small Signal'!$B$6*'Small Signal'!$B$33*('Small Signal'!$B$8+'Small Signal'!$B$9)+'Small Signal'!$B$7*'Small Signal'!$B$8*('Small Signal'!$B$5+'Small Signal'!$B$6)),'Small Signal'!$B$6+'Small Signal'!$B$5),IMPRODUCT(IMPOWER(H97,2),'Small Signal'!$B$32*'Small Signal'!$B$33*'Small Signal'!$B$8*'Small Signal'!$B$7*('Small Signal'!$B$5+'Small Signal'!$B$6)+('Small Signal'!$B$5+'Small Signal'!$B$6)*('Small Signal'!$B$9*'Small Signal'!$B$8*'Small Signal'!$B$33*'Small Signal'!$B$7)))),-1)</f>
        <v>-0.292590265803976+0.851890116565807i</v>
      </c>
      <c r="T97" s="85">
        <f t="shared" si="19"/>
        <v>-0.9080469493898536</v>
      </c>
      <c r="U97" s="85">
        <f t="shared" si="20"/>
        <v>108.95555180676816</v>
      </c>
      <c r="V97" s="85" t="str">
        <f t="shared" si="21"/>
        <v>-0.598670844670122+19.5663595060639i</v>
      </c>
      <c r="W97" s="80">
        <f t="shared" si="22"/>
        <v>25.83426442322211</v>
      </c>
      <c r="X97" s="85">
        <f t="shared" si="23"/>
        <v>91.75252911642411</v>
      </c>
      <c r="Y97" s="85" t="str">
        <f t="shared" si="24"/>
        <v>-3.24656893300078+36.233758644544i</v>
      </c>
      <c r="Z97" s="80">
        <f t="shared" si="25"/>
        <v>31.216994903623473</v>
      </c>
      <c r="AA97" s="85">
        <f t="shared" si="26"/>
        <v>95.1200674791947</v>
      </c>
    </row>
    <row r="98" spans="6:27" ht="12.75">
      <c r="F98" s="84">
        <v>96</v>
      </c>
      <c r="G98" s="85">
        <f>10^('Small Signal'!F98/30)</f>
        <v>1584.8931924611156</v>
      </c>
      <c r="H98" s="85" t="str">
        <f t="shared" si="14"/>
        <v>9958.17762032063i</v>
      </c>
      <c r="I98" s="85">
        <f>IF('Small Signal'!$B$37&gt;=1,Q98+0,N98+0)</f>
        <v>26.68444694211539</v>
      </c>
      <c r="J98" s="85">
        <f>IF('Small Signal'!$B$37&gt;=1,R98,O98)</f>
        <v>-18.49565167809997</v>
      </c>
      <c r="K98" s="85">
        <f>IF('Small Signal'!$B$37&gt;=1,Z98+0,W98+0)</f>
        <v>25.184215625476504</v>
      </c>
      <c r="L98" s="85">
        <f>IF('Small Signal'!$B$37&gt;=1,AA98,X98)</f>
        <v>91.78466122898082</v>
      </c>
      <c r="M98" s="85" t="str">
        <f>IMDIV(IMSUM('Small Signal'!$B$2*'Small Signal'!$B$16*'Small Signal'!$B$38,IMPRODUCT(H98,'Small Signal'!$B$2*'Small Signal'!$B$16*'Small Signal'!$B$38*'Small Signal'!$B$13*'Small Signal'!$B$14)),IMSUM(IMPRODUCT('Small Signal'!$B$11*'Small Signal'!$B$13*('Small Signal'!$B$14+'Small Signal'!$B$16),IMPOWER(H98,2)),IMSUM(IMPRODUCT(H98,('Small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20.4733993471817-6.84857590985103i</v>
      </c>
      <c r="N98" s="85">
        <f t="shared" si="15"/>
        <v>26.68444694211539</v>
      </c>
      <c r="O98" s="85">
        <f t="shared" si="16"/>
        <v>-18.49565167809997</v>
      </c>
      <c r="P98" s="85" t="str">
        <f>IMDIV(IMSUM('Small Signal'!$B$48,IMPRODUCT(H98,'Small Signal'!$B$49)),IMSUM(IMPRODUCT('Small Signal'!$B$52,IMPOWER(H98,2)),IMSUM(IMPRODUCT(H98,'Small Signal'!$B$51),'Small Signal'!$B$50)))</f>
        <v>38.90751057638-10.3650341269636i</v>
      </c>
      <c r="Q98" s="85">
        <f t="shared" si="17"/>
        <v>32.098441792724465</v>
      </c>
      <c r="R98" s="85">
        <f t="shared" si="18"/>
        <v>-14.917252524555096</v>
      </c>
      <c r="S98" s="85" t="str">
        <f>IMPRODUCT(IMDIV(IMSUM(IMPRODUCT(H98,'Small Signal'!$B$33*'Small Signal'!$B$6*'Small Signal'!$B$27*'Small Signal'!$B$7*'Small Signal'!$B$8),'Small Signal'!$B$33*'Small Signal'!$B$6*'Small Signal'!$B$27),IMSUM(IMSUM(IMPRODUCT(H98,('Small Signal'!$B$5+'Small Signal'!$B$6)*('Small Signal'!$B$32*'Small Signal'!$B$33)+'Small Signal'!$B$5*'Small Signal'!$B$33*('Small Signal'!$B$8+'Small Signal'!$B$9)+'Small Signal'!$B$6*'Small Signal'!$B$33*('Small Signal'!$B$8+'Small Signal'!$B$9)+'Small Signal'!$B$7*'Small Signal'!$B$8*('Small Signal'!$B$5+'Small Signal'!$B$6)),'Small Signal'!$B$6+'Small Signal'!$B$5),IMPRODUCT(IMPOWER(H98,2),'Small Signal'!$B$32*'Small Signal'!$B$33*'Small Signal'!$B$8*'Small Signal'!$B$7*('Small Signal'!$B$5+'Small Signal'!$B$6)+('Small Signal'!$B$5+'Small Signal'!$B$6)*('Small Signal'!$B$9*'Small Signal'!$B$8*'Small Signal'!$B$33*'Small Signal'!$B$7)))),-1)</f>
        <v>-0.291631037374218+0.789214429909835i</v>
      </c>
      <c r="T98" s="85">
        <f t="shared" si="19"/>
        <v>-1.5002313166388745</v>
      </c>
      <c r="U98" s="85">
        <f t="shared" si="20"/>
        <v>110.2803129070808</v>
      </c>
      <c r="V98" s="85" t="str">
        <f t="shared" si="21"/>
        <v>-0.565683757807927+18.1551594912283i</v>
      </c>
      <c r="W98" s="80">
        <f t="shared" si="22"/>
        <v>25.184215625476504</v>
      </c>
      <c r="X98" s="85">
        <f t="shared" si="23"/>
        <v>91.78466122898082</v>
      </c>
      <c r="Y98" s="85" t="str">
        <f t="shared" si="24"/>
        <v>-3.1664031715305+33.7291344336142i</v>
      </c>
      <c r="Z98" s="80">
        <f t="shared" si="25"/>
        <v>30.59821047608559</v>
      </c>
      <c r="AA98" s="85">
        <f t="shared" si="26"/>
        <v>95.3630603825257</v>
      </c>
    </row>
    <row r="99" spans="6:27" ht="12.75">
      <c r="F99" s="84">
        <v>97</v>
      </c>
      <c r="G99" s="85">
        <f>10^('Small Signal'!F99/30)</f>
        <v>1711.3283041617822</v>
      </c>
      <c r="H99" s="85" t="str">
        <f t="shared" si="14"/>
        <v>10752.5928564699i</v>
      </c>
      <c r="I99" s="85">
        <f>IF('Small Signal'!$B$37&gt;=1,Q99+0,N99+0)</f>
        <v>26.617937242438497</v>
      </c>
      <c r="J99" s="85">
        <f>IF('Small Signal'!$B$37&gt;=1,R99,O99)</f>
        <v>-19.87246863696431</v>
      </c>
      <c r="K99" s="85">
        <f>IF('Small Signal'!$B$37&gt;=1,Z99+0,W99+0)</f>
        <v>24.536285135397527</v>
      </c>
      <c r="L99" s="85">
        <f>IF('Small Signal'!$B$37&gt;=1,AA99,X99)</f>
        <v>91.81620936490965</v>
      </c>
      <c r="M99" s="85" t="str">
        <f>IMDIV(IMSUM('Small Signal'!$B$2*'Small Signal'!$B$16*'Small Signal'!$B$38,IMPRODUCT(H99,'Small Signal'!$B$2*'Small Signal'!$B$16*'Small Signal'!$B$38*'Small Signal'!$B$13*'Small Signal'!$B$14)),IMSUM(IMPRODUCT('Small Signal'!$B$11*'Small Signal'!$B$13*('Small Signal'!$B$14+'Small Signal'!$B$16),IMPOWER(H99,2)),IMSUM(IMPRODUCT(H99,('Small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20.1480630080541-7.28254883435904i</v>
      </c>
      <c r="N99" s="85">
        <f t="shared" si="15"/>
        <v>26.617937242438497</v>
      </c>
      <c r="O99" s="85">
        <f t="shared" si="16"/>
        <v>-19.87246863696431</v>
      </c>
      <c r="P99" s="85" t="str">
        <f>IMDIV(IMSUM('Small Signal'!$B$48,IMPRODUCT(H99,'Small Signal'!$B$49)),IMSUM(IMPRODUCT('Small Signal'!$B$52,IMPOWER(H99,2)),IMSUM(IMPRODUCT(H99,'Small Signal'!$B$51),'Small Signal'!$B$50)))</f>
        <v>38.552065150189-11.1127788957293i</v>
      </c>
      <c r="Q99" s="85">
        <f t="shared" si="17"/>
        <v>32.06759939764447</v>
      </c>
      <c r="R99" s="85">
        <f t="shared" si="18"/>
        <v>-16.07982700968836</v>
      </c>
      <c r="S99" s="85" t="str">
        <f>IMPRODUCT(IMDIV(IMSUM(IMPRODUCT(H99,'Small Signal'!$B$33*'Small Signal'!$B$6*'Small Signal'!$B$27*'Small Signal'!$B$7*'Small Signal'!$B$8),'Small Signal'!$B$33*'Small Signal'!$B$6*'Small Signal'!$B$27),IMSUM(IMSUM(IMPRODUCT(H99,('Small Signal'!$B$5+'Small Signal'!$B$6)*('Small Signal'!$B$32*'Small Signal'!$B$33)+'Small Signal'!$B$5*'Small Signal'!$B$33*('Small Signal'!$B$8+'Small Signal'!$B$9)+'Small Signal'!$B$6*'Small Signal'!$B$33*('Small Signal'!$B$8+'Small Signal'!$B$9)+'Small Signal'!$B$7*'Small Signal'!$B$8*('Small Signal'!$B$5+'Small Signal'!$B$6)),'Small Signal'!$B$6+'Small Signal'!$B$5),IMPRODUCT(IMPOWER(H99,2),'Small Signal'!$B$32*'Small Signal'!$B$33*'Small Signal'!$B$8*'Small Signal'!$B$7*('Small Signal'!$B$5+'Small Signal'!$B$6)+('Small Signal'!$B$5+'Small Signal'!$B$6)*('Small Signal'!$B$9*'Small Signal'!$B$8*'Small Signal'!$B$33*'Small Signal'!$B$7)))),-1)</f>
        <v>-0.290807800856879+0.731188279595149i</v>
      </c>
      <c r="T99" s="85">
        <f t="shared" si="19"/>
        <v>-2.0816521070409575</v>
      </c>
      <c r="U99" s="85">
        <f t="shared" si="20"/>
        <v>111.68867800187395</v>
      </c>
      <c r="V99" s="85" t="str">
        <f t="shared" si="21"/>
        <v>-0.534299541635403+16.8498495391865i</v>
      </c>
      <c r="W99" s="80">
        <f t="shared" si="22"/>
        <v>24.536285135397527</v>
      </c>
      <c r="X99" s="85">
        <f t="shared" si="23"/>
        <v>91.81620936490965</v>
      </c>
      <c r="Y99" s="85" t="str">
        <f t="shared" si="24"/>
        <v>-3.085707602528+31.4205009840826i</v>
      </c>
      <c r="Z99" s="80">
        <f t="shared" si="25"/>
        <v>29.98594729060352</v>
      </c>
      <c r="AA99" s="85">
        <f t="shared" si="26"/>
        <v>95.60885099218558</v>
      </c>
    </row>
    <row r="100" spans="6:27" ht="12.75">
      <c r="F100" s="84">
        <v>98</v>
      </c>
      <c r="G100" s="85">
        <f>10^('Small Signal'!F100/30)</f>
        <v>1847.8497974222912</v>
      </c>
      <c r="H100" s="85" t="str">
        <f t="shared" si="14"/>
        <v>11610.3826970385i</v>
      </c>
      <c r="I100" s="85">
        <f>IF('Small Signal'!$B$37&gt;=1,Q100+0,N100+0)</f>
        <v>26.541651863245377</v>
      </c>
      <c r="J100" s="85">
        <f>IF('Small Signal'!$B$37&gt;=1,R100,O100)</f>
        <v>-21.336008739809305</v>
      </c>
      <c r="K100" s="85">
        <f>IF('Small Signal'!$B$37&gt;=1,Z100+0,W100+0)</f>
        <v>23.89064474881089</v>
      </c>
      <c r="L100" s="85">
        <f>IF('Small Signal'!$B$37&gt;=1,AA100,X100)</f>
        <v>91.84520340713057</v>
      </c>
      <c r="M100" s="85" t="str">
        <f>IMDIV(IMSUM('Small Signal'!$B$2*'Small Signal'!$B$16*'Small Signal'!$B$38,IMPRODUCT(H100,'Small Signal'!$B$2*'Small Signal'!$B$16*'Small Signal'!$B$38*'Small Signal'!$B$13*'Small Signal'!$B$14)),IMSUM(IMPRODUCT('Small Signal'!$B$11*'Small Signal'!$B$13*('Small Signal'!$B$14+'Small Signal'!$B$16),IMPOWER(H100,2)),IMSUM(IMPRODUCT(H100,('Small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19.7809928178127-7.72661186685768i</v>
      </c>
      <c r="N100" s="85">
        <f t="shared" si="15"/>
        <v>26.541651863245377</v>
      </c>
      <c r="O100" s="85">
        <f t="shared" si="16"/>
        <v>-21.336008739809305</v>
      </c>
      <c r="P100" s="85" t="str">
        <f>IMDIV(IMSUM('Small Signal'!$B$48,IMPRODUCT(H100,'Small Signal'!$B$49)),IMSUM(IMPRODUCT('Small Signal'!$B$52,IMPOWER(H100,2)),IMSUM(IMPRODUCT(H100,'Small Signal'!$B$51),'Small Signal'!$B$50)))</f>
        <v>38.1435515471962-11.9010782200123i</v>
      </c>
      <c r="Q100" s="85">
        <f t="shared" si="17"/>
        <v>32.03186927410921</v>
      </c>
      <c r="R100" s="85">
        <f t="shared" si="18"/>
        <v>-17.328318933414895</v>
      </c>
      <c r="S100" s="85" t="str">
        <f>IMPRODUCT(IMDIV(IMSUM(IMPRODUCT(H100,'Small Signal'!$B$33*'Small Signal'!$B$6*'Small Signal'!$B$27*'Small Signal'!$B$7*'Small Signal'!$B$8),'Small Signal'!$B$33*'Small Signal'!$B$6*'Small Signal'!$B$27),IMSUM(IMSUM(IMPRODUCT(H100,('Small Signal'!$B$5+'Small Signal'!$B$6)*('Small Signal'!$B$32*'Small Signal'!$B$33)+'Small Signal'!$B$5*'Small Signal'!$B$33*('Small Signal'!$B$8+'Small Signal'!$B$9)+'Small Signal'!$B$6*'Small Signal'!$B$33*('Small Signal'!$B$8+'Small Signal'!$B$9)+'Small Signal'!$B$7*'Small Signal'!$B$8*('Small Signal'!$B$5+'Small Signal'!$B$6)),'Small Signal'!$B$6+'Small Signal'!$B$5),IMPRODUCT(IMPOWER(H100,2),'Small Signal'!$B$32*'Small Signal'!$B$33*'Small Signal'!$B$8*'Small Signal'!$B$7*('Small Signal'!$B$5+'Small Signal'!$B$6)+('Small Signal'!$B$5+'Small Signal'!$B$6)*('Small Signal'!$B$9*'Small Signal'!$B$8*'Small Signal'!$B$33*'Small Signal'!$B$7)))),-1)</f>
        <v>-0.290101125255165+0.677470077038058i</v>
      </c>
      <c r="T100" s="85">
        <f t="shared" si="19"/>
        <v>-2.6510071144345075</v>
      </c>
      <c r="U100" s="85">
        <f t="shared" si="20"/>
        <v>113.18121214693988</v>
      </c>
      <c r="V100" s="85" t="str">
        <f t="shared" si="21"/>
        <v>-0.503939938428556+15.6425295251582i</v>
      </c>
      <c r="W100" s="80">
        <f t="shared" si="22"/>
        <v>23.89064474881089</v>
      </c>
      <c r="X100" s="85">
        <f t="shared" si="23"/>
        <v>91.84520340713057</v>
      </c>
      <c r="Y100" s="85" t="str">
        <f t="shared" si="24"/>
        <v>-3.00286284652232+29.2936309885594i</v>
      </c>
      <c r="Z100" s="80">
        <f t="shared" si="25"/>
        <v>29.380862159674685</v>
      </c>
      <c r="AA100" s="85">
        <f t="shared" si="26"/>
        <v>95.852893213525</v>
      </c>
    </row>
    <row r="101" spans="6:27" ht="12.75">
      <c r="F101" s="84">
        <v>99</v>
      </c>
      <c r="G101" s="85">
        <f>10^('Small Signal'!F101/30)</f>
        <v>1995.2623149688804</v>
      </c>
      <c r="H101" s="85" t="str">
        <f t="shared" si="14"/>
        <v>12536.6028613816i</v>
      </c>
      <c r="I101" s="85">
        <f>IF('Small Signal'!$B$37&gt;=1,Q101+0,N101+0)</f>
        <v>26.45436209515385</v>
      </c>
      <c r="J101" s="85">
        <f>IF('Small Signal'!$B$37&gt;=1,R101,O101)</f>
        <v>-22.88821290789295</v>
      </c>
      <c r="K101" s="85">
        <f>IF('Small Signal'!$B$37&gt;=1,Z101+0,W101+0)</f>
        <v>23.2474499337081</v>
      </c>
      <c r="L101" s="85">
        <f>IF('Small Signal'!$B$37&gt;=1,AA101,X101)</f>
        <v>91.86935886094736</v>
      </c>
      <c r="M101" s="85" t="str">
        <f>IMDIV(IMSUM('Small Signal'!$B$2*'Small Signal'!$B$16*'Small Signal'!$B$38,IMPRODUCT(H101,'Small Signal'!$B$2*'Small Signal'!$B$16*'Small Signal'!$B$38*'Small Signal'!$B$13*'Small Signal'!$B$14)),IMSUM(IMPRODUCT('Small Signal'!$B$11*'Small Signal'!$B$13*('Small Signal'!$B$14+'Small Signal'!$B$16),IMPOWER(H101,2)),IMSUM(IMPRODUCT(H101,('Small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19.3688075210835-8.17700941299214i</v>
      </c>
      <c r="N101" s="85">
        <f t="shared" si="15"/>
        <v>26.45436209515385</v>
      </c>
      <c r="O101" s="85">
        <f t="shared" si="16"/>
        <v>-22.88821290789295</v>
      </c>
      <c r="P101" s="85" t="str">
        <f>IMDIV(IMSUM('Small Signal'!$B$48,IMPRODUCT(H101,'Small Signal'!$B$49)),IMSUM(IMPRODUCT('Small Signal'!$B$52,IMPOWER(H101,2)),IMSUM(IMPRODUCT(H101,'Small Signal'!$B$51),'Small Signal'!$B$50)))</f>
        <v>37.6751072928069-12.7288278305039i</v>
      </c>
      <c r="Q101" s="85">
        <f t="shared" si="17"/>
        <v>31.99051831666949</v>
      </c>
      <c r="R101" s="85">
        <f t="shared" si="18"/>
        <v>-18.66793943592776</v>
      </c>
      <c r="S101" s="85" t="str">
        <f>IMPRODUCT(IMDIV(IMSUM(IMPRODUCT(H101,'Small Signal'!$B$33*'Small Signal'!$B$6*'Small Signal'!$B$27*'Small Signal'!$B$7*'Small Signal'!$B$8),'Small Signal'!$B$33*'Small Signal'!$B$6*'Small Signal'!$B$27),IMSUM(IMSUM(IMPRODUCT(H101,('Small Signal'!$B$5+'Small Signal'!$B$6)*('Small Signal'!$B$32*'Small Signal'!$B$33)+'Small Signal'!$B$5*'Small Signal'!$B$33*('Small Signal'!$B$8+'Small Signal'!$B$9)+'Small Signal'!$B$6*'Small Signal'!$B$33*('Small Signal'!$B$8+'Small Signal'!$B$9)+'Small Signal'!$B$7*'Small Signal'!$B$8*('Small Signal'!$B$5+'Small Signal'!$B$6)),'Small Signal'!$B$6+'Small Signal'!$B$5),IMPRODUCT(IMPOWER(H101,2),'Small Signal'!$B$32*'Small Signal'!$B$33*'Small Signal'!$B$8*'Small Signal'!$B$7*('Small Signal'!$B$5+'Small Signal'!$B$6)+('Small Signal'!$B$5+'Small Signal'!$B$6)*('Small Signal'!$B$9*'Small Signal'!$B$8*'Small Signal'!$B$33*'Small Signal'!$B$7)))),-1)</f>
        <v>-0.289494330067489+0.627743539262665i</v>
      </c>
      <c r="T101" s="85">
        <f t="shared" si="19"/>
        <v>-3.206912161445751</v>
      </c>
      <c r="U101" s="85">
        <f t="shared" si="20"/>
        <v>114.7575717688403</v>
      </c>
      <c r="V101" s="85" t="str">
        <f t="shared" si="21"/>
        <v>-0.474095128026397+14.525841646552i</v>
      </c>
      <c r="W101" s="80">
        <f t="shared" si="22"/>
        <v>23.2474499337081</v>
      </c>
      <c r="X101" s="85">
        <f t="shared" si="23"/>
        <v>91.86935886094736</v>
      </c>
      <c r="Y101" s="85" t="str">
        <f t="shared" si="24"/>
        <v>-2.91629051296627+27.3352286794234i</v>
      </c>
      <c r="Z101" s="80">
        <f t="shared" si="25"/>
        <v>28.783606155223744</v>
      </c>
      <c r="AA101" s="85">
        <f t="shared" si="26"/>
        <v>96.08963233291253</v>
      </c>
    </row>
    <row r="102" spans="6:27" ht="12.75">
      <c r="F102" s="84">
        <v>100</v>
      </c>
      <c r="G102" s="85">
        <f>10^('Small Signal'!F102/30)</f>
        <v>2154.434690031885</v>
      </c>
      <c r="H102" s="85" t="str">
        <f t="shared" si="14"/>
        <v>13536.7123896863i</v>
      </c>
      <c r="I102" s="85">
        <f>IF('Small Signal'!$B$37&gt;=1,Q102+0,N102+0)</f>
        <v>26.35474718348148</v>
      </c>
      <c r="J102" s="85">
        <f>IF('Small Signal'!$B$37&gt;=1,R102,O102)</f>
        <v>-24.53027758474619</v>
      </c>
      <c r="K102" s="85">
        <f>IF('Small Signal'!$B$37&gt;=1,Z102+0,W102+0)</f>
        <v>22.606829763658837</v>
      </c>
      <c r="L102" s="85">
        <f>IF('Small Signal'!$B$37&gt;=1,AA102,X102)</f>
        <v>91.88606502642502</v>
      </c>
      <c r="M102" s="85" t="str">
        <f>IMDIV(IMSUM('Small Signal'!$B$2*'Small Signal'!$B$16*'Small Signal'!$B$38,IMPRODUCT(H102,'Small Signal'!$B$2*'Small Signal'!$B$16*'Small Signal'!$B$38*'Small Signal'!$B$13*'Small Signal'!$B$14)),IMSUM(IMPRODUCT('Small Signal'!$B$11*'Small Signal'!$B$13*('Small Signal'!$B$14+'Small Signal'!$B$16),IMPOWER(H102,2)),IMSUM(IMPRODUCT(H102,('Small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18.9084358851389-8.62914084389238i</v>
      </c>
      <c r="N102" s="85">
        <f t="shared" si="15"/>
        <v>26.35474718348148</v>
      </c>
      <c r="O102" s="85">
        <f t="shared" si="16"/>
        <v>-24.53027758474619</v>
      </c>
      <c r="P102" s="85" t="str">
        <f>IMDIV(IMSUM('Small Signal'!$B$48,IMPRODUCT(H102,'Small Signal'!$B$49)),IMSUM(IMPRODUCT('Small Signal'!$B$52,IMPOWER(H102,2)),IMSUM(IMPRODUCT(H102,'Small Signal'!$B$51),'Small Signal'!$B$50)))</f>
        <v>37.1393332698525-13.5939648771161i</v>
      </c>
      <c r="Q102" s="85">
        <f t="shared" si="17"/>
        <v>31.94271723240893</v>
      </c>
      <c r="R102" s="85">
        <f t="shared" si="18"/>
        <v>-20.10394394485491</v>
      </c>
      <c r="S102" s="85" t="str">
        <f>IMPRODUCT(IMDIV(IMSUM(IMPRODUCT(H102,'Small Signal'!$B$33*'Small Signal'!$B$6*'Small Signal'!$B$27*'Small Signal'!$B$7*'Small Signal'!$B$8),'Small Signal'!$B$33*'Small Signal'!$B$6*'Small Signal'!$B$27),IMSUM(IMSUM(IMPRODUCT(H102,('Small Signal'!$B$5+'Small Signal'!$B$6)*('Small Signal'!$B$32*'Small Signal'!$B$33)+'Small Signal'!$B$5*'Small Signal'!$B$33*('Small Signal'!$B$8+'Small Signal'!$B$9)+'Small Signal'!$B$6*'Small Signal'!$B$33*('Small Signal'!$B$8+'Small Signal'!$B$9)+'Small Signal'!$B$7*'Small Signal'!$B$8*('Small Signal'!$B$5+'Small Signal'!$B$6)),'Small Signal'!$B$6+'Small Signal'!$B$5),IMPRODUCT(IMPOWER(H102,2),'Small Signal'!$B$32*'Small Signal'!$B$33*'Small Signal'!$B$8*'Small Signal'!$B$7*('Small Signal'!$B$5+'Small Signal'!$B$6)+('Small Signal'!$B$5+'Small Signal'!$B$6)*('Small Signal'!$B$9*'Small Signal'!$B$8*'Small Signal'!$B$33*'Small Signal'!$B$7)))),-1)</f>
        <v>-0.28897309186628+0.58171584212968i</v>
      </c>
      <c r="T102" s="85">
        <f t="shared" si="19"/>
        <v>-3.747917419822632</v>
      </c>
      <c r="U102" s="85">
        <f t="shared" si="20"/>
        <v>116.41634261117119</v>
      </c>
      <c r="V102" s="85" t="str">
        <f t="shared" si="21"/>
        <v>-0.444321247223436+13.4929262140878i</v>
      </c>
      <c r="W102" s="80">
        <f t="shared" si="22"/>
        <v>22.606829763658837</v>
      </c>
      <c r="X102" s="85">
        <f t="shared" si="23"/>
        <v>91.88606502642502</v>
      </c>
      <c r="Y102" s="85" t="str">
        <f t="shared" si="24"/>
        <v>-2.82444323846859+25.5328285904689i</v>
      </c>
      <c r="Z102" s="80">
        <f t="shared" si="25"/>
        <v>28.194799812586282</v>
      </c>
      <c r="AA102" s="85">
        <f t="shared" si="26"/>
        <v>96.31239866631628</v>
      </c>
    </row>
    <row r="103" spans="6:27" ht="12.75">
      <c r="F103" s="84">
        <v>101</v>
      </c>
      <c r="G103" s="85">
        <f>10^('Small Signal'!F103/30)</f>
        <v>2326.3050671536284</v>
      </c>
      <c r="H103" s="85" t="str">
        <f t="shared" si="14"/>
        <v>14616.6058179571i</v>
      </c>
      <c r="I103" s="85">
        <f>IF('Small Signal'!$B$37&gt;=1,Q103+0,N103+0)</f>
        <v>26.24140564210849</v>
      </c>
      <c r="J103" s="85">
        <f>IF('Small Signal'!$B$37&gt;=1,R103,O103)</f>
        <v>-26.26249755068448</v>
      </c>
      <c r="K103" s="85">
        <f>IF('Small Signal'!$B$37&gt;=1,Z103+0,W103+0)</f>
        <v>21.968875496132604</v>
      </c>
      <c r="L103" s="85">
        <f>IF('Small Signal'!$B$37&gt;=1,AA103,X103)</f>
        <v>91.89238841724222</v>
      </c>
      <c r="M103" s="85" t="str">
        <f>IMDIV(IMSUM('Small Signal'!$B$2*'Small Signal'!$B$16*'Small Signal'!$B$38,IMPRODUCT(H103,'Small Signal'!$B$2*'Small Signal'!$B$16*'Small Signal'!$B$38*'Small Signal'!$B$13*'Small Signal'!$B$14)),IMSUM(IMPRODUCT('Small Signal'!$B$11*'Small Signal'!$B$13*('Small Signal'!$B$14+'Small Signal'!$B$16),IMPOWER(H103,2)),IMSUM(IMPRODUCT(H103,('Small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18.3973122064825-9.0775396901361i</v>
      </c>
      <c r="N103" s="85">
        <f t="shared" si="15"/>
        <v>26.24140564210849</v>
      </c>
      <c r="O103" s="85">
        <f t="shared" si="16"/>
        <v>-26.26249755068448</v>
      </c>
      <c r="P103" s="85" t="str">
        <f>IMDIV(IMSUM('Small Signal'!$B$48,IMPRODUCT(H103,'Small Signal'!$B$49)),IMSUM(IMPRODUCT('Small Signal'!$B$52,IMPOWER(H103,2)),IMSUM(IMPRODUCT(H103,'Small Signal'!$B$51),'Small Signal'!$B$50)))</f>
        <v>36.5283718412768-14.4932654368314i</v>
      </c>
      <c r="Q103" s="85">
        <f t="shared" si="17"/>
        <v>31.887532386657277</v>
      </c>
      <c r="R103" s="85">
        <f t="shared" si="18"/>
        <v>-21.641561907612058</v>
      </c>
      <c r="S103" s="85" t="str">
        <f>IMPRODUCT(IMDIV(IMSUM(IMPRODUCT(H103,'Small Signal'!$B$33*'Small Signal'!$B$6*'Small Signal'!$B$27*'Small Signal'!$B$7*'Small Signal'!$B$8),'Small Signal'!$B$33*'Small Signal'!$B$6*'Small Signal'!$B$27),IMSUM(IMSUM(IMPRODUCT(H103,('Small Signal'!$B$5+'Small Signal'!$B$6)*('Small Signal'!$B$32*'Small Signal'!$B$33)+'Small Signal'!$B$5*'Small Signal'!$B$33*('Small Signal'!$B$8+'Small Signal'!$B$9)+'Small Signal'!$B$6*'Small Signal'!$B$33*('Small Signal'!$B$8+'Small Signal'!$B$9)+'Small Signal'!$B$7*'Small Signal'!$B$8*('Small Signal'!$B$5+'Small Signal'!$B$6)),'Small Signal'!$B$6+'Small Signal'!$B$5),IMPRODUCT(IMPOWER(H103,2),'Small Signal'!$B$32*'Small Signal'!$B$33*'Small Signal'!$B$8*'Small Signal'!$B$7*('Small Signal'!$B$5+'Small Signal'!$B$6)+('Small Signal'!$B$5+'Small Signal'!$B$6)*('Small Signal'!$B$9*'Small Signal'!$B$8*'Small Signal'!$B$33*'Small Signal'!$B$7)))),-1)</f>
        <v>-0.288525106420402+0.539115908231212i</v>
      </c>
      <c r="T103" s="85">
        <f t="shared" si="19"/>
        <v>-4.272530145975871</v>
      </c>
      <c r="U103" s="85">
        <f t="shared" si="20"/>
        <v>118.15488596792672</v>
      </c>
      <c r="V103" s="85" t="str">
        <f t="shared" si="21"/>
        <v>-0.414240407672126+12.5373817843429i</v>
      </c>
      <c r="W103" s="80">
        <f t="shared" si="22"/>
        <v>21.968875496132604</v>
      </c>
      <c r="X103" s="85">
        <f t="shared" si="23"/>
        <v>91.89238841724222</v>
      </c>
      <c r="Y103" s="85" t="str">
        <f t="shared" si="24"/>
        <v>-2.72580241365501+23.8746973139583i</v>
      </c>
      <c r="Z103" s="80">
        <f t="shared" si="25"/>
        <v>27.615002240681413</v>
      </c>
      <c r="AA103" s="85">
        <f t="shared" si="26"/>
        <v>96.51332406031464</v>
      </c>
    </row>
    <row r="104" spans="6:27" ht="12.75">
      <c r="F104" s="84">
        <v>102</v>
      </c>
      <c r="G104" s="85">
        <f>10^('Small Signal'!F104/30)</f>
        <v>2511.886431509581</v>
      </c>
      <c r="H104" s="85" t="str">
        <f t="shared" si="14"/>
        <v>15782.6479197648i</v>
      </c>
      <c r="I104" s="85">
        <f>IF('Small Signal'!$B$37&gt;=1,Q104+0,N104+0)</f>
        <v>26.112872443254666</v>
      </c>
      <c r="J104" s="85">
        <f>IF('Small Signal'!$B$37&gt;=1,R104,O104)</f>
        <v>-28.08410914273106</v>
      </c>
      <c r="K104" s="85">
        <f>IF('Small Signal'!$B$37&gt;=1,Z104+0,W104+0)</f>
        <v>21.333628334809696</v>
      </c>
      <c r="L104" s="85">
        <f>IF('Small Signal'!$B$37&gt;=1,AA104,X104)</f>
        <v>91.88509578222663</v>
      </c>
      <c r="M104" s="85" t="str">
        <f>IMDIV(IMSUM('Small Signal'!$B$2*'Small Signal'!$B$16*'Small Signal'!$B$38,IMPRODUCT(H104,'Small Signal'!$B$2*'Small Signal'!$B$16*'Small Signal'!$B$38*'Small Signal'!$B$13*'Small Signal'!$B$14)),IMSUM(IMPRODUCT('Small Signal'!$B$11*'Small Signal'!$B$13*('Small Signal'!$B$14+'Small Signal'!$B$16),IMPOWER(H104,2)),IMSUM(IMPRODUCT(H104,('Small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17.8335976632005-9.51589902902823i</v>
      </c>
      <c r="N104" s="85">
        <f t="shared" si="15"/>
        <v>26.112872443254666</v>
      </c>
      <c r="O104" s="85">
        <f t="shared" si="16"/>
        <v>-28.08410914273106</v>
      </c>
      <c r="P104" s="85" t="str">
        <f>IMDIV(IMSUM('Small Signal'!$B$48,IMPRODUCT(H104,'Small Signal'!$B$49)),IMSUM(IMPRODUCT('Small Signal'!$B$52,IMPOWER(H104,2)),IMSUM(IMPRODUCT(H104,'Small Signal'!$B$51),'Small Signal'!$B$50)))</f>
        <v>35.8340344536569-15.4221281870339i</v>
      </c>
      <c r="Q104" s="85">
        <f t="shared" si="17"/>
        <v>31.82391842256535</v>
      </c>
      <c r="R104" s="85">
        <f t="shared" si="18"/>
        <v>-23.28591046726675</v>
      </c>
      <c r="S104" s="85" t="str">
        <f>IMPRODUCT(IMDIV(IMSUM(IMPRODUCT(H104,'Small Signal'!$B$33*'Small Signal'!$B$6*'Small Signal'!$B$27*'Small Signal'!$B$7*'Small Signal'!$B$8),'Small Signal'!$B$33*'Small Signal'!$B$6*'Small Signal'!$B$27),IMSUM(IMSUM(IMPRODUCT(H104,('Small Signal'!$B$5+'Small Signal'!$B$6)*('Small Signal'!$B$32*'Small Signal'!$B$33)+'Small Signal'!$B$5*'Small Signal'!$B$33*('Small Signal'!$B$8+'Small Signal'!$B$9)+'Small Signal'!$B$6*'Small Signal'!$B$33*('Small Signal'!$B$8+'Small Signal'!$B$9)+'Small Signal'!$B$7*'Small Signal'!$B$8*('Small Signal'!$B$5+'Small Signal'!$B$6)),'Small Signal'!$B$6+'Small Signal'!$B$5),IMPRODUCT(IMPOWER(H104,2),'Small Signal'!$B$32*'Small Signal'!$B$33*'Small Signal'!$B$8*'Small Signal'!$B$7*('Small Signal'!$B$5+'Small Signal'!$B$6)+('Small Signal'!$B$5+'Small Signal'!$B$6)*('Small Signal'!$B$9*'Small Signal'!$B$8*'Small Signal'!$B$33*'Small Signal'!$B$7)))),-1)</f>
        <v>-0.288139798412663+0.499692820093388i</v>
      </c>
      <c r="T104" s="85">
        <f t="shared" si="19"/>
        <v>-4.779244108444999</v>
      </c>
      <c r="U104" s="85">
        <f t="shared" si="20"/>
        <v>119.9692049249577</v>
      </c>
      <c r="V104" s="85" t="str">
        <f t="shared" si="21"/>
        <v>-0.383542814108082+11.653229936675i</v>
      </c>
      <c r="W104" s="80">
        <f t="shared" si="22"/>
        <v>21.333628334809696</v>
      </c>
      <c r="X104" s="85">
        <f t="shared" si="23"/>
        <v>91.88509578222663</v>
      </c>
      <c r="Y104" s="85" t="str">
        <f t="shared" si="24"/>
        <v>-2.61888473816842+22.3497386383776i</v>
      </c>
      <c r="Z104" s="80">
        <f t="shared" si="25"/>
        <v>27.044674314120336</v>
      </c>
      <c r="AA104" s="85">
        <f t="shared" si="26"/>
        <v>96.68329445769095</v>
      </c>
    </row>
    <row r="105" spans="6:27" ht="12.75">
      <c r="F105" s="84">
        <v>103</v>
      </c>
      <c r="G105" s="85">
        <f>10^('Small Signal'!F105/30)</f>
        <v>2712.27257933203</v>
      </c>
      <c r="H105" s="85" t="str">
        <f t="shared" si="14"/>
        <v>17041.7112195251i</v>
      </c>
      <c r="I105" s="85">
        <f>IF('Small Signal'!$B$37&gt;=1,Q105+0,N105+0)</f>
        <v>25.96764266969586</v>
      </c>
      <c r="J105" s="85">
        <f>IF('Small Signal'!$B$37&gt;=1,R105,O105)</f>
        <v>-29.99314370838854</v>
      </c>
      <c r="K105" s="85">
        <f>IF('Small Signal'!$B$37&gt;=1,Z105+0,W105+0)</f>
        <v>20.701067209974205</v>
      </c>
      <c r="L105" s="85">
        <f>IF('Small Signal'!$B$37&gt;=1,AA105,X105)</f>
        <v>91.86070034740291</v>
      </c>
      <c r="M105" s="85" t="str">
        <f>IMDIV(IMSUM('Small Signal'!$B$2*'Small Signal'!$B$16*'Small Signal'!$B$38,IMPRODUCT(H105,'Small Signal'!$B$2*'Small Signal'!$B$16*'Small Signal'!$B$38*'Small Signal'!$B$13*'Small Signal'!$B$14)),IMSUM(IMPRODUCT('Small Signal'!$B$11*'Small Signal'!$B$13*('Small Signal'!$B$14+'Small Signal'!$B$16),IMPOWER(H105,2)),IMSUM(IMPRODUCT(H105,('Small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17.2164167073312-9.93715607668278i</v>
      </c>
      <c r="N105" s="85">
        <f t="shared" si="15"/>
        <v>25.96764266969586</v>
      </c>
      <c r="O105" s="85">
        <f t="shared" si="16"/>
        <v>-29.99314370838854</v>
      </c>
      <c r="P105" s="85" t="str">
        <f>IMDIV(IMSUM('Small Signal'!$B$48,IMPRODUCT(H105,'Small Signal'!$B$49)),IMSUM(IMPRODUCT('Small Signal'!$B$52,IMPOWER(H105,2)),IMSUM(IMPRODUCT(H105,'Small Signal'!$B$51),'Small Signal'!$B$50)))</f>
        <v>35.0479899338803-16.3743535839947i</v>
      </c>
      <c r="Q105" s="85">
        <f t="shared" si="17"/>
        <v>31.75071222795963</v>
      </c>
      <c r="R105" s="85">
        <f t="shared" si="18"/>
        <v>-25.041891064931306</v>
      </c>
      <c r="S105" s="85" t="str">
        <f>IMPRODUCT(IMDIV(IMSUM(IMPRODUCT(H105,'Small Signal'!$B$33*'Small Signal'!$B$6*'Small Signal'!$B$27*'Small Signal'!$B$7*'Small Signal'!$B$8),'Small Signal'!$B$33*'Small Signal'!$B$6*'Small Signal'!$B$27),IMSUM(IMSUM(IMPRODUCT(H105,('Small Signal'!$B$5+'Small Signal'!$B$6)*('Small Signal'!$B$32*'Small Signal'!$B$33)+'Small Signal'!$B$5*'Small Signal'!$B$33*('Small Signal'!$B$8+'Small Signal'!$B$9)+'Small Signal'!$B$6*'Small Signal'!$B$33*('Small Signal'!$B$8+'Small Signal'!$B$9)+'Small Signal'!$B$7*'Small Signal'!$B$8*('Small Signal'!$B$5+'Small Signal'!$B$6)),'Small Signal'!$B$6+'Small Signal'!$B$5),IMPRODUCT(IMPOWER(H105,2),'Small Signal'!$B$32*'Small Signal'!$B$33*'Small Signal'!$B$8*'Small Signal'!$B$7*('Small Signal'!$B$5+'Small Signal'!$B$6)+('Small Signal'!$B$5+'Small Signal'!$B$6)*('Small Signal'!$B$9*'Small Signal'!$B$8*'Small Signal'!$B$33*'Small Signal'!$B$7)))),-1)</f>
        <v>-0.287808071919938+0.463214349914307i</v>
      </c>
      <c r="T105" s="85">
        <f t="shared" si="19"/>
        <v>-5.266575459721654</v>
      </c>
      <c r="U105" s="85">
        <f t="shared" si="20"/>
        <v>121.85384405579144</v>
      </c>
      <c r="V105" s="85" t="str">
        <f t="shared" si="21"/>
        <v>-0.351990405849581+10.8348850037378i</v>
      </c>
      <c r="W105" s="80">
        <f t="shared" si="22"/>
        <v>20.701067209974205</v>
      </c>
      <c r="X105" s="85">
        <f t="shared" si="23"/>
        <v>91.86070034740291</v>
      </c>
      <c r="Y105" s="85" t="str">
        <f t="shared" si="24"/>
        <v>-2.50225885686238+20.9474030069704i</v>
      </c>
      <c r="Z105" s="80">
        <f t="shared" si="25"/>
        <v>26.484136768237985</v>
      </c>
      <c r="AA105" s="85">
        <f t="shared" si="26"/>
        <v>96.81195299086015</v>
      </c>
    </row>
    <row r="106" spans="6:27" ht="12.75">
      <c r="F106" s="84">
        <v>104</v>
      </c>
      <c r="G106" s="85">
        <f>10^('Small Signal'!F106/30)</f>
        <v>2928.644564625239</v>
      </c>
      <c r="H106" s="85" t="str">
        <f t="shared" si="14"/>
        <v>18401.2164984047i</v>
      </c>
      <c r="I106" s="85">
        <f>IF('Small Signal'!$B$37&gt;=1,Q106+0,N106+0)</f>
        <v>25.804201829132477</v>
      </c>
      <c r="J106" s="85">
        <f>IF('Small Signal'!$B$37&gt;=1,R106,O106)</f>
        <v>-31.986303367774447</v>
      </c>
      <c r="K106" s="85">
        <f>IF('Small Signal'!$B$37&gt;=1,Z106+0,W106+0)</f>
        <v>20.07109769494393</v>
      </c>
      <c r="L106" s="85">
        <f>IF('Small Signal'!$B$37&gt;=1,AA106,X106)</f>
        <v>91.81553328419541</v>
      </c>
      <c r="M106" s="85" t="str">
        <f>IMDIV(IMSUM('Small Signal'!$B$2*'Small Signal'!$B$16*'Small Signal'!$B$38,IMPRODUCT(H106,'Small Signal'!$B$2*'Small Signal'!$B$16*'Small Signal'!$B$38*'Small Signal'!$B$13*'Small Signal'!$B$14)),IMSUM(IMPRODUCT('Small Signal'!$B$11*'Small Signal'!$B$13*('Small Signal'!$B$14+'Small Signal'!$B$16),IMPOWER(H106,2)),IMSUM(IMPRODUCT(H106,('Small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16.5460918494342-10.3336467279888i</v>
      </c>
      <c r="N106" s="85">
        <f t="shared" si="15"/>
        <v>25.804201829132477</v>
      </c>
      <c r="O106" s="85">
        <f t="shared" si="16"/>
        <v>-31.986303367774447</v>
      </c>
      <c r="P106" s="85" t="str">
        <f>IMDIV(IMSUM('Small Signal'!$B$48,IMPRODUCT(H106,'Small Signal'!$B$49)),IMSUM(IMPRODUCT('Small Signal'!$B$52,IMPOWER(H106,2)),IMSUM(IMPRODUCT(H106,'Small Signal'!$B$51),'Small Signal'!$B$50)))</f>
        <v>34.1620240907073-17.3419326680871i</v>
      </c>
      <c r="Q106" s="85">
        <f t="shared" si="17"/>
        <v>31.666628944633636</v>
      </c>
      <c r="R106" s="85">
        <f t="shared" si="18"/>
        <v>-26.914068731360764</v>
      </c>
      <c r="S106" s="85" t="str">
        <f>IMPRODUCT(IMDIV(IMSUM(IMPRODUCT(H106,'Small Signal'!$B$33*'Small Signal'!$B$6*'Small Signal'!$B$27*'Small Signal'!$B$7*'Small Signal'!$B$8),'Small Signal'!$B$33*'Small Signal'!$B$6*'Small Signal'!$B$27),IMSUM(IMSUM(IMPRODUCT(H106,('Small Signal'!$B$5+'Small Signal'!$B$6)*('Small Signal'!$B$32*'Small Signal'!$B$33)+'Small Signal'!$B$5*'Small Signal'!$B$33*('Small Signal'!$B$8+'Small Signal'!$B$9)+'Small Signal'!$B$6*'Small Signal'!$B$33*('Small Signal'!$B$8+'Small Signal'!$B$9)+'Small Signal'!$B$7*'Small Signal'!$B$8*('Small Signal'!$B$5+'Small Signal'!$B$6)),'Small Signal'!$B$6+'Small Signal'!$B$5),IMPRODUCT(IMPOWER(H106,2),'Small Signal'!$B$32*'Small Signal'!$B$33*'Small Signal'!$B$8*'Small Signal'!$B$7*('Small Signal'!$B$5+'Small Signal'!$B$6)+('Small Signal'!$B$5+'Small Signal'!$B$6)*('Small Signal'!$B$9*'Small Signal'!$B$8*'Small Signal'!$B$33*'Small Signal'!$B$7)))),-1)</f>
        <v>-0.287522095780565+0.429465597630583i</v>
      </c>
      <c r="T106" s="85">
        <f t="shared" si="19"/>
        <v>-5.733104134188549</v>
      </c>
      <c r="U106" s="85">
        <f t="shared" si="20"/>
        <v>123.80183665196986</v>
      </c>
      <c r="V106" s="85" t="str">
        <f t="shared" si="21"/>
        <v>-0.319421237788018+10.0771289888551i</v>
      </c>
      <c r="W106" s="80">
        <f t="shared" si="22"/>
        <v>20.07109769494393</v>
      </c>
      <c r="X106" s="85">
        <f t="shared" si="23"/>
        <v>91.81553328419541</v>
      </c>
      <c r="Y106" s="85" t="str">
        <f t="shared" si="24"/>
        <v>-2.37457328529695+19.6576029179998i</v>
      </c>
      <c r="Z106" s="80">
        <f t="shared" si="25"/>
        <v>25.933524810445068</v>
      </c>
      <c r="AA106" s="85">
        <f t="shared" si="26"/>
        <v>96.8877679206091</v>
      </c>
    </row>
    <row r="107" spans="6:27" ht="12.75">
      <c r="F107" s="84">
        <v>105</v>
      </c>
      <c r="G107" s="85">
        <f>10^('Small Signal'!F107/30)</f>
        <v>3162.2776601683804</v>
      </c>
      <c r="H107" s="85" t="str">
        <f t="shared" si="14"/>
        <v>19869.1765315922i</v>
      </c>
      <c r="I107" s="85">
        <f>IF('Small Signal'!$B$37&gt;=1,Q107+0,N107+0)</f>
        <v>25.62106247975516</v>
      </c>
      <c r="J107" s="85">
        <f>IF('Small Signal'!$B$37&gt;=1,R107,O107)</f>
        <v>-34.05887274375119</v>
      </c>
      <c r="K107" s="85">
        <f>IF('Small Signal'!$B$37&gt;=1,Z107+0,W107+0)</f>
        <v>19.44354338701842</v>
      </c>
      <c r="L107" s="85">
        <f>IF('Small Signal'!$B$37&gt;=1,AA107,X107)</f>
        <v>91.74583986197776</v>
      </c>
      <c r="M107" s="85" t="str">
        <f>IMDIV(IMSUM('Small Signal'!$B$2*'Small Signal'!$B$16*'Small Signal'!$B$38,IMPRODUCT(H107,'Small Signal'!$B$2*'Small Signal'!$B$16*'Small Signal'!$B$38*'Small Signal'!$B$13*'Small Signal'!$B$14)),IMSUM(IMPRODUCT('Small Signal'!$B$11*'Small Signal'!$B$13*('Small Signal'!$B$14+'Small Signal'!$B$16),IMPOWER(H107,2)),IMSUM(IMPRODUCT(H107,('Small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15.824354588536-10.6973358799877i</v>
      </c>
      <c r="N107" s="85">
        <f t="shared" si="15"/>
        <v>25.62106247975516</v>
      </c>
      <c r="O107" s="85">
        <f t="shared" si="16"/>
        <v>-34.05887274375119</v>
      </c>
      <c r="P107" s="85" t="str">
        <f>IMDIV(IMSUM('Small Signal'!$B$48,IMPRODUCT(H107,'Small Signal'!$B$49)),IMSUM(IMPRODUCT('Small Signal'!$B$52,IMPOWER(H107,2)),IMSUM(IMPRODUCT(H107,'Small Signal'!$B$51),'Small Signal'!$B$50)))</f>
        <v>33.1683789525428-18.3148651179771i</v>
      </c>
      <c r="Q107" s="85">
        <f t="shared" si="17"/>
        <v>31.570260822717664</v>
      </c>
      <c r="R107" s="85">
        <f t="shared" si="18"/>
        <v>-28.90653497571181</v>
      </c>
      <c r="S107" s="85" t="str">
        <f>IMPRODUCT(IMDIV(IMSUM(IMPRODUCT(H107,'Small Signal'!$B$33*'Small Signal'!$B$6*'Small Signal'!$B$27*'Small Signal'!$B$7*'Small Signal'!$B$8),'Small Signal'!$B$33*'Small Signal'!$B$6*'Small Signal'!$B$27),IMSUM(IMSUM(IMPRODUCT(H107,('Small Signal'!$B$5+'Small Signal'!$B$6)*('Small Signal'!$B$32*'Small Signal'!$B$33)+'Small Signal'!$B$5*'Small Signal'!$B$33*('Small Signal'!$B$8+'Small Signal'!$B$9)+'Small Signal'!$B$6*'Small Signal'!$B$33*('Small Signal'!$B$8+'Small Signal'!$B$9)+'Small Signal'!$B$7*'Small Signal'!$B$8*('Small Signal'!$B$5+'Small Signal'!$B$6)),'Small Signal'!$B$6+'Small Signal'!$B$5),IMPRODUCT(IMPOWER(H107,2),'Small Signal'!$B$32*'Small Signal'!$B$33*'Small Signal'!$B$8*'Small Signal'!$B$7*('Small Signal'!$B$5+'Small Signal'!$B$6)+('Small Signal'!$B$5+'Small Signal'!$B$6)*('Small Signal'!$B$9*'Small Signal'!$B$8*'Small Signal'!$B$33*'Small Signal'!$B$7)))),-1)</f>
        <v>-0.287275118793278+0.398247729646814i</v>
      </c>
      <c r="T107" s="85">
        <f t="shared" si="19"/>
        <v>-6.177519092736745</v>
      </c>
      <c r="U107" s="85">
        <f t="shared" si="20"/>
        <v>125.80471260572895</v>
      </c>
      <c r="V107" s="85" t="str">
        <f t="shared" si="21"/>
        <v>-0.285753616774129+9.37509172370567i</v>
      </c>
      <c r="W107" s="80">
        <f t="shared" si="22"/>
        <v>19.44354338701842</v>
      </c>
      <c r="X107" s="85">
        <f t="shared" si="23"/>
        <v>91.74583986197776</v>
      </c>
      <c r="Y107" s="85" t="str">
        <f t="shared" si="24"/>
        <v>-2.23459655175019+18.4706366663651i</v>
      </c>
      <c r="Z107" s="80">
        <f t="shared" si="25"/>
        <v>25.39274172998093</v>
      </c>
      <c r="AA107" s="85">
        <f t="shared" si="26"/>
        <v>96.89817763001714</v>
      </c>
    </row>
    <row r="108" spans="6:27" ht="12.75">
      <c r="F108" s="84">
        <v>106</v>
      </c>
      <c r="G108" s="85">
        <f>10^('Small Signal'!F108/30)</f>
        <v>3414.5488738336035</v>
      </c>
      <c r="H108" s="85" t="str">
        <f t="shared" si="14"/>
        <v>21454.2433147179i</v>
      </c>
      <c r="I108" s="85">
        <f>IF('Small Signal'!$B$37&gt;=1,Q108+0,N108+0)</f>
        <v>25.41680612518366</v>
      </c>
      <c r="J108" s="85">
        <f>IF('Small Signal'!$B$37&gt;=1,R108,O108)</f>
        <v>-36.204680728708055</v>
      </c>
      <c r="K108" s="85">
        <f>IF('Small Signal'!$B$37&gt;=1,Z108+0,W108+0)</f>
        <v>18.818141145663773</v>
      </c>
      <c r="L108" s="85">
        <f>IF('Small Signal'!$B$37&gt;=1,AA108,X108)</f>
        <v>91.64789640450823</v>
      </c>
      <c r="M108" s="85" t="str">
        <f>IMDIV(IMSUM('Small Signal'!$B$2*'Small Signal'!$B$16*'Small Signal'!$B$38,IMPRODUCT(H108,'Small Signal'!$B$2*'Small Signal'!$B$16*'Small Signal'!$B$38*'Small Signal'!$B$13*'Small Signal'!$B$14)),IMSUM(IMPRODUCT('Small Signal'!$B$11*'Small Signal'!$B$13*('Small Signal'!$B$14+'Small Signal'!$B$16),IMPOWER(H108,2)),IMSUM(IMPRODUCT(H108,('Small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15.0545061322305-11.0201216505168i</v>
      </c>
      <c r="N108" s="85">
        <f t="shared" si="15"/>
        <v>25.41680612518366</v>
      </c>
      <c r="O108" s="85">
        <f t="shared" si="16"/>
        <v>-36.204680728708055</v>
      </c>
      <c r="P108" s="85" t="str">
        <f>IMDIV(IMSUM('Small Signal'!$B$48,IMPRODUCT(H108,'Small Signal'!$B$49)),IMSUM(IMPRODUCT('Small Signal'!$B$52,IMPOWER(H108,2)),IMSUM(IMPRODUCT(H108,'Small Signal'!$B$51),'Small Signal'!$B$50)))</f>
        <v>32.0601753994588-19.2810319032378i</v>
      </c>
      <c r="Q108" s="85">
        <f t="shared" si="17"/>
        <v>31.460079794386694</v>
      </c>
      <c r="R108" s="85">
        <f t="shared" si="18"/>
        <v>-31.02275672511001</v>
      </c>
      <c r="S108" s="85" t="str">
        <f>IMPRODUCT(IMDIV(IMSUM(IMPRODUCT(H108,'Small Signal'!$B$33*'Small Signal'!$B$6*'Small Signal'!$B$27*'Small Signal'!$B$7*'Small Signal'!$B$8),'Small Signal'!$B$33*'Small Signal'!$B$6*'Small Signal'!$B$27),IMSUM(IMSUM(IMPRODUCT(H108,('Small Signal'!$B$5+'Small Signal'!$B$6)*('Small Signal'!$B$32*'Small Signal'!$B$33)+'Small Signal'!$B$5*'Small Signal'!$B$33*('Small Signal'!$B$8+'Small Signal'!$B$9)+'Small Signal'!$B$6*'Small Signal'!$B$33*('Small Signal'!$B$8+'Small Signal'!$B$9)+'Small Signal'!$B$7*'Small Signal'!$B$8*('Small Signal'!$B$5+'Small Signal'!$B$6)),'Small Signal'!$B$6+'Small Signal'!$B$5),IMPRODUCT(IMPOWER(H108,2),'Small Signal'!$B$32*'Small Signal'!$B$33*'Small Signal'!$B$8*'Small Signal'!$B$7*('Small Signal'!$B$5+'Small Signal'!$B$6)+('Small Signal'!$B$5+'Small Signal'!$B$6)*('Small Signal'!$B$9*'Small Signal'!$B$8*'Small Signal'!$B$33*'Small Signal'!$B$7)))),-1)</f>
        <v>-0.287061310393513+0.369376811077707i</v>
      </c>
      <c r="T108" s="85">
        <f t="shared" si="19"/>
        <v>-6.5986649795198815</v>
      </c>
      <c r="U108" s="85">
        <f t="shared" si="20"/>
        <v>127.85257713321629</v>
      </c>
      <c r="V108" s="85" t="str">
        <f t="shared" si="21"/>
        <v>-0.250988864688973+8.72423602916636i</v>
      </c>
      <c r="W108" s="80">
        <f t="shared" si="22"/>
        <v>18.818141145663773</v>
      </c>
      <c r="X108" s="85">
        <f t="shared" si="23"/>
        <v>91.64789640450823</v>
      </c>
      <c r="Y108" s="85" t="str">
        <f t="shared" si="24"/>
        <v>-2.081269882909+17.3771236355266i</v>
      </c>
      <c r="Z108" s="80">
        <f t="shared" si="25"/>
        <v>24.861414814866805</v>
      </c>
      <c r="AA108" s="85">
        <f t="shared" si="26"/>
        <v>96.82982040810627</v>
      </c>
    </row>
    <row r="109" spans="6:27" ht="12.75">
      <c r="F109" s="84">
        <v>107</v>
      </c>
      <c r="G109" s="85">
        <f>10^('Small Signal'!F109/30)</f>
        <v>3686.9450645195784</v>
      </c>
      <c r="H109" s="85" t="str">
        <f t="shared" si="14"/>
        <v>23165.7590577677i</v>
      </c>
      <c r="I109" s="85">
        <f>IF('Small Signal'!$B$37&gt;=1,Q109+0,N109+0)</f>
        <v>25.190128568316908</v>
      </c>
      <c r="J109" s="85">
        <f>IF('Small Signal'!$B$37&gt;=1,R109,O109)</f>
        <v>-38.41612509647085</v>
      </c>
      <c r="K109" s="85">
        <f>IF('Small Signal'!$B$37&gt;=1,Z109+0,W109+0)</f>
        <v>18.19454143170399</v>
      </c>
      <c r="L109" s="85">
        <f>IF('Small Signal'!$B$37&gt;=1,AA109,X109)</f>
        <v>91.51814044651834</v>
      </c>
      <c r="M109" s="85" t="str">
        <f>IMDIV(IMSUM('Small Signal'!$B$2*'Small Signal'!$B$16*'Small Signal'!$B$38,IMPRODUCT(H109,'Small Signal'!$B$2*'Small Signal'!$B$16*'Small Signal'!$B$38*'Small Signal'!$B$13*'Small Signal'!$B$14)),IMSUM(IMPRODUCT('Small Signal'!$B$11*'Small Signal'!$B$13*('Small Signal'!$B$14+'Small Signal'!$B$16),IMPOWER(H109,2)),IMSUM(IMPRODUCT(H109,('Small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14.2415003951817-11.2942015175339i</v>
      </c>
      <c r="N109" s="85">
        <f t="shared" si="15"/>
        <v>25.190128568316908</v>
      </c>
      <c r="O109" s="85">
        <f t="shared" si="16"/>
        <v>-38.41612509647085</v>
      </c>
      <c r="P109" s="85" t="str">
        <f>IMDIV(IMSUM('Small Signal'!$B$48,IMPRODUCT(H109,'Small Signal'!$B$49)),IMSUM(IMPRODUCT('Small Signal'!$B$52,IMPOWER(H109,2)),IMSUM(IMPRODUCT(H109,'Small Signal'!$B$51),'Small Signal'!$B$50)))</f>
        <v>30.831915553724-20.2261529765252i</v>
      </c>
      <c r="Q109" s="85">
        <f t="shared" si="17"/>
        <v>31.33444464899587</v>
      </c>
      <c r="R109" s="85">
        <f t="shared" si="18"/>
        <v>-33.265415700237234</v>
      </c>
      <c r="S109" s="85" t="str">
        <f>IMPRODUCT(IMDIV(IMSUM(IMPRODUCT(H109,'Small Signal'!$B$33*'Small Signal'!$B$6*'Small Signal'!$B$27*'Small Signal'!$B$7*'Small Signal'!$B$8),'Small Signal'!$B$33*'Small Signal'!$B$6*'Small Signal'!$B$27),IMSUM(IMSUM(IMPRODUCT(H109,('Small Signal'!$B$5+'Small Signal'!$B$6)*('Small Signal'!$B$32*'Small Signal'!$B$33)+'Small Signal'!$B$5*'Small Signal'!$B$33*('Small Signal'!$B$8+'Small Signal'!$B$9)+'Small Signal'!$B$6*'Small Signal'!$B$33*('Small Signal'!$B$8+'Small Signal'!$B$9)+'Small Signal'!$B$7*'Small Signal'!$B$8*('Small Signal'!$B$5+'Small Signal'!$B$6)),'Small Signal'!$B$6+'Small Signal'!$B$5),IMPRODUCT(IMPOWER(H109,2),'Small Signal'!$B$32*'Small Signal'!$B$33*'Small Signal'!$B$8*'Small Signal'!$B$7*('Small Signal'!$B$5+'Small Signal'!$B$6)+('Small Signal'!$B$5+'Small Signal'!$B$6)*('Small Signal'!$B$9*'Small Signal'!$B$8*'Small Signal'!$B$33*'Small Signal'!$B$7)))),-1)</f>
        <v>-0.28687562305245+0.342682724840998i</v>
      </c>
      <c r="T109" s="85">
        <f t="shared" si="19"/>
        <v>-6.995587136612923</v>
      </c>
      <c r="U109" s="85">
        <f t="shared" si="20"/>
        <v>129.9342655429892</v>
      </c>
      <c r="V109" s="85" t="str">
        <f t="shared" si="21"/>
        <v>-0.215211548137612+8.12034725846748i</v>
      </c>
      <c r="W109" s="80">
        <f t="shared" si="22"/>
        <v>18.19454143170399</v>
      </c>
      <c r="X109" s="85">
        <f t="shared" si="23"/>
        <v>91.51814044651834</v>
      </c>
      <c r="Y109" s="85" t="str">
        <f t="shared" si="24"/>
        <v>-1.91377176932858+16.3679550711125i</v>
      </c>
      <c r="Z109" s="80">
        <f t="shared" si="25"/>
        <v>24.338857512382937</v>
      </c>
      <c r="AA109" s="85">
        <f t="shared" si="26"/>
        <v>96.66884984275198</v>
      </c>
    </row>
    <row r="110" spans="6:27" ht="12.75">
      <c r="F110" s="84">
        <v>108</v>
      </c>
      <c r="G110" s="85">
        <f>10^('Small Signal'!F110/30)</f>
        <v>3981.071705534977</v>
      </c>
      <c r="H110" s="85" t="str">
        <f t="shared" si="14"/>
        <v>25013.8112470457i</v>
      </c>
      <c r="I110" s="85">
        <f>IF('Small Signal'!$B$37&gt;=1,Q110+0,N110+0)</f>
        <v>24.93988616999248</v>
      </c>
      <c r="J110" s="85">
        <f>IF('Small Signal'!$B$37&gt;=1,R110,O110)</f>
        <v>-40.68426950293839</v>
      </c>
      <c r="K110" s="85">
        <f>IF('Small Signal'!$B$37&gt;=1,Z110+0,W110+0)</f>
        <v>17.572314591658323</v>
      </c>
      <c r="L110" s="85">
        <f>IF('Small Signal'!$B$37&gt;=1,AA110,X110)</f>
        <v>91.35330303855231</v>
      </c>
      <c r="M110" s="85" t="str">
        <f>IMDIV(IMSUM('Small Signal'!$B$2*'Small Signal'!$B$16*'Small Signal'!$B$38,IMPRODUCT(H110,'Small Signal'!$B$2*'Small Signal'!$B$16*'Small Signal'!$B$38*'Small Signal'!$B$13*'Small Signal'!$B$14)),IMSUM(IMPRODUCT('Small Signal'!$B$11*'Small Signal'!$B$13*('Small Signal'!$B$14+'Small Signal'!$B$16),IMPOWER(H110,2)),IMSUM(IMPRODUCT(H110,('Small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13.3919248891721-11.5124772124615i</v>
      </c>
      <c r="N110" s="85">
        <f t="shared" si="15"/>
        <v>24.93988616999248</v>
      </c>
      <c r="O110" s="85">
        <f t="shared" si="16"/>
        <v>-40.68426950293839</v>
      </c>
      <c r="P110" s="85" t="str">
        <f>IMDIV(IMSUM('Small Signal'!$B$48,IMPRODUCT(H110,'Small Signal'!$B$49)),IMSUM(IMPRODUCT('Small Signal'!$B$52,IMPOWER(H110,2)),IMSUM(IMPRODUCT(H110,'Small Signal'!$B$51),'Small Signal'!$B$50)))</f>
        <v>29.4800508370663-21.1338636339052i</v>
      </c>
      <c r="Q110" s="85">
        <f t="shared" si="17"/>
        <v>31.19161360358588</v>
      </c>
      <c r="R110" s="85">
        <f t="shared" si="18"/>
        <v>-35.63624483683788</v>
      </c>
      <c r="S110" s="85" t="str">
        <f>IMPRODUCT(IMDIV(IMSUM(IMPRODUCT(H110,'Small Signal'!$B$33*'Small Signal'!$B$6*'Small Signal'!$B$27*'Small Signal'!$B$7*'Small Signal'!$B$8),'Small Signal'!$B$33*'Small Signal'!$B$6*'Small Signal'!$B$27),IMSUM(IMSUM(IMPRODUCT(H110,('Small Signal'!$B$5+'Small Signal'!$B$6)*('Small Signal'!$B$32*'Small Signal'!$B$33)+'Small Signal'!$B$5*'Small Signal'!$B$33*('Small Signal'!$B$8+'Small Signal'!$B$9)+'Small Signal'!$B$6*'Small Signal'!$B$33*('Small Signal'!$B$8+'Small Signal'!$B$9)+'Small Signal'!$B$7*'Small Signal'!$B$8*('Small Signal'!$B$5+'Small Signal'!$B$6)),'Small Signal'!$B$6+'Small Signal'!$B$5),IMPRODUCT(IMPOWER(H110,2),'Small Signal'!$B$32*'Small Signal'!$B$33*'Small Signal'!$B$8*'Small Signal'!$B$7*('Small Signal'!$B$5+'Small Signal'!$B$6)+('Small Signal'!$B$5+'Small Signal'!$B$6)*('Small Signal'!$B$9*'Small Signal'!$B$8*'Small Signal'!$B$33*'Small Signal'!$B$7)))),-1)</f>
        <v>-0.286713673155731+0.318008171399965i</v>
      </c>
      <c r="T110" s="85">
        <f t="shared" si="19"/>
        <v>-7.367571578334163</v>
      </c>
      <c r="U110" s="85">
        <f t="shared" si="20"/>
        <v>132.0375725414907</v>
      </c>
      <c r="V110" s="85" t="str">
        <f t="shared" si="21"/>
        <v>-0.178586148981541+7.55952617423779i</v>
      </c>
      <c r="W110" s="80">
        <f t="shared" si="22"/>
        <v>17.572314591658323</v>
      </c>
      <c r="X110" s="85">
        <f t="shared" si="23"/>
        <v>91.35330303855231</v>
      </c>
      <c r="Y110" s="85" t="str">
        <f t="shared" si="24"/>
        <v>-1.73159233147855+15.4342647299227i</v>
      </c>
      <c r="Z110" s="80">
        <f t="shared" si="25"/>
        <v>23.824042025251693</v>
      </c>
      <c r="AA110" s="85">
        <f t="shared" si="26"/>
        <v>96.40132770465284</v>
      </c>
    </row>
    <row r="111" spans="6:27" ht="12.75">
      <c r="F111" s="84">
        <v>109</v>
      </c>
      <c r="G111" s="85">
        <f>10^('Small Signal'!F111/30)</f>
        <v>4298.662347082283</v>
      </c>
      <c r="H111" s="85" t="str">
        <f t="shared" si="14"/>
        <v>27009.2920997135i</v>
      </c>
      <c r="I111" s="85">
        <f>IF('Small Signal'!$B$37&gt;=1,Q111+0,N111+0)</f>
        <v>24.66513987260447</v>
      </c>
      <c r="J111" s="85">
        <f>IF('Small Signal'!$B$37&gt;=1,R111,O111)</f>
        <v>-42.99901712185499</v>
      </c>
      <c r="K111" s="85">
        <f>IF('Small Signal'!$B$37&gt;=1,Z111+0,W111+0)</f>
        <v>16.950963295962005</v>
      </c>
      <c r="L111" s="85">
        <f>IF('Small Signal'!$B$37&gt;=1,AA111,X111)</f>
        <v>91.15052978166204</v>
      </c>
      <c r="M111" s="85" t="str">
        <f>IMDIV(IMSUM('Small Signal'!$B$2*'Small Signal'!$B$16*'Small Signal'!$B$38,IMPRODUCT(H111,'Small Signal'!$B$2*'Small Signal'!$B$16*'Small Signal'!$B$38*'Small Signal'!$B$13*'Small Signal'!$B$14)),IMSUM(IMPRODUCT('Small Signal'!$B$11*'Small Signal'!$B$13*('Small Signal'!$B$14+'Small Signal'!$B$16),IMPOWER(H111,2)),IMSUM(IMPRODUCT(H111,('Small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12.5138632476826-11.6689649297528i</v>
      </c>
      <c r="N111" s="85">
        <f t="shared" si="15"/>
        <v>24.66513987260447</v>
      </c>
      <c r="O111" s="85">
        <f t="shared" si="16"/>
        <v>-42.99901712185499</v>
      </c>
      <c r="P111" s="85" t="str">
        <f>IMDIV(IMSUM('Small Signal'!$B$48,IMPRODUCT(H111,'Small Signal'!$B$49)),IMSUM(IMPRODUCT('Small Signal'!$B$52,IMPOWER(H111,2)),IMSUM(IMPRODUCT(H111,'Small Signal'!$B$51),'Small Signal'!$B$50)))</f>
        <v>28.0035883921932-21.9859428461535i</v>
      </c>
      <c r="Q111" s="85">
        <f t="shared" si="17"/>
        <v>31.0297628468382</v>
      </c>
      <c r="R111" s="85">
        <f t="shared" si="18"/>
        <v>-38.13587068205063</v>
      </c>
      <c r="S111" s="85" t="str">
        <f>IMPRODUCT(IMDIV(IMSUM(IMPRODUCT(H111,'Small Signal'!$B$33*'Small Signal'!$B$6*'Small Signal'!$B$27*'Small Signal'!$B$7*'Small Signal'!$B$8),'Small Signal'!$B$33*'Small Signal'!$B$6*'Small Signal'!$B$27),IMSUM(IMSUM(IMPRODUCT(H111,('Small Signal'!$B$5+'Small Signal'!$B$6)*('Small Signal'!$B$32*'Small Signal'!$B$33)+'Small Signal'!$B$5*'Small Signal'!$B$33*('Small Signal'!$B$8+'Small Signal'!$B$9)+'Small Signal'!$B$6*'Small Signal'!$B$33*('Small Signal'!$B$8+'Small Signal'!$B$9)+'Small Signal'!$B$7*'Small Signal'!$B$8*('Small Signal'!$B$5+'Small Signal'!$B$6)),'Small Signal'!$B$6+'Small Signal'!$B$5),IMPRODUCT(IMPOWER(H111,2),'Small Signal'!$B$32*'Small Signal'!$B$33*'Small Signal'!$B$8*'Small Signal'!$B$7*('Small Signal'!$B$5+'Small Signal'!$B$6)+('Small Signal'!$B$5+'Small Signal'!$B$6)*('Small Signal'!$B$9*'Small Signal'!$B$8*'Small Signal'!$B$33*'Small Signal'!$B$7)))),-1)</f>
        <v>-0.286571637554327+0.295207743387672i</v>
      </c>
      <c r="T111" s="85">
        <f t="shared" si="19"/>
        <v>-7.714176576642471</v>
      </c>
      <c r="U111" s="85">
        <f t="shared" si="20"/>
        <v>134.14954690351703</v>
      </c>
      <c r="V111" s="85" t="str">
        <f t="shared" si="21"/>
        <v>-0.141349478437103+7.03818371889358i</v>
      </c>
      <c r="W111" s="80">
        <f t="shared" si="22"/>
        <v>16.950963295962005</v>
      </c>
      <c r="X111" s="85">
        <f t="shared" si="23"/>
        <v>91.15052978166204</v>
      </c>
      <c r="Y111" s="85" t="str">
        <f t="shared" si="24"/>
        <v>-1.53461360908484+14.5674237806146i</v>
      </c>
      <c r="Z111" s="80">
        <f t="shared" si="25"/>
        <v>23.315586270195723</v>
      </c>
      <c r="AA111" s="85">
        <f t="shared" si="26"/>
        <v>96.01367622146638</v>
      </c>
    </row>
    <row r="112" spans="6:27" ht="12.75">
      <c r="F112" s="84">
        <v>110</v>
      </c>
      <c r="G112" s="85">
        <f>10^('Small Signal'!F112/30)</f>
        <v>4641.588833612778</v>
      </c>
      <c r="H112" s="85" t="str">
        <f t="shared" si="14"/>
        <v>29163.9627613246i</v>
      </c>
      <c r="I112" s="85">
        <f>IF('Small Signal'!$B$37&gt;=1,Q112+0,N112+0)</f>
        <v>24.365193560090347</v>
      </c>
      <c r="J112" s="85">
        <f>IF('Small Signal'!$B$37&gt;=1,R112,O112)</f>
        <v>-45.34935822998741</v>
      </c>
      <c r="K112" s="85">
        <f>IF('Small Signal'!$B$37&gt;=1,Z112+0,W112+0)</f>
        <v>16.329940548708358</v>
      </c>
      <c r="L112" s="85">
        <f>IF('Small Signal'!$B$37&gt;=1,AA112,X112)</f>
        <v>90.90747664048457</v>
      </c>
      <c r="M112" s="85" t="str">
        <f>IMDIV(IMSUM('Small Signal'!$B$2*'Small Signal'!$B$16*'Small Signal'!$B$38,IMPRODUCT(H112,'Small Signal'!$B$2*'Small Signal'!$B$16*'Small Signal'!$B$38*'Small Signal'!$B$13*'Small Signal'!$B$14)),IMSUM(IMPRODUCT('Small Signal'!$B$11*'Small Signal'!$B$13*('Small Signal'!$B$14+'Small Signal'!$B$16),IMPOWER(H112,2)),IMSUM(IMPRODUCT(H112,('Small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11.6166359150291-11.7591705247475i</v>
      </c>
      <c r="N112" s="85">
        <f t="shared" si="15"/>
        <v>24.365193560090347</v>
      </c>
      <c r="O112" s="85">
        <f t="shared" si="16"/>
        <v>-45.34935822998741</v>
      </c>
      <c r="P112" s="85" t="str">
        <f>IMDIV(IMSUM('Small Signal'!$B$48,IMPRODUCT(H112,'Small Signal'!$B$49)),IMSUM(IMPRODUCT('Small Signal'!$B$52,IMPOWER(H112,2)),IMSUM(IMPRODUCT(H112,'Small Signal'!$B$51),'Small Signal'!$B$50)))</f>
        <v>26.4046937332562-22.7627213049101i</v>
      </c>
      <c r="Q112" s="85">
        <f t="shared" si="17"/>
        <v>30.847011267467042</v>
      </c>
      <c r="R112" s="85">
        <f t="shared" si="18"/>
        <v>-40.76367278601298</v>
      </c>
      <c r="S112" s="85" t="str">
        <f>IMPRODUCT(IMDIV(IMSUM(IMPRODUCT(H112,'Small Signal'!$B$33*'Small Signal'!$B$6*'Small Signal'!$B$27*'Small Signal'!$B$7*'Small Signal'!$B$8),'Small Signal'!$B$33*'Small Signal'!$B$6*'Small Signal'!$B$27),IMSUM(IMSUM(IMPRODUCT(H112,('Small Signal'!$B$5+'Small Signal'!$B$6)*('Small Signal'!$B$32*'Small Signal'!$B$33)+'Small Signal'!$B$5*'Small Signal'!$B$33*('Small Signal'!$B$8+'Small Signal'!$B$9)+'Small Signal'!$B$6*'Small Signal'!$B$33*('Small Signal'!$B$8+'Small Signal'!$B$9)+'Small Signal'!$B$7*'Small Signal'!$B$8*('Small Signal'!$B$5+'Small Signal'!$B$6)),'Small Signal'!$B$6+'Small Signal'!$B$5),IMPRODUCT(IMPOWER(H112,2),'Small Signal'!$B$32*'Small Signal'!$B$33*'Small Signal'!$B$8*'Small Signal'!$B$7*('Small Signal'!$B$5+'Small Signal'!$B$6)+('Small Signal'!$B$5+'Small Signal'!$B$6)*('Small Signal'!$B$9*'Small Signal'!$B$8*'Small Signal'!$B$33*'Small Signal'!$B$7)))),-1)</f>
        <v>-0.286446163349778+0.274147069751131i</v>
      </c>
      <c r="T112" s="85">
        <f t="shared" si="19"/>
        <v>-8.03525301138198</v>
      </c>
      <c r="U112" s="85">
        <f t="shared" si="20"/>
        <v>136.25683487047198</v>
      </c>
      <c r="V112" s="85" t="str">
        <f t="shared" si="21"/>
        <v>-0.103798646827927+6.55303597746069i</v>
      </c>
      <c r="W112" s="80">
        <f t="shared" si="22"/>
        <v>16.329940548708358</v>
      </c>
      <c r="X112" s="85">
        <f t="shared" si="23"/>
        <v>90.90747664048457</v>
      </c>
      <c r="Y112" s="85" t="str">
        <f t="shared" si="24"/>
        <v>-1.32318986901442+13.75906359984i</v>
      </c>
      <c r="Z112" s="80">
        <f t="shared" si="25"/>
        <v>22.811758256085067</v>
      </c>
      <c r="AA112" s="85">
        <f t="shared" si="26"/>
        <v>95.493162084459</v>
      </c>
    </row>
    <row r="113" spans="6:27" ht="12.75">
      <c r="F113" s="84">
        <v>111</v>
      </c>
      <c r="G113" s="85">
        <f>10^('Small Signal'!F113/30)</f>
        <v>5011.872336272732</v>
      </c>
      <c r="H113" s="85" t="str">
        <f t="shared" si="14"/>
        <v>31490.5226247287i</v>
      </c>
      <c r="I113" s="85">
        <f>IF('Small Signal'!$B$37&gt;=1,Q113+0,N113+0)</f>
        <v>24.039623444839005</v>
      </c>
      <c r="J113" s="85">
        <f>IF('Small Signal'!$B$37&gt;=1,R113,O113)</f>
        <v>-47.7236813366701</v>
      </c>
      <c r="K113" s="85">
        <f>IF('Small Signal'!$B$37&gt;=1,Z113+0,W113+0)</f>
        <v>15.70867187816212</v>
      </c>
      <c r="L113" s="85">
        <f>IF('Small Signal'!$B$37&gt;=1,AA113,X113)</f>
        <v>90.62236833313159</v>
      </c>
      <c r="M113" s="85" t="str">
        <f>IMDIV(IMSUM('Small Signal'!$B$2*'Small Signal'!$B$16*'Small Signal'!$B$38,IMPRODUCT(H113,'Small Signal'!$B$2*'Small Signal'!$B$16*'Small Signal'!$B$38*'Small Signal'!$B$13*'Small Signal'!$B$14)),IMSUM(IMPRODUCT('Small Signal'!$B$11*'Small Signal'!$B$13*('Small Signal'!$B$14+'Small Signal'!$B$16),IMPOWER(H113,2)),IMSUM(IMPRODUCT(H113,('Small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10.7104313058084-11.7803881262818i</v>
      </c>
      <c r="N113" s="85">
        <f t="shared" si="15"/>
        <v>24.039623444839005</v>
      </c>
      <c r="O113" s="85">
        <f t="shared" si="16"/>
        <v>-47.7236813366701</v>
      </c>
      <c r="P113" s="85" t="str">
        <f>IMDIV(IMSUM('Small Signal'!$B$48,IMPRODUCT(H113,'Small Signal'!$B$49)),IMSUM(IMPRODUCT('Small Signal'!$B$52,IMPOWER(H113,2)),IMSUM(IMPRODUCT(H113,'Small Signal'!$B$51),'Small Signal'!$B$50)))</f>
        <v>24.689233179765-23.4436847340059i</v>
      </c>
      <c r="Q113" s="85">
        <f t="shared" si="17"/>
        <v>30.641451054902923</v>
      </c>
      <c r="R113" s="85">
        <f t="shared" si="18"/>
        <v>-43.51767253616222</v>
      </c>
      <c r="S113" s="85" t="str">
        <f>IMPRODUCT(IMDIV(IMSUM(IMPRODUCT(H113,'Small Signal'!$B$33*'Small Signal'!$B$6*'Small Signal'!$B$27*'Small Signal'!$B$7*'Small Signal'!$B$8),'Small Signal'!$B$33*'Small Signal'!$B$6*'Small Signal'!$B$27),IMSUM(IMSUM(IMPRODUCT(H113,('Small Signal'!$B$5+'Small Signal'!$B$6)*('Small Signal'!$B$32*'Small Signal'!$B$33)+'Small Signal'!$B$5*'Small Signal'!$B$33*('Small Signal'!$B$8+'Small Signal'!$B$9)+'Small Signal'!$B$6*'Small Signal'!$B$33*('Small Signal'!$B$8+'Small Signal'!$B$9)+'Small Signal'!$B$7*'Small Signal'!$B$8*('Small Signal'!$B$5+'Small Signal'!$B$6)),'Small Signal'!$B$6+'Small Signal'!$B$5),IMPRODUCT(IMPOWER(H113,2),'Small Signal'!$B$32*'Small Signal'!$B$33*'Small Signal'!$B$8*'Small Signal'!$B$7*('Small Signal'!$B$5+'Small Signal'!$B$6)+('Small Signal'!$B$5+'Small Signal'!$B$6)*('Small Signal'!$B$9*'Small Signal'!$B$8*'Small Signal'!$B$33*'Small Signal'!$B$7)))),-1)</f>
        <v>-0.28633428878864+0.254702024432953i</v>
      </c>
      <c r="T113" s="85">
        <f t="shared" si="19"/>
        <v>-8.330951566676882</v>
      </c>
      <c r="U113" s="85">
        <f t="shared" si="20"/>
        <v>138.3460496698017</v>
      </c>
      <c r="V113" s="85" t="str">
        <f t="shared" si="21"/>
        <v>-0.0662750261983369+6.10109759193251i</v>
      </c>
      <c r="W113" s="80">
        <f t="shared" si="22"/>
        <v>15.70867187816212</v>
      </c>
      <c r="X113" s="85">
        <f t="shared" si="23"/>
        <v>90.62236833313159</v>
      </c>
      <c r="Y113" s="85" t="str">
        <f t="shared" si="24"/>
        <v>-1.09822006134569+13.0011284674801i</v>
      </c>
      <c r="Z113" s="80">
        <f t="shared" si="25"/>
        <v>22.31049948822608</v>
      </c>
      <c r="AA113" s="85">
        <f t="shared" si="26"/>
        <v>94.82837713363945</v>
      </c>
    </row>
    <row r="114" spans="6:27" ht="12.75">
      <c r="F114" s="84">
        <v>112</v>
      </c>
      <c r="G114" s="85">
        <f>10^('Small Signal'!F114/30)</f>
        <v>5411.695265464639</v>
      </c>
      <c r="H114" s="85" t="str">
        <f t="shared" si="14"/>
        <v>34002.6841789008i</v>
      </c>
      <c r="I114" s="85">
        <f>IF('Small Signal'!$B$37&gt;=1,Q114+0,N114+0)</f>
        <v>23.688295745610176</v>
      </c>
      <c r="J114" s="85">
        <f>IF('Small Signal'!$B$37&gt;=1,R114,O114)</f>
        <v>-50.11013013722433</v>
      </c>
      <c r="K114" s="85">
        <f>IF('Small Signal'!$B$37&gt;=1,Z114+0,W114+0)</f>
        <v>15.086579658559934</v>
      </c>
      <c r="L114" s="85">
        <f>IF('Small Signal'!$B$37&gt;=1,AA114,X114)</f>
        <v>90.29401107251661</v>
      </c>
      <c r="M114" s="85" t="str">
        <f>IMDIV(IMSUM('Small Signal'!$B$2*'Small Signal'!$B$16*'Small Signal'!$B$38,IMPRODUCT(H114,'Small Signal'!$B$2*'Small Signal'!$B$16*'Small Signal'!$B$38*'Small Signal'!$B$13*'Small Signal'!$B$14)),IMSUM(IMPRODUCT('Small Signal'!$B$11*'Small Signal'!$B$13*('Small Signal'!$B$14+'Small Signal'!$B$16),IMPOWER(H114,2)),IMSUM(IMPRODUCT(H114,('Small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9.80585567366349-11.7318862909772i</v>
      </c>
      <c r="N114" s="85">
        <f t="shared" si="15"/>
        <v>23.688295745610176</v>
      </c>
      <c r="O114" s="85">
        <f t="shared" si="16"/>
        <v>-50.11013013722433</v>
      </c>
      <c r="P114" s="85" t="str">
        <f>IMDIV(IMSUM('Small Signal'!$B$48,IMPRODUCT(H114,'Small Signal'!$B$49)),IMSUM(IMPRODUCT('Small Signal'!$B$52,IMPOWER(H114,2)),IMSUM(IMPRODUCT(H114,'Small Signal'!$B$51),'Small Signal'!$B$50)))</f>
        <v>22.8671889535918-24.0082687081122i</v>
      </c>
      <c r="Q114" s="85">
        <f t="shared" si="17"/>
        <v>30.411183206215462</v>
      </c>
      <c r="R114" s="85">
        <f t="shared" si="18"/>
        <v>-46.394464138480274</v>
      </c>
      <c r="S114" s="85" t="str">
        <f>IMPRODUCT(IMDIV(IMSUM(IMPRODUCT(H114,'Small Signal'!$B$33*'Small Signal'!$B$6*'Small Signal'!$B$27*'Small Signal'!$B$7*'Small Signal'!$B$8),'Small Signal'!$B$33*'Small Signal'!$B$6*'Small Signal'!$B$27),IMSUM(IMSUM(IMPRODUCT(H114,('Small Signal'!$B$5+'Small Signal'!$B$6)*('Small Signal'!$B$32*'Small Signal'!$B$33)+'Small Signal'!$B$5*'Small Signal'!$B$33*('Small Signal'!$B$8+'Small Signal'!$B$9)+'Small Signal'!$B$6*'Small Signal'!$B$33*('Small Signal'!$B$8+'Small Signal'!$B$9)+'Small Signal'!$B$7*'Small Signal'!$B$8*('Small Signal'!$B$5+'Small Signal'!$B$6)),'Small Signal'!$B$6+'Small Signal'!$B$5),IMPRODUCT(IMPOWER(H114,2),'Small Signal'!$B$32*'Small Signal'!$B$33*'Small Signal'!$B$8*'Small Signal'!$B$7*('Small Signal'!$B$5+'Small Signal'!$B$6)+('Small Signal'!$B$5+'Small Signal'!$B$6)*('Small Signal'!$B$9*'Small Signal'!$B$8*'Small Signal'!$B$33*'Small Signal'!$B$7)))),-1)</f>
        <v>-0.286233373403864+0.236757994961412i</v>
      </c>
      <c r="T114" s="85">
        <f t="shared" si="19"/>
        <v>-8.601716087050239</v>
      </c>
      <c r="U114" s="85">
        <f t="shared" si="20"/>
        <v>140.40414120974094</v>
      </c>
      <c r="V114" s="85" t="str">
        <f t="shared" si="21"/>
        <v>-0.0291452732170817+5.6796721176345i</v>
      </c>
      <c r="W114" s="80">
        <f t="shared" si="22"/>
        <v>15.086579658559934</v>
      </c>
      <c r="X114" s="85">
        <f t="shared" si="23"/>
        <v>90.29401107251661</v>
      </c>
      <c r="Y114" s="85" t="str">
        <f t="shared" si="24"/>
        <v>-0.861203072622702+12.2859575489655i</v>
      </c>
      <c r="Z114" s="80">
        <f t="shared" si="25"/>
        <v>21.809467119165205</v>
      </c>
      <c r="AA114" s="85">
        <f t="shared" si="26"/>
        <v>94.00967707126068</v>
      </c>
    </row>
    <row r="115" spans="6:27" ht="12.75">
      <c r="F115" s="84">
        <v>113</v>
      </c>
      <c r="G115" s="85">
        <f>10^('Small Signal'!F115/30)</f>
        <v>5843.41413373518</v>
      </c>
      <c r="H115" s="85" t="str">
        <f t="shared" si="14"/>
        <v>36715.2538288504i</v>
      </c>
      <c r="I115" s="85">
        <f>IF('Small Signal'!$B$37&gt;=1,Q115+0,N115+0)</f>
        <v>23.311370905700866</v>
      </c>
      <c r="J115" s="85">
        <f>IF('Small Signal'!$B$37&gt;=1,R115,O115)</f>
        <v>-52.49698295105194</v>
      </c>
      <c r="K115" s="85">
        <f>IF('Small Signal'!$B$37&gt;=1,Z115+0,W115+0)</f>
        <v>14.463107154046613</v>
      </c>
      <c r="L115" s="85">
        <f>IF('Small Signal'!$B$37&gt;=1,AA115,X115)</f>
        <v>89.9217570097461</v>
      </c>
      <c r="M115" s="85" t="str">
        <f>IMDIV(IMSUM('Small Signal'!$B$2*'Small Signal'!$B$16*'Small Signal'!$B$38,IMPRODUCT(H115,'Small Signal'!$B$2*'Small Signal'!$B$16*'Small Signal'!$B$38*'Small Signal'!$B$13*'Small Signal'!$B$14)),IMSUM(IMPRODUCT('Small Signal'!$B$11*'Small Signal'!$B$13*('Small Signal'!$B$14+'Small Signal'!$B$16),IMPOWER(H115,2)),IMSUM(IMPRODUCT(H115,('Small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8.91344265415911-11.6149581964076i</v>
      </c>
      <c r="N115" s="85">
        <f t="shared" si="15"/>
        <v>23.311370905700866</v>
      </c>
      <c r="O115" s="85">
        <f t="shared" si="16"/>
        <v>-52.49698295105194</v>
      </c>
      <c r="P115" s="85" t="str">
        <f>IMDIV(IMSUM('Small Signal'!$B$48,IMPRODUCT(H115,'Small Signal'!$B$49)),IMSUM(IMPRODUCT('Small Signal'!$B$52,IMPOWER(H115,2)),IMSUM(IMPRODUCT(H115,'Small Signal'!$B$51),'Small Signal'!$B$50)))</f>
        <v>20.9528764402697-24.4368158845672i</v>
      </c>
      <c r="Q115" s="85">
        <f t="shared" si="17"/>
        <v>30.154356252666744</v>
      </c>
      <c r="R115" s="85">
        <f t="shared" si="18"/>
        <v>-49.389199057217645</v>
      </c>
      <c r="S115" s="85" t="str">
        <f>IMPRODUCT(IMDIV(IMSUM(IMPRODUCT(H115,'Small Signal'!$B$33*'Small Signal'!$B$6*'Small Signal'!$B$27*'Small Signal'!$B$7*'Small Signal'!$B$8),'Small Signal'!$B$33*'Small Signal'!$B$6*'Small Signal'!$B$27),IMSUM(IMSUM(IMPRODUCT(H115,('Small Signal'!$B$5+'Small Signal'!$B$6)*('Small Signal'!$B$32*'Small Signal'!$B$33)+'Small Signal'!$B$5*'Small Signal'!$B$33*('Small Signal'!$B$8+'Small Signal'!$B$9)+'Small Signal'!$B$6*'Small Signal'!$B$33*('Small Signal'!$B$8+'Small Signal'!$B$9)+'Small Signal'!$B$7*'Small Signal'!$B$8*('Small Signal'!$B$5+'Small Signal'!$B$6)),'Small Signal'!$B$6+'Small Signal'!$B$5),IMPRODUCT(IMPOWER(H115,2),'Small Signal'!$B$32*'Small Signal'!$B$33*'Small Signal'!$B$8*'Small Signal'!$B$7*('Small Signal'!$B$5+'Small Signal'!$B$6)+('Small Signal'!$B$5+'Small Signal'!$B$6)*('Small Signal'!$B$9*'Small Signal'!$B$8*'Small Signal'!$B$33*'Small Signal'!$B$7)))),-1)</f>
        <v>-0.286141035760282+0.220209206647788i</v>
      </c>
      <c r="T115" s="85">
        <f t="shared" si="19"/>
        <v>-8.848263751654255</v>
      </c>
      <c r="U115" s="85">
        <f t="shared" si="20"/>
        <v>142.41873996079804</v>
      </c>
      <c r="V115" s="85" t="str">
        <f t="shared" si="21"/>
        <v>0.00721901642717517+5.28633830400538i</v>
      </c>
      <c r="W115" s="80">
        <f t="shared" si="22"/>
        <v>14.463107154046613</v>
      </c>
      <c r="X115" s="85">
        <f t="shared" si="23"/>
        <v>89.9217570097461</v>
      </c>
      <c r="Y115" s="85" t="str">
        <f t="shared" si="24"/>
        <v>-0.614265927837376+11.6063921057943i</v>
      </c>
      <c r="Z115" s="80">
        <f t="shared" si="25"/>
        <v>21.306092501012497</v>
      </c>
      <c r="AA115" s="85">
        <f t="shared" si="26"/>
        <v>93.0295409035804</v>
      </c>
    </row>
    <row r="116" spans="6:27" ht="12.75">
      <c r="F116" s="84">
        <v>114</v>
      </c>
      <c r="G116" s="85">
        <f>10^('Small Signal'!F116/30)</f>
        <v>6309.573444801938</v>
      </c>
      <c r="H116" s="85" t="str">
        <f t="shared" si="14"/>
        <v>39644.21916295i</v>
      </c>
      <c r="I116" s="85">
        <f>IF('Small Signal'!$B$37&gt;=1,Q116+0,N116+0)</f>
        <v>22.90929386319165</v>
      </c>
      <c r="J116" s="85">
        <f>IF('Small Signal'!$B$37&gt;=1,R116,O116)</f>
        <v>-54.87302846068617</v>
      </c>
      <c r="K116" s="85">
        <f>IF('Small Signal'!$B$37&gt;=1,Z116+0,W116+0)</f>
        <v>13.83773990046948</v>
      </c>
      <c r="L116" s="85">
        <f>IF('Small Signal'!$B$37&gt;=1,AA116,X116)</f>
        <v>89.50542383720659</v>
      </c>
      <c r="M116" s="85" t="str">
        <f>IMDIV(IMSUM('Small Signal'!$B$2*'Small Signal'!$B$16*'Small Signal'!$B$38,IMPRODUCT(H116,'Small Signal'!$B$2*'Small Signal'!$B$16*'Small Signal'!$B$38*'Small Signal'!$B$13*'Small Signal'!$B$14)),IMSUM(IMPRODUCT('Small Signal'!$B$11*'Small Signal'!$B$13*('Small Signal'!$B$14+'Small Signal'!$B$16),IMPOWER(H116,2)),IMSUM(IMPRODUCT(H116,('Small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8.04317001671397-11.4328293897128i</v>
      </c>
      <c r="N116" s="85">
        <f t="shared" si="15"/>
        <v>22.90929386319165</v>
      </c>
      <c r="O116" s="85">
        <f t="shared" si="16"/>
        <v>-54.87302846068617</v>
      </c>
      <c r="P116" s="85" t="str">
        <f>IMDIV(IMSUM('Small Signal'!$B$48,IMPRODUCT(H116,'Small Signal'!$B$49)),IMSUM(IMPRODUCT('Small Signal'!$B$52,IMPOWER(H116,2)),IMSUM(IMPRODUCT(H116,'Small Signal'!$B$51),'Small Signal'!$B$50)))</f>
        <v>18.9649003858144-24.7116382816799i</v>
      </c>
      <c r="Q116" s="85">
        <f t="shared" si="17"/>
        <v>29.86920583653678</v>
      </c>
      <c r="R116" s="85">
        <f t="shared" si="18"/>
        <v>-52.49563186610923</v>
      </c>
      <c r="S116" s="85" t="str">
        <f>IMPRODUCT(IMDIV(IMSUM(IMPRODUCT(H116,'Small Signal'!$B$33*'Small Signal'!$B$6*'Small Signal'!$B$27*'Small Signal'!$B$7*'Small Signal'!$B$8),'Small Signal'!$B$33*'Small Signal'!$B$6*'Small Signal'!$B$27),IMSUM(IMSUM(IMPRODUCT(H116,('Small Signal'!$B$5+'Small Signal'!$B$6)*('Small Signal'!$B$32*'Small Signal'!$B$33)+'Small Signal'!$B$5*'Small Signal'!$B$33*('Small Signal'!$B$8+'Small Signal'!$B$9)+'Small Signal'!$B$6*'Small Signal'!$B$33*('Small Signal'!$B$8+'Small Signal'!$B$9)+'Small Signal'!$B$7*'Small Signal'!$B$8*('Small Signal'!$B$5+'Small Signal'!$B$6)),'Small Signal'!$B$6+'Small Signal'!$B$5),IMPRODUCT(IMPOWER(H116,2),'Small Signal'!$B$32*'Small Signal'!$B$33*'Small Signal'!$B$8*'Small Signal'!$B$7*('Small Signal'!$B$5+'Small Signal'!$B$6)+('Small Signal'!$B$5+'Small Signal'!$B$6)*('Small Signal'!$B$9*'Small Signal'!$B$8*'Small Signal'!$B$33*'Small Signal'!$B$7)))),-1)</f>
        <v>-0.286055097342671+0.20495809839307i</v>
      </c>
      <c r="T116" s="85">
        <f t="shared" si="19"/>
        <v>-9.071553962722174</v>
      </c>
      <c r="U116" s="85">
        <f t="shared" si="20"/>
        <v>144.37845229789275</v>
      </c>
      <c r="V116" s="85" t="str">
        <f t="shared" si="21"/>
        <v>0.0424611888931712+4.9189319556543i</v>
      </c>
      <c r="W116" s="80">
        <f t="shared" si="22"/>
        <v>13.83773990046948</v>
      </c>
      <c r="X116" s="85">
        <f t="shared" si="23"/>
        <v>89.50542383720659</v>
      </c>
      <c r="Y116" s="85" t="str">
        <f t="shared" si="24"/>
        <v>-0.360156035567692+10.9559000134533i</v>
      </c>
      <c r="Z116" s="80">
        <f t="shared" si="25"/>
        <v>20.797651873814576</v>
      </c>
      <c r="AA116" s="85">
        <f t="shared" si="26"/>
        <v>91.88282043178353</v>
      </c>
    </row>
    <row r="117" spans="6:27" ht="12.75">
      <c r="F117" s="84">
        <v>115</v>
      </c>
      <c r="G117" s="85">
        <f>10^('Small Signal'!F117/30)</f>
        <v>6812.920690579622</v>
      </c>
      <c r="H117" s="85" t="str">
        <f t="shared" si="14"/>
        <v>42806.8431820297i</v>
      </c>
      <c r="I117" s="85">
        <f>IF('Small Signal'!$B$37&gt;=1,Q117+0,N117+0)</f>
        <v>22.482771225074817</v>
      </c>
      <c r="J117" s="85">
        <f>IF('Small Signal'!$B$37&gt;=1,R117,O117)</f>
        <v>-57.22791206613124</v>
      </c>
      <c r="K117" s="85">
        <f>IF('Small Signal'!$B$37&gt;=1,Z117+0,W117+0)</f>
        <v>13.210022443575946</v>
      </c>
      <c r="L117" s="85">
        <f>IF('Small Signal'!$B$37&gt;=1,AA117,X117)</f>
        <v>89.04517842700155</v>
      </c>
      <c r="M117" s="85" t="str">
        <f>IMDIV(IMSUM('Small Signal'!$B$2*'Small Signal'!$B$16*'Small Signal'!$B$38,IMPRODUCT(H117,'Small Signal'!$B$2*'Small Signal'!$B$16*'Small Signal'!$B$38*'Small Signal'!$B$13*'Small Signal'!$B$14)),IMSUM(IMPRODUCT('Small Signal'!$B$11*'Small Signal'!$B$13*('Small Signal'!$B$14+'Small Signal'!$B$16),IMPOWER(H117,2)),IMSUM(IMPRODUCT(H117,('Small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7.20402997874894-11.1904349454066i</v>
      </c>
      <c r="N117" s="85">
        <f t="shared" si="15"/>
        <v>22.482771225074817</v>
      </c>
      <c r="O117" s="85">
        <f t="shared" si="16"/>
        <v>-57.22791206613124</v>
      </c>
      <c r="P117" s="85" t="str">
        <f>IMDIV(IMSUM('Small Signal'!$B$48,IMPRODUCT(H117,'Small Signal'!$B$49)),IMSUM(IMPRODUCT('Small Signal'!$B$52,IMPOWER(H117,2)),IMSUM(IMPRODUCT(H117,'Small Signal'!$B$51),'Small Signal'!$B$50)))</f>
        <v>16.9258065790886-24.81810104813i</v>
      </c>
      <c r="Q117" s="85">
        <f t="shared" si="17"/>
        <v>29.55409225828195</v>
      </c>
      <c r="R117" s="85">
        <f t="shared" si="18"/>
        <v>-55.70623013899688</v>
      </c>
      <c r="S117" s="85" t="str">
        <f>IMPRODUCT(IMDIV(IMSUM(IMPRODUCT(H117,'Small Signal'!$B$33*'Small Signal'!$B$6*'Small Signal'!$B$27*'Small Signal'!$B$7*'Small Signal'!$B$8),'Small Signal'!$B$33*'Small Signal'!$B$6*'Small Signal'!$B$27),IMSUM(IMSUM(IMPRODUCT(H117,('Small Signal'!$B$5+'Small Signal'!$B$6)*('Small Signal'!$B$32*'Small Signal'!$B$33)+'Small Signal'!$B$5*'Small Signal'!$B$33*('Small Signal'!$B$8+'Small Signal'!$B$9)+'Small Signal'!$B$6*'Small Signal'!$B$33*('Small Signal'!$B$8+'Small Signal'!$B$9)+'Small Signal'!$B$7*'Small Signal'!$B$8*('Small Signal'!$B$5+'Small Signal'!$B$6)),'Small Signal'!$B$6+'Small Signal'!$B$5),IMPRODUCT(IMPOWER(H117,2),'Small Signal'!$B$32*'Small Signal'!$B$33*'Small Signal'!$B$8*'Small Signal'!$B$7*('Small Signal'!$B$5+'Small Signal'!$B$6)+('Small Signal'!$B$5+'Small Signal'!$B$6)*('Small Signal'!$B$9*'Small Signal'!$B$8*'Small Signal'!$B$33*'Small Signal'!$B$7)))),-1)</f>
        <v>-0.285973531272363+0.190914746384971i</v>
      </c>
      <c r="T117" s="85">
        <f t="shared" si="19"/>
        <v>-9.272748781498873</v>
      </c>
      <c r="U117" s="85">
        <f t="shared" si="20"/>
        <v>146.27309049313277</v>
      </c>
      <c r="V117" s="85" t="str">
        <f t="shared" si="21"/>
        <v>0.0762571571250172+4.57552375415416i</v>
      </c>
      <c r="W117" s="80">
        <f t="shared" si="22"/>
        <v>13.210022443575946</v>
      </c>
      <c r="X117" s="85">
        <f t="shared" si="23"/>
        <v>89.04517842700155</v>
      </c>
      <c r="Y117" s="85" t="str">
        <f t="shared" si="24"/>
        <v>-0.10219120969464+10.3287060666158i</v>
      </c>
      <c r="Z117" s="80">
        <f t="shared" si="25"/>
        <v>20.28134347678304</v>
      </c>
      <c r="AA117" s="85">
        <f t="shared" si="26"/>
        <v>90.5668603541359</v>
      </c>
    </row>
    <row r="118" spans="6:27" ht="12.75">
      <c r="F118" s="84">
        <v>116</v>
      </c>
      <c r="G118" s="85">
        <f>10^('Small Signal'!F118/30)</f>
        <v>7356.422544596425</v>
      </c>
      <c r="H118" s="85" t="str">
        <f t="shared" si="14"/>
        <v>46221.7660456129i</v>
      </c>
      <c r="I118" s="85">
        <f>IF('Small Signal'!$B$37&gt;=1,Q118+0,N118+0)</f>
        <v>22.032737395371175</v>
      </c>
      <c r="J118" s="85">
        <f>IF('Small Signal'!$B$37&gt;=1,R118,O118)</f>
        <v>-59.55243090598722</v>
      </c>
      <c r="K118" s="85">
        <f>IF('Small Signal'!$B$37&gt;=1,Z118+0,W118+0)</f>
        <v>12.579569136478542</v>
      </c>
      <c r="L118" s="85">
        <f>IF('Small Signal'!$B$37&gt;=1,AA118,X118)</f>
        <v>88.54139708682835</v>
      </c>
      <c r="M118" s="85" t="str">
        <f>IMDIV(IMSUM('Small Signal'!$B$2*'Small Signal'!$B$16*'Small Signal'!$B$38,IMPRODUCT(H118,'Small Signal'!$B$2*'Small Signal'!$B$16*'Small Signal'!$B$38*'Small Signal'!$B$13*'Small Signal'!$B$14)),IMSUM(IMPRODUCT('Small Signal'!$B$11*'Small Signal'!$B$13*('Small Signal'!$B$14+'Small Signal'!$B$16),IMPOWER(H118,2)),IMSUM(IMPRODUCT(H118,('Small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6.40369079210375-10.8940938265757i</v>
      </c>
      <c r="N118" s="85">
        <f t="shared" si="15"/>
        <v>22.032737395371175</v>
      </c>
      <c r="O118" s="85">
        <f t="shared" si="16"/>
        <v>-59.55243090598722</v>
      </c>
      <c r="P118" s="85" t="str">
        <f>IMDIV(IMSUM('Small Signal'!$B$48,IMPRODUCT(H118,'Small Signal'!$B$49)),IMSUM(IMPRODUCT('Small Signal'!$B$52,IMPOWER(H118,2)),IMSUM(IMPRODUCT(H118,'Small Signal'!$B$51),'Small Signal'!$B$50)))</f>
        <v>14.8614170620243-24.7456261815141i</v>
      </c>
      <c r="Q118" s="85">
        <f t="shared" si="17"/>
        <v>29.20753291567481</v>
      </c>
      <c r="R118" s="85">
        <f t="shared" si="18"/>
        <v>-59.012344150017604</v>
      </c>
      <c r="S118" s="85" t="str">
        <f>IMPRODUCT(IMDIV(IMSUM(IMPRODUCT(H118,'Small Signal'!$B$33*'Small Signal'!$B$6*'Small Signal'!$B$27*'Small Signal'!$B$7*'Small Signal'!$B$8),'Small Signal'!$B$33*'Small Signal'!$B$6*'Small Signal'!$B$27),IMSUM(IMSUM(IMPRODUCT(H118,('Small Signal'!$B$5+'Small Signal'!$B$6)*('Small Signal'!$B$32*'Small Signal'!$B$33)+'Small Signal'!$B$5*'Small Signal'!$B$33*('Small Signal'!$B$8+'Small Signal'!$B$9)+'Small Signal'!$B$6*'Small Signal'!$B$33*('Small Signal'!$B$8+'Small Signal'!$B$9)+'Small Signal'!$B$7*'Small Signal'!$B$8*('Small Signal'!$B$5+'Small Signal'!$B$6)),'Small Signal'!$B$6+'Small Signal'!$B$5),IMPRODUCT(IMPOWER(H118,2),'Small Signal'!$B$32*'Small Signal'!$B$33*'Small Signal'!$B$8*'Small Signal'!$B$7*('Small Signal'!$B$5+'Small Signal'!$B$6)+('Small Signal'!$B$5+'Small Signal'!$B$6)*('Small Signal'!$B$9*'Small Signal'!$B$8*'Small Signal'!$B$33*'Small Signal'!$B$7)))),-1)</f>
        <v>-0.285894414655974+0.177996332221228i</v>
      </c>
      <c r="T118" s="85">
        <f t="shared" si="19"/>
        <v>-9.453168258892644</v>
      </c>
      <c r="U118" s="85">
        <f t="shared" si="20"/>
        <v>148.0938279928156</v>
      </c>
      <c r="V118" s="85" t="str">
        <f t="shared" si="21"/>
        <v>0.108329313358045+4.25439405142944i</v>
      </c>
      <c r="W118" s="80">
        <f t="shared" si="22"/>
        <v>12.579569136478542</v>
      </c>
      <c r="X118" s="85">
        <f t="shared" si="23"/>
        <v>88.54139708682835</v>
      </c>
      <c r="Y118" s="85" t="str">
        <f t="shared" si="24"/>
        <v>0.15583456692136+9.71991404110982i</v>
      </c>
      <c r="Z118" s="80">
        <f t="shared" si="25"/>
        <v>19.75436465678217</v>
      </c>
      <c r="AA118" s="85">
        <f t="shared" si="26"/>
        <v>89.08148384279798</v>
      </c>
    </row>
    <row r="119" spans="6:27" ht="12.75">
      <c r="F119" s="84">
        <v>117</v>
      </c>
      <c r="G119" s="85">
        <f>10^('Small Signal'!F119/30)</f>
        <v>7943.282347242815</v>
      </c>
      <c r="H119" s="85" t="str">
        <f t="shared" si="14"/>
        <v>49909.114934975i</v>
      </c>
      <c r="I119" s="85">
        <f>IF('Small Signal'!$B$37&gt;=1,Q119+0,N119+0)</f>
        <v>21.560312579363462</v>
      </c>
      <c r="J119" s="85">
        <f>IF('Small Signal'!$B$37&gt;=1,R119,O119)</f>
        <v>-61.83876182754462</v>
      </c>
      <c r="K119" s="85">
        <f>IF('Small Signal'!$B$37&gt;=1,Z119+0,W119+0)</f>
        <v>11.946068510313035</v>
      </c>
      <c r="L119" s="85">
        <f>IF('Small Signal'!$B$37&gt;=1,AA119,X119)</f>
        <v>87.99451645863424</v>
      </c>
      <c r="M119" s="85" t="str">
        <f>IMDIV(IMSUM('Small Signal'!$B$2*'Small Signal'!$B$16*'Small Signal'!$B$38,IMPRODUCT(H119,'Small Signal'!$B$2*'Small Signal'!$B$16*'Small Signal'!$B$38*'Small Signal'!$B$13*'Small Signal'!$B$14)),IMSUM(IMPRODUCT('Small Signal'!$B$11*'Small Signal'!$B$13*('Small Signal'!$B$14+'Small Signal'!$B$16),IMPOWER(H119,2)),IMSUM(IMPRODUCT(H119,('Small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5.64827328618377-10.5511187662936i</v>
      </c>
      <c r="N119" s="85">
        <f t="shared" si="15"/>
        <v>21.560312579363462</v>
      </c>
      <c r="O119" s="85">
        <f t="shared" si="16"/>
        <v>-61.83876182754462</v>
      </c>
      <c r="P119" s="85" t="str">
        <f>IMDIV(IMSUM('Small Signal'!$B$48,IMPRODUCT(H119,'Small Signal'!$B$49)),IMSUM(IMPRODUCT('Small Signal'!$B$52,IMPOWER(H119,2)),IMSUM(IMPRODUCT(H119,'Small Signal'!$B$51),'Small Signal'!$B$50)))</f>
        <v>12.7998760357674-24.4885105193327i</v>
      </c>
      <c r="Q119" s="85">
        <f t="shared" si="17"/>
        <v>28.828226780742682</v>
      </c>
      <c r="R119" s="85">
        <f t="shared" si="18"/>
        <v>-62.4044246595396</v>
      </c>
      <c r="S119" s="85" t="str">
        <f>IMPRODUCT(IMDIV(IMSUM(IMPRODUCT(H119,'Small Signal'!$B$33*'Small Signal'!$B$6*'Small Signal'!$B$27*'Small Signal'!$B$7*'Small Signal'!$B$8),'Small Signal'!$B$33*'Small Signal'!$B$6*'Small Signal'!$B$27),IMSUM(IMSUM(IMPRODUCT(H119,('Small Signal'!$B$5+'Small Signal'!$B$6)*('Small Signal'!$B$32*'Small Signal'!$B$33)+'Small Signal'!$B$5*'Small Signal'!$B$33*('Small Signal'!$B$8+'Small Signal'!$B$9)+'Small Signal'!$B$6*'Small Signal'!$B$33*('Small Signal'!$B$8+'Small Signal'!$B$9)+'Small Signal'!$B$7*'Small Signal'!$B$8*('Small Signal'!$B$5+'Small Signal'!$B$6)),'Small Signal'!$B$6+'Small Signal'!$B$5),IMPRODUCT(IMPOWER(H119,2),'Small Signal'!$B$32*'Small Signal'!$B$33*'Small Signal'!$B$8*'Small Signal'!$B$7*('Small Signal'!$B$5+'Small Signal'!$B$6)+('Small Signal'!$B$5+'Small Signal'!$B$6)*('Small Signal'!$B$9*'Small Signal'!$B$8*'Small Signal'!$B$33*'Small Signal'!$B$7)))),-1)</f>
        <v>-0.28581588346043+0.166126652226282i</v>
      </c>
      <c r="T119" s="85">
        <f t="shared" si="19"/>
        <v>-9.614244069050429</v>
      </c>
      <c r="U119" s="85">
        <f t="shared" si="20"/>
        <v>149.83327828617885</v>
      </c>
      <c r="V119" s="85" t="str">
        <f t="shared" si="21"/>
        <v>0.138455818569694+3.95400606357698i</v>
      </c>
      <c r="W119" s="80">
        <f t="shared" si="22"/>
        <v>11.946068510313035</v>
      </c>
      <c r="X119" s="85">
        <f t="shared" si="23"/>
        <v>87.99451645863424</v>
      </c>
      <c r="Y119" s="85" t="str">
        <f t="shared" si="24"/>
        <v>0.409786393237985+9.12560582344656i</v>
      </c>
      <c r="Z119" s="80">
        <f t="shared" si="25"/>
        <v>19.21398271169225</v>
      </c>
      <c r="AA119" s="85">
        <f t="shared" si="26"/>
        <v>87.42885362663925</v>
      </c>
    </row>
    <row r="120" spans="6:27" ht="12.75">
      <c r="F120" s="84">
        <v>118</v>
      </c>
      <c r="G120" s="85">
        <f>10^('Small Signal'!F120/30)</f>
        <v>8576.958985908945</v>
      </c>
      <c r="H120" s="85" t="str">
        <f t="shared" si="14"/>
        <v>53890.622680545i</v>
      </c>
      <c r="I120" s="85">
        <f>IF('Small Signal'!$B$37&gt;=1,Q120+0,N120+0)</f>
        <v>21.06675602342967</v>
      </c>
      <c r="J120" s="85">
        <f>IF('Small Signal'!$B$37&gt;=1,R120,O120)</f>
        <v>-64.08061413563821</v>
      </c>
      <c r="K120" s="85">
        <f>IF('Small Signal'!$B$37&gt;=1,Z120+0,W120+0)</f>
        <v>11.309281504274988</v>
      </c>
      <c r="L120" s="85">
        <f>IF('Small Signal'!$B$37&gt;=1,AA120,X120)</f>
        <v>87.40488828617438</v>
      </c>
      <c r="M120" s="85" t="str">
        <f>IMDIV(IMSUM('Small Signal'!$B$2*'Small Signal'!$B$16*'Small Signal'!$B$38,IMPRODUCT(H120,'Small Signal'!$B$2*'Small Signal'!$B$16*'Small Signal'!$B$38*'Small Signal'!$B$13*'Small Signal'!$B$14)),IMSUM(IMPRODUCT('Small Signal'!$B$11*'Small Signal'!$B$13*('Small Signal'!$B$14+'Small Signal'!$B$16),IMPOWER(H120,2)),IMSUM(IMPRODUCT(H120,('Small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4.94224982243739-10.169403571165i</v>
      </c>
      <c r="N120" s="85">
        <f t="shared" si="15"/>
        <v>21.06675602342967</v>
      </c>
      <c r="O120" s="85">
        <f t="shared" si="16"/>
        <v>-64.08061413563821</v>
      </c>
      <c r="P120" s="85" t="str">
        <f>IMDIV(IMSUM('Small Signal'!$B$48,IMPRODUCT(H120,'Small Signal'!$B$49)),IMSUM(IMPRODUCT('Small Signal'!$B$52,IMPOWER(H120,2)),IMSUM(IMPRODUCT(H120,'Small Signal'!$B$51),'Small Signal'!$B$50)))</f>
        <v>10.7704734136638-24.0464653144393i</v>
      </c>
      <c r="Q120" s="85">
        <f t="shared" si="17"/>
        <v>28.41506875067083</v>
      </c>
      <c r="R120" s="85">
        <f t="shared" si="18"/>
        <v>-65.87227018381155</v>
      </c>
      <c r="S120" s="85" t="str">
        <f>IMPRODUCT(IMDIV(IMSUM(IMPRODUCT(H120,'Small Signal'!$B$33*'Small Signal'!$B$6*'Small Signal'!$B$27*'Small Signal'!$B$7*'Small Signal'!$B$8),'Small Signal'!$B$33*'Small Signal'!$B$6*'Small Signal'!$B$27),IMSUM(IMSUM(IMPRODUCT(H120,('Small Signal'!$B$5+'Small Signal'!$B$6)*('Small Signal'!$B$32*'Small Signal'!$B$33)+'Small Signal'!$B$5*'Small Signal'!$B$33*('Small Signal'!$B$8+'Small Signal'!$B$9)+'Small Signal'!$B$6*'Small Signal'!$B$33*('Small Signal'!$B$8+'Small Signal'!$B$9)+'Small Signal'!$B$7*'Small Signal'!$B$8*('Small Signal'!$B$5+'Small Signal'!$B$6)),'Small Signal'!$B$6+'Small Signal'!$B$5),IMPRODUCT(IMPOWER(H120,2),'Small Signal'!$B$32*'Small Signal'!$B$33*'Small Signal'!$B$8*'Small Signal'!$B$7*('Small Signal'!$B$5+'Small Signal'!$B$6)+('Small Signal'!$B$5+'Small Signal'!$B$6)*('Small Signal'!$B$9*'Small Signal'!$B$8*'Small Signal'!$B$33*'Small Signal'!$B$7)))),-1)</f>
        <v>-0.285736088874783+0.155235664935637i</v>
      </c>
      <c r="T120" s="85">
        <f t="shared" si="19"/>
        <v>-9.757474519154677</v>
      </c>
      <c r="U120" s="85">
        <f t="shared" si="20"/>
        <v>151.4855024218126</v>
      </c>
      <c r="V120" s="85" t="str">
        <f t="shared" si="21"/>
        <v>0.16647499086329+3.67297904007804i</v>
      </c>
      <c r="W120" s="80">
        <f t="shared" si="22"/>
        <v>11.309281504274988</v>
      </c>
      <c r="X120" s="85">
        <f t="shared" si="23"/>
        <v>87.40488828617438</v>
      </c>
      <c r="Y120" s="85" t="str">
        <f t="shared" si="24"/>
        <v>0.655356083888589+8.54290455225271i</v>
      </c>
      <c r="Z120" s="80">
        <f t="shared" si="25"/>
        <v>18.65759423151615</v>
      </c>
      <c r="AA120" s="85">
        <f t="shared" si="26"/>
        <v>85.61323223800105</v>
      </c>
    </row>
    <row r="121" spans="6:27" ht="12.75">
      <c r="F121" s="84">
        <v>119</v>
      </c>
      <c r="G121" s="85">
        <f>10^('Small Signal'!F121/30)</f>
        <v>9261.187281287941</v>
      </c>
      <c r="H121" s="85" t="str">
        <f t="shared" si="14"/>
        <v>58189.7558528268i</v>
      </c>
      <c r="I121" s="85">
        <f>IF('Small Signal'!$B$37&gt;=1,Q121+0,N121+0)</f>
        <v>20.553417837905176</v>
      </c>
      <c r="J121" s="85">
        <f>IF('Small Signal'!$B$37&gt;=1,R121,O121)</f>
        <v>-66.27330651929793</v>
      </c>
      <c r="K121" s="85">
        <f>IF('Small Signal'!$B$37&gt;=1,Z121+0,W121+0)</f>
        <v>10.669034442968018</v>
      </c>
      <c r="L121" s="85">
        <f>IF('Small Signal'!$B$37&gt;=1,AA121,X121)</f>
        <v>86.77264874153762</v>
      </c>
      <c r="M121" s="85" t="str">
        <f>IMDIV(IMSUM('Small Signal'!$B$2*'Small Signal'!$B$16*'Small Signal'!$B$38,IMPRODUCT(H121,'Small Signal'!$B$2*'Small Signal'!$B$16*'Small Signal'!$B$38*'Small Signal'!$B$13*'Small Signal'!$B$14)),IMSUM(IMPRODUCT('Small Signal'!$B$11*'Small Signal'!$B$13*('Small Signal'!$B$14+'Small Signal'!$B$16),IMPOWER(H121,2)),IMSUM(IMPRODUCT(H121,('Small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4.28845797682559-9.75702663200032i</v>
      </c>
      <c r="N121" s="85">
        <f t="shared" si="15"/>
        <v>20.553417837905176</v>
      </c>
      <c r="O121" s="85">
        <f t="shared" si="16"/>
        <v>-66.27330651929793</v>
      </c>
      <c r="P121" s="85" t="str">
        <f>IMDIV(IMSUM('Small Signal'!$B$48,IMPRODUCT(H121,'Small Signal'!$B$49)),IMSUM(IMPRODUCT('Small Signal'!$B$52,IMPOWER(H121,2)),IMSUM(IMPRODUCT(H121,'Small Signal'!$B$51),'Small Signal'!$B$50)))</f>
        <v>8.80234510654115-23.4248141750489i</v>
      </c>
      <c r="Q121" s="85">
        <f t="shared" si="17"/>
        <v>27.967152815686504</v>
      </c>
      <c r="R121" s="85">
        <f t="shared" si="18"/>
        <v>-69.40528024718937</v>
      </c>
      <c r="S121" s="85" t="str">
        <f>IMPRODUCT(IMDIV(IMSUM(IMPRODUCT(H121,'Small Signal'!$B$33*'Small Signal'!$B$6*'Small Signal'!$B$27*'Small Signal'!$B$7*'Small Signal'!$B$8),'Small Signal'!$B$33*'Small Signal'!$B$6*'Small Signal'!$B$27),IMSUM(IMSUM(IMPRODUCT(H121,('Small Signal'!$B$5+'Small Signal'!$B$6)*('Small Signal'!$B$32*'Small Signal'!$B$33)+'Small Signal'!$B$5*'Small Signal'!$B$33*('Small Signal'!$B$8+'Small Signal'!$B$9)+'Small Signal'!$B$6*'Small Signal'!$B$33*('Small Signal'!$B$8+'Small Signal'!$B$9)+'Small Signal'!$B$7*'Small Signal'!$B$8*('Small Signal'!$B$5+'Small Signal'!$B$6)),'Small Signal'!$B$6+'Small Signal'!$B$5),IMPRODUCT(IMPOWER(H121,2),'Small Signal'!$B$32*'Small Signal'!$B$33*'Small Signal'!$B$8*'Small Signal'!$B$7*('Small Signal'!$B$5+'Small Signal'!$B$6)+('Small Signal'!$B$5+'Small Signal'!$B$6)*('Small Signal'!$B$9*'Small Signal'!$B$8*'Small Signal'!$B$33*'Small Signal'!$B$7)))),-1)</f>
        <v>-0.285653154163571+0.145259073904755i</v>
      </c>
      <c r="T121" s="85">
        <f t="shared" si="19"/>
        <v>-9.884383394937158</v>
      </c>
      <c r="U121" s="85">
        <f t="shared" si="20"/>
        <v>153.04595526083554</v>
      </c>
      <c r="V121" s="85" t="str">
        <f t="shared" si="21"/>
        <v>0.192285105050241+3.410062866882i</v>
      </c>
      <c r="W121" s="80">
        <f t="shared" si="22"/>
        <v>10.669034442968018</v>
      </c>
      <c r="X121" s="85">
        <f t="shared" si="23"/>
        <v>86.77264874153762</v>
      </c>
      <c r="Y121" s="85" t="str">
        <f t="shared" si="24"/>
        <v>0.888249169738827+7.96999255316447i</v>
      </c>
      <c r="Z121" s="80">
        <f t="shared" si="25"/>
        <v>18.08276942074935</v>
      </c>
      <c r="AA121" s="85">
        <f t="shared" si="26"/>
        <v>83.64067501364617</v>
      </c>
    </row>
    <row r="122" spans="6:27" ht="12.75">
      <c r="F122" s="84">
        <v>120</v>
      </c>
      <c r="G122" s="85">
        <f>10^('Small Signal'!F122/30)</f>
        <v>10000</v>
      </c>
      <c r="H122" s="85" t="str">
        <f t="shared" si="14"/>
        <v>62831.8530717959i</v>
      </c>
      <c r="I122" s="85">
        <f>IF('Small Signal'!$B$37&gt;=1,Q122+0,N122+0)</f>
        <v>20.021692358046295</v>
      </c>
      <c r="J122" s="85">
        <f>IF('Small Signal'!$B$37&gt;=1,R122,O122)</f>
        <v>-68.41377403610282</v>
      </c>
      <c r="K122" s="85">
        <f>IF('Small Signal'!$B$37&gt;=1,Z122+0,W122+0)</f>
        <v>10.025208009179462</v>
      </c>
      <c r="L122" s="85">
        <f>IF('Small Signal'!$B$37&gt;=1,AA122,X122)</f>
        <v>86.09760950250825</v>
      </c>
      <c r="M122" s="85" t="str">
        <f>IMDIV(IMSUM('Small Signal'!$B$2*'Small Signal'!$B$16*'Small Signal'!$B$38,IMPRODUCT(H122,'Small Signal'!$B$2*'Small Signal'!$B$16*'Small Signal'!$B$38*'Small Signal'!$B$13*'Small Signal'!$B$14)),IMSUM(IMPRODUCT('Small Signal'!$B$11*'Small Signal'!$B$13*('Small Signal'!$B$14+'Small Signal'!$B$16),IMPOWER(H122,2)),IMSUM(IMPRODUCT(H122,('Small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3.68820975154234-9.32190127265672i</v>
      </c>
      <c r="N122" s="85">
        <f t="shared" si="15"/>
        <v>20.021692358046295</v>
      </c>
      <c r="O122" s="85">
        <f t="shared" si="16"/>
        <v>-68.41377403610282</v>
      </c>
      <c r="P122" s="85" t="str">
        <f>IMDIV(IMSUM('Small Signal'!$B$48,IMPRODUCT(H122,'Small Signal'!$B$49)),IMSUM(IMPRODUCT('Small Signal'!$B$52,IMPOWER(H122,2)),IMSUM(IMPRODUCT(H122,'Small Signal'!$B$51),'Small Signal'!$B$50)))</f>
        <v>6.92316635396707-22.6343271236457i</v>
      </c>
      <c r="Q122" s="85">
        <f t="shared" si="17"/>
        <v>27.483764363602894</v>
      </c>
      <c r="R122" s="85">
        <f t="shared" si="18"/>
        <v>-72.99268934403149</v>
      </c>
      <c r="S122" s="85" t="str">
        <f>IMPRODUCT(IMDIV(IMSUM(IMPRODUCT(H122,'Small Signal'!$B$33*'Small Signal'!$B$6*'Small Signal'!$B$27*'Small Signal'!$B$7*'Small Signal'!$B$8),'Small Signal'!$B$33*'Small Signal'!$B$6*'Small Signal'!$B$27),IMSUM(IMSUM(IMPRODUCT(H122,('Small Signal'!$B$5+'Small Signal'!$B$6)*('Small Signal'!$B$32*'Small Signal'!$B$33)+'Small Signal'!$B$5*'Small Signal'!$B$33*('Small Signal'!$B$8+'Small Signal'!$B$9)+'Small Signal'!$B$6*'Small Signal'!$B$33*('Small Signal'!$B$8+'Small Signal'!$B$9)+'Small Signal'!$B$7*'Small Signal'!$B$8*('Small Signal'!$B$5+'Small Signal'!$B$6)),'Small Signal'!$B$6+'Small Signal'!$B$5),IMPRODUCT(IMPOWER(H122,2),'Small Signal'!$B$32*'Small Signal'!$B$33*'Small Signal'!$B$8*'Small Signal'!$B$7*('Small Signal'!$B$5+'Small Signal'!$B$6)+('Small Signal'!$B$5+'Small Signal'!$B$6)*('Small Signal'!$B$9*'Small Signal'!$B$8*'Small Signal'!$B$33*'Small Signal'!$B$7)))),-1)</f>
        <v>-0.285565131040383+0.136137943156395i</v>
      </c>
      <c r="T122" s="85">
        <f t="shared" si="19"/>
        <v>-9.996484348866828</v>
      </c>
      <c r="U122" s="85">
        <f t="shared" si="20"/>
        <v>154.51138353861108</v>
      </c>
      <c r="V122" s="85" t="str">
        <f t="shared" si="21"/>
        <v>0.21584036456286+3.16411524797606i</v>
      </c>
      <c r="W122" s="80">
        <f t="shared" si="22"/>
        <v>10.025208009179462</v>
      </c>
      <c r="X122" s="85">
        <f t="shared" si="23"/>
        <v>86.09760950250825</v>
      </c>
      <c r="Y122" s="85" t="str">
        <f t="shared" si="24"/>
        <v>1.10437583225715+7.40608021863341i</v>
      </c>
      <c r="Z122" s="80">
        <f t="shared" si="25"/>
        <v>17.487280014736065</v>
      </c>
      <c r="AA122" s="85">
        <f t="shared" si="26"/>
        <v>81.51869419457958</v>
      </c>
    </row>
    <row r="123" spans="6:27" ht="12.75">
      <c r="F123" s="84">
        <v>121</v>
      </c>
      <c r="G123" s="85">
        <f>10^('Small Signal'!F123/30)</f>
        <v>10797.751623277109</v>
      </c>
      <c r="H123" s="85" t="str">
        <f t="shared" si="14"/>
        <v>67844.2743499492i</v>
      </c>
      <c r="I123" s="85">
        <f>IF('Small Signal'!$B$37&gt;=1,Q123+0,N123+0)</f>
        <v>19.47297534885315</v>
      </c>
      <c r="J123" s="85">
        <f>IF('Small Signal'!$B$37&gt;=1,R123,O123)</f>
        <v>-70.50051570645766</v>
      </c>
      <c r="K123" s="85">
        <f>IF('Small Signal'!$B$37&gt;=1,Z123+0,W123+0)</f>
        <v>9.377723572241521</v>
      </c>
      <c r="L123" s="85">
        <f>IF('Small Signal'!$B$37&gt;=1,AA123,X123)</f>
        <v>85.3791741102885</v>
      </c>
      <c r="M123" s="85" t="str">
        <f>IMDIV(IMSUM('Small Signal'!$B$2*'Small Signal'!$B$16*'Small Signal'!$B$38,IMPRODUCT(H123,'Small Signal'!$B$2*'Small Signal'!$B$16*'Small Signal'!$B$38*'Small Signal'!$B$13*'Small Signal'!$B$14)),IMSUM(IMPRODUCT('Small Signal'!$B$11*'Small Signal'!$B$13*('Small Signal'!$B$14+'Small Signal'!$B$16),IMPOWER(H123,2)),IMSUM(IMPRODUCT(H123,('Small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3.14147049536533-8.87149277760507i</v>
      </c>
      <c r="N123" s="85">
        <f t="shared" si="15"/>
        <v>19.47297534885315</v>
      </c>
      <c r="O123" s="85">
        <f t="shared" si="16"/>
        <v>-70.50051570645766</v>
      </c>
      <c r="P123" s="85" t="str">
        <f>IMDIV(IMSUM('Small Signal'!$B$48,IMPRODUCT(H123,'Small Signal'!$B$49)),IMSUM(IMPRODUCT('Small Signal'!$B$52,IMPOWER(H123,2)),IMSUM(IMPRODUCT(H123,'Small Signal'!$B$51),'Small Signal'!$B$50)))</f>
        <v>5.1579528639969-21.6907128046571i</v>
      </c>
      <c r="Q123" s="85">
        <f t="shared" si="17"/>
        <v>26.964363367546007</v>
      </c>
      <c r="R123" s="85">
        <f t="shared" si="18"/>
        <v>-76.62375831599786</v>
      </c>
      <c r="S123" s="85" t="str">
        <f>IMPRODUCT(IMDIV(IMSUM(IMPRODUCT(H123,'Small Signal'!$B$33*'Small Signal'!$B$6*'Small Signal'!$B$27*'Small Signal'!$B$7*'Small Signal'!$B$8),'Small Signal'!$B$33*'Small Signal'!$B$6*'Small Signal'!$B$27),IMSUM(IMSUM(IMPRODUCT(H123,('Small Signal'!$B$5+'Small Signal'!$B$6)*('Small Signal'!$B$32*'Small Signal'!$B$33)+'Small Signal'!$B$5*'Small Signal'!$B$33*('Small Signal'!$B$8+'Small Signal'!$B$9)+'Small Signal'!$B$6*'Small Signal'!$B$33*('Small Signal'!$B$8+'Small Signal'!$B$9)+'Small Signal'!$B$7*'Small Signal'!$B$8*('Small Signal'!$B$5+'Small Signal'!$B$6)),'Small Signal'!$B$6+'Small Signal'!$B$5),IMPRODUCT(IMPOWER(H123,2),'Small Signal'!$B$32*'Small Signal'!$B$33*'Small Signal'!$B$8*'Small Signal'!$B$7*('Small Signal'!$B$5+'Small Signal'!$B$6)+('Small Signal'!$B$5+'Small Signal'!$B$6)*('Small Signal'!$B$9*'Small Signal'!$B$8*'Small Signal'!$B$33*'Small Signal'!$B$7)))),-1)</f>
        <v>-0.285469954595766+0.127818342710288i</v>
      </c>
      <c r="T123" s="85">
        <f t="shared" si="19"/>
        <v>-10.095251776611631</v>
      </c>
      <c r="U123" s="85">
        <f t="shared" si="20"/>
        <v>155.87968981674615</v>
      </c>
      <c r="V123" s="85" t="str">
        <f t="shared" si="21"/>
        <v>0.23714406452389+2.93408219281045i</v>
      </c>
      <c r="W123" s="80">
        <f t="shared" si="22"/>
        <v>9.377723572241521</v>
      </c>
      <c r="X123" s="85">
        <f t="shared" si="23"/>
        <v>85.3791741102885</v>
      </c>
      <c r="Y123" s="85" t="str">
        <f t="shared" si="24"/>
        <v>1.3000303930038+6.85132778634913i</v>
      </c>
      <c r="Z123" s="80">
        <f t="shared" si="25"/>
        <v>16.869111590934377</v>
      </c>
      <c r="AA123" s="85">
        <f t="shared" si="26"/>
        <v>79.25593150074829</v>
      </c>
    </row>
    <row r="124" spans="6:27" ht="12.75">
      <c r="F124" s="84">
        <v>122</v>
      </c>
      <c r="G124" s="85">
        <f>10^('Small Signal'!F124/30)</f>
        <v>11659.144011798313</v>
      </c>
      <c r="H124" s="85" t="str">
        <f t="shared" si="14"/>
        <v>73256.562349222i</v>
      </c>
      <c r="I124" s="85">
        <f>IF('Small Signal'!$B$37&gt;=1,Q124+0,N124+0)</f>
        <v>18.908626593934137</v>
      </c>
      <c r="J124" s="85">
        <f>IF('Small Signal'!$B$37&gt;=1,R124,O124)</f>
        <v>-72.53349586906073</v>
      </c>
      <c r="K124" s="85">
        <f>IF('Small Signal'!$B$37&gt;=1,Z124+0,W124+0)</f>
        <v>8.726528139125412</v>
      </c>
      <c r="L124" s="85">
        <f>IF('Small Signal'!$B$37&gt;=1,AA124,X124)</f>
        <v>84.6162799413812</v>
      </c>
      <c r="M124" s="85" t="str">
        <f>IMDIV(IMSUM('Small Signal'!$B$2*'Small Signal'!$B$16*'Small Signal'!$B$38,IMPRODUCT(H124,'Small Signal'!$B$2*'Small Signal'!$B$16*'Small Signal'!$B$38*'Small Signal'!$B$13*'Small Signal'!$B$14)),IMSUM(IMPRODUCT('Small Signal'!$B$11*'Small Signal'!$B$13*('Small Signal'!$B$14+'Small Signal'!$B$16),IMPOWER(H124,2)),IMSUM(IMPRODUCT(H124,('Small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2.64707997265398-8.41261089712271i</v>
      </c>
      <c r="N124" s="85">
        <f t="shared" si="15"/>
        <v>18.908626593934137</v>
      </c>
      <c r="O124" s="85">
        <f t="shared" si="16"/>
        <v>-72.53349586906073</v>
      </c>
      <c r="P124" s="85" t="str">
        <f>IMDIV(IMSUM('Small Signal'!$B$48,IMPRODUCT(H124,'Small Signal'!$B$49)),IMSUM(IMPRODUCT('Small Signal'!$B$52,IMPOWER(H124,2)),IMSUM(IMPRODUCT(H124,'Small Signal'!$B$51),'Small Signal'!$B$50)))</f>
        <v>3.52806503293625-20.6138293531437i</v>
      </c>
      <c r="Q124" s="85">
        <f t="shared" si="17"/>
        <v>26.408561434430847</v>
      </c>
      <c r="R124" s="85">
        <f t="shared" si="18"/>
        <v>-80.28790548992617</v>
      </c>
      <c r="S124" s="85" t="str">
        <f>IMPRODUCT(IMDIV(IMSUM(IMPRODUCT(H124,'Small Signal'!$B$33*'Small Signal'!$B$6*'Small Signal'!$B$27*'Small Signal'!$B$7*'Small Signal'!$B$8),'Small Signal'!$B$33*'Small Signal'!$B$6*'Small Signal'!$B$27),IMSUM(IMSUM(IMPRODUCT(H124,('Small Signal'!$B$5+'Small Signal'!$B$6)*('Small Signal'!$B$32*'Small Signal'!$B$33)+'Small Signal'!$B$5*'Small Signal'!$B$33*('Small Signal'!$B$8+'Small Signal'!$B$9)+'Small Signal'!$B$6*'Small Signal'!$B$33*('Small Signal'!$B$8+'Small Signal'!$B$9)+'Small Signal'!$B$7*'Small Signal'!$B$8*('Small Signal'!$B$5+'Small Signal'!$B$6)),'Small Signal'!$B$6+'Small Signal'!$B$5),IMPRODUCT(IMPOWER(H124,2),'Small Signal'!$B$32*'Small Signal'!$B$33*'Small Signal'!$B$8*'Small Signal'!$B$7*('Small Signal'!$B$5+'Small Signal'!$B$6)+('Small Signal'!$B$5+'Small Signal'!$B$6)*('Small Signal'!$B$9*'Small Signal'!$B$8*'Small Signal'!$B$33*'Small Signal'!$B$7)))),-1)</f>
        <v>-0.285365395802125+0.120251021739706i</v>
      </c>
      <c r="T124" s="85">
        <f t="shared" si="19"/>
        <v>-10.182098454808738</v>
      </c>
      <c r="U124" s="85">
        <f t="shared" si="20"/>
        <v>157.14977581044192</v>
      </c>
      <c r="V124" s="85" t="str">
        <f t="shared" si="21"/>
        <v>0.256240031761309+2.71898210972505i</v>
      </c>
      <c r="W124" s="80">
        <f t="shared" si="22"/>
        <v>8.726528139125412</v>
      </c>
      <c r="X124" s="85">
        <f t="shared" si="23"/>
        <v>84.6162799413812</v>
      </c>
      <c r="Y124" s="85" t="str">
        <f t="shared" si="24"/>
        <v>1.47204636714398+6.30672699733203i</v>
      </c>
      <c r="Z124" s="80">
        <f t="shared" si="25"/>
        <v>16.226462979622113</v>
      </c>
      <c r="AA124" s="85">
        <f t="shared" si="26"/>
        <v>76.86187032051578</v>
      </c>
    </row>
    <row r="125" spans="6:27" ht="12.75">
      <c r="F125" s="84">
        <v>123</v>
      </c>
      <c r="G125" s="85">
        <f>10^('Small Signal'!F125/30)</f>
        <v>12589.254117941671</v>
      </c>
      <c r="H125" s="85" t="str">
        <f t="shared" si="14"/>
        <v>79100.6165022012i</v>
      </c>
      <c r="I125" s="85">
        <f>IF('Small Signal'!$B$37&gt;=1,Q125+0,N125+0)</f>
        <v>18.32993865285957</v>
      </c>
      <c r="J125" s="85">
        <f>IF('Small Signal'!$B$37&gt;=1,R125,O125)</f>
        <v>-74.51401310675473</v>
      </c>
      <c r="K125" s="85">
        <f>IF('Small Signal'!$B$37&gt;=1,Z125+0,W125+0)</f>
        <v>8.071578966590383</v>
      </c>
      <c r="L125" s="85">
        <f>IF('Small Signal'!$B$37&gt;=1,AA125,X125)</f>
        <v>83.80736376970563</v>
      </c>
      <c r="M125" s="85" t="str">
        <f>IMDIV(IMSUM('Small Signal'!$B$2*'Small Signal'!$B$16*'Small Signal'!$B$38,IMPRODUCT(H125,'Small Signal'!$B$2*'Small Signal'!$B$16*'Small Signal'!$B$38*'Small Signal'!$B$13*'Small Signal'!$B$14)),IMSUM(IMPRODUCT('Small Signal'!$B$11*'Small Signal'!$B$13*('Small Signal'!$B$14+'Small Signal'!$B$16),IMPOWER(H125,2)),IMSUM(IMPRODUCT(H125,('Small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2.202990207718-7.95127715442094i</v>
      </c>
      <c r="N125" s="85">
        <f t="shared" si="15"/>
        <v>18.32993865285957</v>
      </c>
      <c r="O125" s="85">
        <f t="shared" si="16"/>
        <v>-74.51401310675473</v>
      </c>
      <c r="P125" s="85" t="str">
        <f>IMDIV(IMSUM('Small Signal'!$B$48,IMPRODUCT(H125,'Small Signal'!$B$49)),IMSUM(IMPRODUCT('Small Signal'!$B$52,IMPOWER(H125,2)),IMSUM(IMPRODUCT(H125,'Small Signal'!$B$51),'Small Signal'!$B$50)))</f>
        <v>2.05047835691059-19.4266998617405i</v>
      </c>
      <c r="Q125" s="85">
        <f t="shared" si="17"/>
        <v>25.816096509435383</v>
      </c>
      <c r="R125" s="85">
        <f t="shared" si="18"/>
        <v>-83.97476841853918</v>
      </c>
      <c r="S125" s="85" t="str">
        <f>IMPRODUCT(IMDIV(IMSUM(IMPRODUCT(H125,'Small Signal'!$B$33*'Small Signal'!$B$6*'Small Signal'!$B$27*'Small Signal'!$B$7*'Small Signal'!$B$8),'Small Signal'!$B$33*'Small Signal'!$B$6*'Small Signal'!$B$27),IMSUM(IMSUM(IMPRODUCT(H125,('Small Signal'!$B$5+'Small Signal'!$B$6)*('Small Signal'!$B$32*'Small Signal'!$B$33)+'Small Signal'!$B$5*'Small Signal'!$B$33*('Small Signal'!$B$8+'Small Signal'!$B$9)+'Small Signal'!$B$6*'Small Signal'!$B$33*('Small Signal'!$B$8+'Small Signal'!$B$9)+'Small Signal'!$B$7*'Small Signal'!$B$8*('Small Signal'!$B$5+'Small Signal'!$B$6)),'Small Signal'!$B$6+'Small Signal'!$B$5),IMPRODUCT(IMPOWER(H125,2),'Small Signal'!$B$32*'Small Signal'!$B$33*'Small Signal'!$B$8*'Small Signal'!$B$7*('Small Signal'!$B$5+'Small Signal'!$B$6)+('Small Signal'!$B$5+'Small Signal'!$B$6)*('Small Signal'!$B$9*'Small Signal'!$B$8*'Small Signal'!$B$33*'Small Signal'!$B$7)))),-1)</f>
        <v>-0.285249010591705+0.113391106968042i</v>
      </c>
      <c r="T125" s="85">
        <f t="shared" si="19"/>
        <v>-10.258359686269184</v>
      </c>
      <c r="U125" s="85">
        <f t="shared" si="20"/>
        <v>158.32137687646036</v>
      </c>
      <c r="V125" s="85" t="str">
        <f t="shared" si="21"/>
        <v>0.273203341254719+2.5178934395319i</v>
      </c>
      <c r="W125" s="80">
        <f t="shared" si="22"/>
        <v>8.071578966590383</v>
      </c>
      <c r="X125" s="85">
        <f t="shared" si="23"/>
        <v>83.80736376970563</v>
      </c>
      <c r="Y125" s="85" t="str">
        <f t="shared" si="24"/>
        <v>1.61791807951021+5.77395292532759i</v>
      </c>
      <c r="Z125" s="80">
        <f t="shared" si="25"/>
        <v>15.557736823166193</v>
      </c>
      <c r="AA125" s="85">
        <f t="shared" si="26"/>
        <v>74.3466084579212</v>
      </c>
    </row>
    <row r="126" spans="6:27" ht="12.75">
      <c r="F126" s="84">
        <v>124</v>
      </c>
      <c r="G126" s="85">
        <f>10^('Small Signal'!F126/30)</f>
        <v>13593.563908785283</v>
      </c>
      <c r="H126" s="85" t="str">
        <f t="shared" si="14"/>
        <v>85410.8810238864i</v>
      </c>
      <c r="I126" s="85">
        <f>IF('Small Signal'!$B$37&gt;=1,Q126+0,N126+0)</f>
        <v>17.73811191716848</v>
      </c>
      <c r="J126" s="85">
        <f>IF('Small Signal'!$B$37&gt;=1,R126,O126)</f>
        <v>-76.4445496650832</v>
      </c>
      <c r="K126" s="85">
        <f>IF('Small Signal'!$B$37&gt;=1,Z126+0,W126+0)</f>
        <v>7.412828580706959</v>
      </c>
      <c r="L126" s="85">
        <f>IF('Small Signal'!$B$37&gt;=1,AA126,X126)</f>
        <v>82.95034748902005</v>
      </c>
      <c r="M126" s="85" t="str">
        <f>IMDIV(IMSUM('Small Signal'!$B$2*'Small Signal'!$B$16*'Small Signal'!$B$38,IMPRODUCT(H126,'Small Signal'!$B$2*'Small Signal'!$B$16*'Small Signal'!$B$38*'Small Signal'!$B$13*'Small Signal'!$B$14)),IMSUM(IMPRODUCT('Small Signal'!$B$11*'Small Signal'!$B$13*('Small Signal'!$B$14+'Small Signal'!$B$16),IMPOWER(H126,2)),IMSUM(IMPRODUCT(H126,('Small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1.80649942957819-7.49265938144571i</v>
      </c>
      <c r="N126" s="85">
        <f t="shared" si="15"/>
        <v>17.73811191716848</v>
      </c>
      <c r="O126" s="85">
        <f t="shared" si="16"/>
        <v>-76.4445496650832</v>
      </c>
      <c r="P126" s="85" t="str">
        <f>IMDIV(IMSUM('Small Signal'!$B$48,IMPRODUCT(H126,'Small Signal'!$B$49)),IMSUM(IMPRODUCT('Small Signal'!$B$52,IMPOWER(H126,2)),IMSUM(IMPRODUCT(H126,'Small Signal'!$B$51),'Small Signal'!$B$50)))</f>
        <v>0.737346232783449-18.154427348297i</v>
      </c>
      <c r="Q126" s="85">
        <f t="shared" si="17"/>
        <v>25.186809292829743</v>
      </c>
      <c r="R126" s="85">
        <f t="shared" si="18"/>
        <v>-87.67419708396763</v>
      </c>
      <c r="S126" s="85" t="str">
        <f>IMPRODUCT(IMDIV(IMSUM(IMPRODUCT(H126,'Small Signal'!$B$33*'Small Signal'!$B$6*'Small Signal'!$B$27*'Small Signal'!$B$7*'Small Signal'!$B$8),'Small Signal'!$B$33*'Small Signal'!$B$6*'Small Signal'!$B$27),IMSUM(IMSUM(IMPRODUCT(H126,('Small Signal'!$B$5+'Small Signal'!$B$6)*('Small Signal'!$B$32*'Small Signal'!$B$33)+'Small Signal'!$B$5*'Small Signal'!$B$33*('Small Signal'!$B$8+'Small Signal'!$B$9)+'Small Signal'!$B$6*'Small Signal'!$B$33*('Small Signal'!$B$8+'Small Signal'!$B$9)+'Small Signal'!$B$7*'Small Signal'!$B$8*('Small Signal'!$B$5+'Small Signal'!$B$6)),'Small Signal'!$B$6+'Small Signal'!$B$5),IMPRODUCT(IMPOWER(H126,2),'Small Signal'!$B$32*'Small Signal'!$B$33*'Small Signal'!$B$8*'Small Signal'!$B$7*('Small Signal'!$B$5+'Small Signal'!$B$6)+('Small Signal'!$B$5+'Small Signal'!$B$6)*('Small Signal'!$B$9*'Small Signal'!$B$8*'Small Signal'!$B$33*'Small Signal'!$B$7)))),-1)</f>
        <v>-0.285118084464229+0.107197823951096i</v>
      </c>
      <c r="T126" s="85">
        <f t="shared" si="19"/>
        <v>-10.32528333646151</v>
      </c>
      <c r="U126" s="85">
        <f t="shared" si="20"/>
        <v>159.39489715410323</v>
      </c>
      <c r="V126" s="85" t="str">
        <f t="shared" si="21"/>
        <v>0.288131124350689+2.32994549820041i</v>
      </c>
      <c r="W126" s="80">
        <f t="shared" si="22"/>
        <v>7.412828580706959</v>
      </c>
      <c r="X126" s="85">
        <f t="shared" si="23"/>
        <v>82.95034748902005</v>
      </c>
      <c r="Y126" s="85" t="str">
        <f t="shared" si="24"/>
        <v>1.73588436133757+5.25519746174438i</v>
      </c>
      <c r="Z126" s="80">
        <f t="shared" si="25"/>
        <v>14.86152595636824</v>
      </c>
      <c r="AA126" s="85">
        <f t="shared" si="26"/>
        <v>71.72070007013563</v>
      </c>
    </row>
    <row r="127" spans="6:27" ht="12.75">
      <c r="F127" s="84">
        <v>125</v>
      </c>
      <c r="G127" s="85">
        <f>10^('Small Signal'!F127/30)</f>
        <v>14677.992676220729</v>
      </c>
      <c r="H127" s="85" t="str">
        <f t="shared" si="14"/>
        <v>92224.5479221197i</v>
      </c>
      <c r="I127" s="85">
        <f>IF('Small Signal'!$B$37&gt;=1,Q127+0,N127+0)</f>
        <v>17.134235593182417</v>
      </c>
      <c r="J127" s="85">
        <f>IF('Small Signal'!$B$37&gt;=1,R127,O127)</f>
        <v>-78.32861236460245</v>
      </c>
      <c r="K127" s="85">
        <f>IF('Small Signal'!$B$37&gt;=1,Z127+0,W127+0)</f>
        <v>6.750210655210792</v>
      </c>
      <c r="L127" s="85">
        <f>IF('Small Signal'!$B$37&gt;=1,AA127,X127)</f>
        <v>82.04264003050469</v>
      </c>
      <c r="M127" s="85" t="str">
        <f>IMDIV(IMSUM('Small Signal'!$B$2*'Small Signal'!$B$16*'Small Signal'!$B$38,IMPRODUCT(H127,'Small Signal'!$B$2*'Small Signal'!$B$16*'Small Signal'!$B$38*'Small Signal'!$B$13*'Small Signal'!$B$14)),IMSUM(IMPRODUCT('Small Signal'!$B$11*'Small Signal'!$B$13*('Small Signal'!$B$14+'Small Signal'!$B$16),IMPOWER(H127,2)),IMSUM(IMPRODUCT(H127,('Small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1.454467225815-7.04106183120361i</v>
      </c>
      <c r="N127" s="85">
        <f t="shared" si="15"/>
        <v>17.134235593182417</v>
      </c>
      <c r="O127" s="85">
        <f t="shared" si="16"/>
        <v>-78.32861236460245</v>
      </c>
      <c r="P127" s="85" t="str">
        <f>IMDIV(IMSUM('Small Signal'!$B$48,IMPRODUCT(H127,'Small Signal'!$B$49)),IMSUM(IMPRODUCT('Small Signal'!$B$52,IMPOWER(H127,2)),IMSUM(IMPRODUCT(H127,'Small Signal'!$B$51),'Small Signal'!$B$50)))</f>
        <v>-0.404152309740161-16.8230976938494i</v>
      </c>
      <c r="Q127" s="85">
        <f t="shared" si="17"/>
        <v>24.520625085698654</v>
      </c>
      <c r="R127" s="85">
        <f t="shared" si="18"/>
        <v>-91.3761893813197</v>
      </c>
      <c r="S127" s="85" t="str">
        <f>IMPRODUCT(IMDIV(IMSUM(IMPRODUCT(H127,'Small Signal'!$B$33*'Small Signal'!$B$6*'Small Signal'!$B$27*'Small Signal'!$B$7*'Small Signal'!$B$8),'Small Signal'!$B$33*'Small Signal'!$B$6*'Small Signal'!$B$27),IMSUM(IMSUM(IMPRODUCT(H127,('Small Signal'!$B$5+'Small Signal'!$B$6)*('Small Signal'!$B$32*'Small Signal'!$B$33)+'Small Signal'!$B$5*'Small Signal'!$B$33*('Small Signal'!$B$8+'Small Signal'!$B$9)+'Small Signal'!$B$6*'Small Signal'!$B$33*('Small Signal'!$B$8+'Small Signal'!$B$9)+'Small Signal'!$B$7*'Small Signal'!$B$8*('Small Signal'!$B$5+'Small Signal'!$B$6)),'Small Signal'!$B$6+'Small Signal'!$B$5),IMPRODUCT(IMPOWER(H127,2),'Small Signal'!$B$32*'Small Signal'!$B$33*'Small Signal'!$B$8*'Small Signal'!$B$7*('Small Signal'!$B$5+'Small Signal'!$B$6)+('Small Signal'!$B$5+'Small Signal'!$B$6)*('Small Signal'!$B$9*'Small Signal'!$B$8*'Small Signal'!$B$33*'Small Signal'!$B$7)))),-1)</f>
        <v>-0.284969571530951+0.101634238882573i</v>
      </c>
      <c r="T127" s="85">
        <f t="shared" si="19"/>
        <v>-10.384024937971624</v>
      </c>
      <c r="U127" s="85">
        <f t="shared" si="20"/>
        <v>160.37125239510715</v>
      </c>
      <c r="V127" s="85" t="str">
        <f t="shared" si="21"/>
        <v>0.301134057993203+2.15431204263638i</v>
      </c>
      <c r="W127" s="80">
        <f t="shared" si="22"/>
        <v>6.750210655210792</v>
      </c>
      <c r="X127" s="85">
        <f t="shared" si="23"/>
        <v>82.04264003050469</v>
      </c>
      <c r="Y127" s="85" t="str">
        <f t="shared" si="24"/>
        <v>1.82497384030145+4.75299522924652i</v>
      </c>
      <c r="Z127" s="80">
        <f t="shared" si="25"/>
        <v>14.136600147727032</v>
      </c>
      <c r="AA127" s="85">
        <f t="shared" si="26"/>
        <v>68.99506301378746</v>
      </c>
    </row>
    <row r="128" spans="6:27" ht="12.75">
      <c r="F128" s="84">
        <v>126</v>
      </c>
      <c r="G128" s="85">
        <f>10^('Small Signal'!F128/30)</f>
        <v>15848.931924611146</v>
      </c>
      <c r="H128" s="85" t="str">
        <f t="shared" si="14"/>
        <v>99581.7762032062i</v>
      </c>
      <c r="I128" s="85">
        <f>IF('Small Signal'!$B$37&gt;=1,Q128+0,N128+0)</f>
        <v>16.51927390434069</v>
      </c>
      <c r="J128" s="85">
        <f>IF('Small Signal'!$B$37&gt;=1,R128,O128)</f>
        <v>-80.17057355205876</v>
      </c>
      <c r="K128" s="85">
        <f>IF('Small Signal'!$B$37&gt;=1,Z128+0,W128+0)</f>
        <v>6.0836269432385395</v>
      </c>
      <c r="L128" s="85">
        <f>IF('Small Signal'!$B$37&gt;=1,AA128,X128)</f>
        <v>81.08115165496262</v>
      </c>
      <c r="M128" s="85" t="str">
        <f>IMDIV(IMSUM('Small Signal'!$B$2*'Small Signal'!$B$16*'Small Signal'!$B$38,IMPRODUCT(H128,'Small Signal'!$B$2*'Small Signal'!$B$16*'Small Signal'!$B$38*'Small Signal'!$B$13*'Small Signal'!$B$14)),IMSUM(IMPRODUCT('Small Signal'!$B$11*'Small Signal'!$B$13*('Small Signal'!$B$14+'Small Signal'!$B$16),IMPOWER(H128,2)),IMSUM(IMPRODUCT(H128,('Small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1.14350173957841-6.59995763858663i</v>
      </c>
      <c r="N128" s="85">
        <f t="shared" si="15"/>
        <v>16.51927390434069</v>
      </c>
      <c r="O128" s="85">
        <f t="shared" si="16"/>
        <v>-80.17057355205876</v>
      </c>
      <c r="P128" s="85" t="str">
        <f>IMDIV(IMSUM('Small Signal'!$B$48,IMPRODUCT(H128,'Small Signal'!$B$49)),IMSUM(IMPRODUCT('Small Signal'!$B$52,IMPOWER(H128,2)),IMSUM(IMPRODUCT(H128,'Small Signal'!$B$51),'Small Signal'!$B$50)))</f>
        <v>-1.37171198233293-15.4587418013564i</v>
      </c>
      <c r="Q128" s="85">
        <f t="shared" si="17"/>
        <v>23.817543895225036</v>
      </c>
      <c r="R128" s="85">
        <f t="shared" si="18"/>
        <v>-95.0707880736009</v>
      </c>
      <c r="S128" s="85" t="str">
        <f>IMPRODUCT(IMDIV(IMSUM(IMPRODUCT(H128,'Small Signal'!$B$33*'Small Signal'!$B$6*'Small Signal'!$B$27*'Small Signal'!$B$7*'Small Signal'!$B$8),'Small Signal'!$B$33*'Small Signal'!$B$6*'Small Signal'!$B$27),IMSUM(IMSUM(IMPRODUCT(H128,('Small Signal'!$B$5+'Small Signal'!$B$6)*('Small Signal'!$B$32*'Small Signal'!$B$33)+'Small Signal'!$B$5*'Small Signal'!$B$33*('Small Signal'!$B$8+'Small Signal'!$B$9)+'Small Signal'!$B$6*'Small Signal'!$B$33*('Small Signal'!$B$8+'Small Signal'!$B$9)+'Small Signal'!$B$7*'Small Signal'!$B$8*('Small Signal'!$B$5+'Small Signal'!$B$6)),'Small Signal'!$B$6+'Small Signal'!$B$5),IMPRODUCT(IMPOWER(H128,2),'Small Signal'!$B$32*'Small Signal'!$B$33*'Small Signal'!$B$8*'Small Signal'!$B$7*('Small Signal'!$B$5+'Small Signal'!$B$6)+('Small Signal'!$B$5+'Small Signal'!$B$6)*('Small Signal'!$B$9*'Small Signal'!$B$8*'Small Signal'!$B$33*'Small Signal'!$B$7)))),-1)</f>
        <v>-0.284800026845662+0.0966670185054741i</v>
      </c>
      <c r="T128" s="85">
        <f t="shared" si="19"/>
        <v>-10.43564696110214</v>
      </c>
      <c r="U128" s="85">
        <f t="shared" si="20"/>
        <v>161.25172520702137</v>
      </c>
      <c r="V128" s="85" t="str">
        <f t="shared" si="21"/>
        <v>0.312328901054606+1.99020701647057i</v>
      </c>
      <c r="W128" s="80">
        <f t="shared" si="22"/>
        <v>6.0836269432385395</v>
      </c>
      <c r="X128" s="85">
        <f t="shared" si="23"/>
        <v>81.08115165496262</v>
      </c>
      <c r="Y128" s="85" t="str">
        <f t="shared" si="24"/>
        <v>1.885014089176+4.2700507724461i</v>
      </c>
      <c r="Z128" s="80">
        <f t="shared" si="25"/>
        <v>13.381896934122889</v>
      </c>
      <c r="AA128" s="85">
        <f t="shared" si="26"/>
        <v>66.18093713342046</v>
      </c>
    </row>
    <row r="129" spans="6:27" ht="12.75">
      <c r="F129" s="84">
        <v>127</v>
      </c>
      <c r="G129" s="85">
        <f>10^('Small Signal'!F129/30)</f>
        <v>17113.283041617826</v>
      </c>
      <c r="H129" s="85" t="str">
        <f t="shared" si="14"/>
        <v>107525.928564699i</v>
      </c>
      <c r="I129" s="85">
        <f>IF('Small Signal'!$B$37&gt;=1,Q129+0,N129+0)</f>
        <v>15.894056624755459</v>
      </c>
      <c r="J129" s="85">
        <f>IF('Small Signal'!$B$37&gt;=1,R129,O129)</f>
        <v>-81.97551805497669</v>
      </c>
      <c r="K129" s="85">
        <f>IF('Small Signal'!$B$37&gt;=1,Z129+0,W129+0)</f>
        <v>5.412935259238397</v>
      </c>
      <c r="L129" s="85">
        <f>IF('Small Signal'!$B$37&gt;=1,AA129,X129)</f>
        <v>80.06231739866924</v>
      </c>
      <c r="M129" s="85" t="str">
        <f>IMDIV(IMSUM('Small Signal'!$B$2*'Small Signal'!$B$16*'Small Signal'!$B$38,IMPRODUCT(H129,'Small Signal'!$B$2*'Small Signal'!$B$16*'Small Signal'!$B$38*'Small Signal'!$B$13*'Small Signal'!$B$14)),IMSUM(IMPRODUCT('Small Signal'!$B$11*'Small Signal'!$B$13*('Small Signal'!$B$14+'Small Signal'!$B$16),IMPOWER(H129,2)),IMSUM(IMPRODUCT(H129,('Small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0.870114670583859-6.17205071677557i</v>
      </c>
      <c r="N129" s="85">
        <f t="shared" si="15"/>
        <v>15.894056624755459</v>
      </c>
      <c r="O129" s="85">
        <f t="shared" si="16"/>
        <v>-81.97551805497669</v>
      </c>
      <c r="P129" s="85" t="str">
        <f>IMDIV(IMSUM('Small Signal'!$B$48,IMPRODUCT(H129,'Small Signal'!$B$49)),IMSUM(IMPRODUCT('Small Signal'!$B$52,IMPOWER(H129,2)),IMSUM(IMPRODUCT(H129,'Small Signal'!$B$51),'Small Signal'!$B$50)))</f>
        <v>-2.16759290280937-14.0864064760928i</v>
      </c>
      <c r="Q129" s="85">
        <f t="shared" si="17"/>
        <v>23.07764033429931</v>
      </c>
      <c r="R129" s="85">
        <f t="shared" si="18"/>
        <v>-98.74796397502787</v>
      </c>
      <c r="S129" s="85" t="str">
        <f>IMPRODUCT(IMDIV(IMSUM(IMPRODUCT(H129,'Small Signal'!$B$33*'Small Signal'!$B$6*'Small Signal'!$B$27*'Small Signal'!$B$7*'Small Signal'!$B$8),'Small Signal'!$B$33*'Small Signal'!$B$6*'Small Signal'!$B$27),IMSUM(IMSUM(IMPRODUCT(H129,('Small Signal'!$B$5+'Small Signal'!$B$6)*('Small Signal'!$B$32*'Small Signal'!$B$33)+'Small Signal'!$B$5*'Small Signal'!$B$33*('Small Signal'!$B$8+'Small Signal'!$B$9)+'Small Signal'!$B$6*'Small Signal'!$B$33*('Small Signal'!$B$8+'Small Signal'!$B$9)+'Small Signal'!$B$7*'Small Signal'!$B$8*('Small Signal'!$B$5+'Small Signal'!$B$6)),'Small Signal'!$B$6+'Small Signal'!$B$5),IMPRODUCT(IMPOWER(H129,2),'Small Signal'!$B$32*'Small Signal'!$B$33*'Small Signal'!$B$8*'Small Signal'!$B$7*('Small Signal'!$B$5+'Small Signal'!$B$6)+('Small Signal'!$B$5+'Small Signal'!$B$6)*('Small Signal'!$B$9*'Small Signal'!$B$8*'Small Signal'!$B$33*'Small Signal'!$B$7)))),-1)</f>
        <v>-0.28460553081554+0.0922662056033969i</v>
      </c>
      <c r="T129" s="85">
        <f t="shared" si="19"/>
        <v>-10.481121365517073</v>
      </c>
      <c r="U129" s="85">
        <f t="shared" si="20"/>
        <v>162.03783545364593</v>
      </c>
      <c r="V129" s="85" t="str">
        <f t="shared" si="21"/>
        <v>0.3218322527367+1.83688194956297i</v>
      </c>
      <c r="W129" s="80">
        <f t="shared" si="22"/>
        <v>5.412935259238397</v>
      </c>
      <c r="X129" s="85">
        <f t="shared" si="23"/>
        <v>80.06231739866924</v>
      </c>
      <c r="Y129" s="85" t="str">
        <f t="shared" si="24"/>
        <v>1.91660820483226+3.80907361997678i</v>
      </c>
      <c r="Z129" s="80">
        <f t="shared" si="25"/>
        <v>12.596518968782242</v>
      </c>
      <c r="AA129" s="85">
        <f t="shared" si="26"/>
        <v>63.28987147861804</v>
      </c>
    </row>
    <row r="130" spans="6:27" ht="12.75">
      <c r="F130" s="84">
        <v>128</v>
      </c>
      <c r="G130" s="85">
        <f>10^('Small Signal'!F130/30)</f>
        <v>18478.497974222933</v>
      </c>
      <c r="H130" s="85" t="str">
        <f aca="true" t="shared" si="27" ref="H130:H193">COMPLEX(0,G130*2*PI())</f>
        <v>116103.826970385i</v>
      </c>
      <c r="I130" s="85">
        <f>IF('Small Signal'!$B$37&gt;=1,Q130+0,N130+0)</f>
        <v>15.259273001962473</v>
      </c>
      <c r="J130" s="85">
        <f>IF('Small Signal'!$B$37&gt;=1,R130,O130)</f>
        <v>-83.74909968659124</v>
      </c>
      <c r="K130" s="85">
        <f>IF('Small Signal'!$B$37&gt;=1,Z130+0,W130+0)</f>
        <v>4.737938374911479</v>
      </c>
      <c r="L130" s="85">
        <f>IF('Small Signal'!$B$37&gt;=1,AA130,X130)</f>
        <v>78.98212730020386</v>
      </c>
      <c r="M130" s="85" t="str">
        <f>IMDIV(IMSUM('Small Signal'!$B$2*'Small Signal'!$B$16*'Small Signal'!$B$38,IMPRODUCT(H130,'Small Signal'!$B$2*'Small Signal'!$B$16*'Small Signal'!$B$38*'Small Signal'!$B$13*'Small Signal'!$B$14)),IMSUM(IMPRODUCT('Small Signal'!$B$11*'Small Signal'!$B$13*('Small Signal'!$B$14+'Small Signal'!$B$16),IMPOWER(H130,2)),IMSUM(IMPRODUCT(H130,('Small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0.630843617672754-5.75935569847076i</v>
      </c>
      <c r="N130" s="85">
        <f aca="true" t="shared" si="28" ref="N130:N193">20*LOG(IMABS(M130))</f>
        <v>15.259273001962473</v>
      </c>
      <c r="O130" s="85">
        <f aca="true" t="shared" si="29" ref="O130:O193">(180/PI())*IMARGUMENT(M130)</f>
        <v>-83.74909968659124</v>
      </c>
      <c r="P130" s="85" t="str">
        <f>IMDIV(IMSUM('Small Signal'!$B$48,IMPRODUCT(H130,'Small Signal'!$B$49)),IMSUM(IMPRODUCT('Small Signal'!$B$52,IMPOWER(H130,2)),IMSUM(IMPRODUCT(H130,'Small Signal'!$B$51),'Small Signal'!$B$50)))</f>
        <v>-2.79815253277389-12.729363062798i</v>
      </c>
      <c r="Q130" s="85">
        <f aca="true" t="shared" si="30" ref="Q130:Q193">20*LOG(IMABS(P130))</f>
        <v>22.30107333467748</v>
      </c>
      <c r="R130" s="85">
        <f aca="true" t="shared" si="31" ref="R130:R193">(180/PI())*IMARGUMENT(P130)</f>
        <v>-102.3975120956279</v>
      </c>
      <c r="S130" s="85" t="str">
        <f>IMPRODUCT(IMDIV(IMSUM(IMPRODUCT(H130,'Small Signal'!$B$33*'Small Signal'!$B$6*'Small Signal'!$B$27*'Small Signal'!$B$7*'Small Signal'!$B$8),'Small Signal'!$B$33*'Small Signal'!$B$6*'Small Signal'!$B$27),IMSUM(IMSUM(IMPRODUCT(H130,('Small Signal'!$B$5+'Small Signal'!$B$6)*('Small Signal'!$B$32*'Small Signal'!$B$33)+'Small Signal'!$B$5*'Small Signal'!$B$33*('Small Signal'!$B$8+'Small Signal'!$B$9)+'Small Signal'!$B$6*'Small Signal'!$B$33*('Small Signal'!$B$8+'Small Signal'!$B$9)+'Small Signal'!$B$7*'Small Signal'!$B$8*('Small Signal'!$B$5+'Small Signal'!$B$6)),'Small Signal'!$B$6+'Small Signal'!$B$5),IMPRODUCT(IMPOWER(H130,2),'Small Signal'!$B$32*'Small Signal'!$B$33*'Small Signal'!$B$8*'Small Signal'!$B$7*('Small Signal'!$B$5+'Small Signal'!$B$6)+('Small Signal'!$B$5+'Small Signal'!$B$6)*('Small Signal'!$B$9*'Small Signal'!$B$8*'Small Signal'!$B$33*'Small Signal'!$B$7)))),-1)</f>
        <v>-0.284381604433125+0.0884050073748876i</v>
      </c>
      <c r="T130" s="85">
        <f aca="true" t="shared" si="32" ref="T130:T193">20*LOG(IMABS(S130))</f>
        <v>-10.521334627051013</v>
      </c>
      <c r="U130" s="85">
        <f aca="true" t="shared" si="33" ref="U130:U193">(180/PI())*IMARGUMENT(S130)</f>
        <v>162.7312269867951</v>
      </c>
      <c r="V130" s="85" t="str">
        <f aca="true" t="shared" si="34" ref="V130:V193">IMPRODUCT(M130,S130)</f>
        <v>0.329755562857734+1.69362454870494i</v>
      </c>
      <c r="W130" s="80">
        <f aca="true" t="shared" si="35" ref="W130:W193">20*LOG(IMABS(V130))</f>
        <v>4.737938374911479</v>
      </c>
      <c r="X130" s="85">
        <f aca="true" t="shared" si="36" ref="X130:X193">(180/PI())*IMARGUMENT(V130)</f>
        <v>78.98212730020386</v>
      </c>
      <c r="Y130" s="85" t="str">
        <f aca="true" t="shared" si="37" ref="Y130:Y193">IMPRODUCT(P130,S130)</f>
        <v>1.92108254216313+3.37262599591432i</v>
      </c>
      <c r="Z130" s="80">
        <f aca="true" t="shared" si="38" ref="Z130:Z193">20*LOG(IMABS(Y130))</f>
        <v>11.779738707626471</v>
      </c>
      <c r="AA130" s="85">
        <f aca="true" t="shared" si="39" ref="AA130:AA193">(180/PI())*IMARGUMENT(Y130)</f>
        <v>60.333714891167205</v>
      </c>
    </row>
    <row r="131" spans="6:27" ht="12.75">
      <c r="F131" s="84">
        <v>129</v>
      </c>
      <c r="G131" s="85">
        <f>10^('Small Signal'!F131/30)</f>
        <v>19952.623149688792</v>
      </c>
      <c r="H131" s="85" t="str">
        <f t="shared" si="27"/>
        <v>125366.028613816i</v>
      </c>
      <c r="I131" s="85">
        <f>IF('Small Signal'!$B$37&gt;=1,Q131+0,N131+0)</f>
        <v>14.615468168145465</v>
      </c>
      <c r="J131" s="85">
        <f>IF('Small Signal'!$B$37&gt;=1,R131,O131)</f>
        <v>-85.4974087608484</v>
      </c>
      <c r="K131" s="85">
        <f>IF('Small Signal'!$B$37&gt;=1,Z131+0,W131+0)</f>
        <v>4.0583736206140095</v>
      </c>
      <c r="L131" s="85">
        <f>IF('Small Signal'!$B$37&gt;=1,AA131,X131)</f>
        <v>77.83616197154966</v>
      </c>
      <c r="M131" s="85" t="str">
        <f>IMDIV(IMSUM('Small Signal'!$B$2*'Small Signal'!$B$16*'Small Signal'!$B$38,IMPRODUCT(H131,'Small Signal'!$B$2*'Small Signal'!$B$16*'Small Signal'!$B$38*'Small Signal'!$B$13*'Small Signal'!$B$14)),IMSUM(IMPRODUCT('Small Signal'!$B$11*'Small Signal'!$B$13*('Small Signal'!$B$14+'Small Signal'!$B$16),IMPOWER(H131,2)),IMSUM(IMPRODUCT(H131,('Small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0.422343875207261-5.36328665314137i</v>
      </c>
      <c r="N131" s="85">
        <f t="shared" si="28"/>
        <v>14.615468168145465</v>
      </c>
      <c r="O131" s="85">
        <f t="shared" si="29"/>
        <v>-85.4974087608484</v>
      </c>
      <c r="P131" s="85" t="str">
        <f>IMDIV(IMSUM('Small Signal'!$B$48,IMPRODUCT(H131,'Small Signal'!$B$49)),IMSUM(IMPRODUCT('Small Signal'!$B$52,IMPOWER(H131,2)),IMSUM(IMPRODUCT(H131,'Small Signal'!$B$51),'Small Signal'!$B$50)))</f>
        <v>-3.27326178413474-11.4084675083853i</v>
      </c>
      <c r="Q131" s="85">
        <f t="shared" si="30"/>
        <v>21.48810417471281</v>
      </c>
      <c r="R131" s="85">
        <f t="shared" si="31"/>
        <v>-106.0089855952693</v>
      </c>
      <c r="S131" s="85" t="str">
        <f>IMPRODUCT(IMDIV(IMSUM(IMPRODUCT(H131,'Small Signal'!$B$33*'Small Signal'!$B$6*'Small Signal'!$B$27*'Small Signal'!$B$7*'Small Signal'!$B$8),'Small Signal'!$B$33*'Small Signal'!$B$6*'Small Signal'!$B$27),IMSUM(IMSUM(IMPRODUCT(H131,('Small Signal'!$B$5+'Small Signal'!$B$6)*('Small Signal'!$B$32*'Small Signal'!$B$33)+'Small Signal'!$B$5*'Small Signal'!$B$33*('Small Signal'!$B$8+'Small Signal'!$B$9)+'Small Signal'!$B$6*'Small Signal'!$B$33*('Small Signal'!$B$8+'Small Signal'!$B$9)+'Small Signal'!$B$7*'Small Signal'!$B$8*('Small Signal'!$B$5+'Small Signal'!$B$6)),'Small Signal'!$B$6+'Small Signal'!$B$5),IMPRODUCT(IMPOWER(H131,2),'Small Signal'!$B$32*'Small Signal'!$B$33*'Small Signal'!$B$8*'Small Signal'!$B$7*('Small Signal'!$B$5+'Small Signal'!$B$6)+('Small Signal'!$B$5+'Small Signal'!$B$6)*('Small Signal'!$B$9*'Small Signal'!$B$8*'Small Signal'!$B$33*'Small Signal'!$B$7)))),-1)</f>
        <v>-0.284123114034987+0.0850595937510668i</v>
      </c>
      <c r="T131" s="85">
        <f t="shared" si="32"/>
        <v>-10.557094547531454</v>
      </c>
      <c r="U131" s="85">
        <f t="shared" si="33"/>
        <v>163.33357073239807</v>
      </c>
      <c r="V131" s="85" t="str">
        <f t="shared" si="34"/>
        <v>0.336201326869233+1.55975810380119i</v>
      </c>
      <c r="W131" s="80">
        <f t="shared" si="35"/>
        <v>4.0583736206140095</v>
      </c>
      <c r="X131" s="85">
        <f t="shared" si="36"/>
        <v>77.83616197154966</v>
      </c>
      <c r="Y131" s="85" t="str">
        <f t="shared" si="37"/>
        <v>1.90040894274558+2.96298699725001i</v>
      </c>
      <c r="Z131" s="80">
        <f t="shared" si="38"/>
        <v>10.93100962718136</v>
      </c>
      <c r="AA131" s="85">
        <f t="shared" si="39"/>
        <v>57.32458513712877</v>
      </c>
    </row>
    <row r="132" spans="6:27" ht="12.75">
      <c r="F132" s="84">
        <v>130</v>
      </c>
      <c r="G132" s="85">
        <f>10^('Small Signal'!F132/30)</f>
        <v>21544.346900318837</v>
      </c>
      <c r="H132" s="85" t="str">
        <f t="shared" si="27"/>
        <v>135367.123896863i</v>
      </c>
      <c r="I132" s="85">
        <f>IF('Small Signal'!$B$37&gt;=1,Q132+0,N132+0)</f>
        <v>13.963041244913938</v>
      </c>
      <c r="J132" s="85">
        <f>IF('Small Signal'!$B$37&gt;=1,R132,O132)</f>
        <v>-87.22685039056785</v>
      </c>
      <c r="K132" s="85">
        <f>IF('Small Signal'!$B$37&gt;=1,Z132+0,W132+0)</f>
        <v>3.373902962594471</v>
      </c>
      <c r="L132" s="85">
        <f>IF('Small Signal'!$B$37&gt;=1,AA132,X132)</f>
        <v>76.61963299035867</v>
      </c>
      <c r="M132" s="85" t="str">
        <f>IMDIV(IMSUM('Small Signal'!$B$2*'Small Signal'!$B$16*'Small Signal'!$B$38,IMPRODUCT(H132,'Small Signal'!$B$2*'Small Signal'!$B$16*'Small Signal'!$B$38*'Small Signal'!$B$13*'Small Signal'!$B$14)),IMSUM(IMPRODUCT('Small Signal'!$B$11*'Small Signal'!$B$13*('Small Signal'!$B$14+'Small Signal'!$B$16),IMPOWER(H132,2)),IMSUM(IMPRODUCT(H132,('Small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0.241453303894948-4.98474757360946i</v>
      </c>
      <c r="N132" s="85">
        <f t="shared" si="28"/>
        <v>13.963041244913938</v>
      </c>
      <c r="O132" s="85">
        <f t="shared" si="29"/>
        <v>-87.22685039056785</v>
      </c>
      <c r="P132" s="85" t="str">
        <f>IMDIV(IMSUM('Small Signal'!$B$48,IMPRODUCT(H132,'Small Signal'!$B$49)),IMSUM(IMPRODUCT('Small Signal'!$B$52,IMPOWER(H132,2)),IMSUM(IMPRODUCT(H132,'Small Signal'!$B$51),'Small Signal'!$B$50)))</f>
        <v>-3.60564250082102-10.1416764218785i</v>
      </c>
      <c r="Q132" s="85">
        <f t="shared" si="30"/>
        <v>20.639120019122394</v>
      </c>
      <c r="R132" s="85">
        <f t="shared" si="31"/>
        <v>-109.57168690792163</v>
      </c>
      <c r="S132" s="85" t="str">
        <f>IMPRODUCT(IMDIV(IMSUM(IMPRODUCT(H132,'Small Signal'!$B$33*'Small Signal'!$B$6*'Small Signal'!$B$27*'Small Signal'!$B$7*'Small Signal'!$B$8),'Small Signal'!$B$33*'Small Signal'!$B$6*'Small Signal'!$B$27),IMSUM(IMSUM(IMPRODUCT(H132,('Small Signal'!$B$5+'Small Signal'!$B$6)*('Small Signal'!$B$32*'Small Signal'!$B$33)+'Small Signal'!$B$5*'Small Signal'!$B$33*('Small Signal'!$B$8+'Small Signal'!$B$9)+'Small Signal'!$B$6*'Small Signal'!$B$33*('Small Signal'!$B$8+'Small Signal'!$B$9)+'Small Signal'!$B$7*'Small Signal'!$B$8*('Small Signal'!$B$5+'Small Signal'!$B$6)),'Small Signal'!$B$6+'Small Signal'!$B$5),IMPRODUCT(IMPOWER(H132,2),'Small Signal'!$B$32*'Small Signal'!$B$33*'Small Signal'!$B$8*'Small Signal'!$B$7*('Small Signal'!$B$5+'Small Signal'!$B$6)+('Small Signal'!$B$5+'Small Signal'!$B$6)*('Small Signal'!$B$9*'Small Signal'!$B$8*'Small Signal'!$B$33*'Small Signal'!$B$7)))),-1)</f>
        <v>-0.283824164287178+0.0822089023912175i</v>
      </c>
      <c r="T132" s="85">
        <f t="shared" si="32"/>
        <v>-10.589138282319468</v>
      </c>
      <c r="U132" s="85">
        <f t="shared" si="33"/>
        <v>163.84648338092651</v>
      </c>
      <c r="V132" s="85" t="str">
        <f t="shared" si="34"/>
        <v>0.341260344531357+1.43464142535418i</v>
      </c>
      <c r="W132" s="80">
        <f t="shared" si="35"/>
        <v>3.373902962594471</v>
      </c>
      <c r="X132" s="85">
        <f t="shared" si="36"/>
        <v>76.61963299035867</v>
      </c>
      <c r="Y132" s="85" t="str">
        <f t="shared" si="37"/>
        <v>1.85710455656338+2.58203692250302i</v>
      </c>
      <c r="Z132" s="80">
        <f t="shared" si="38"/>
        <v>10.049981736802923</v>
      </c>
      <c r="AA132" s="85">
        <f t="shared" si="39"/>
        <v>54.274796473004834</v>
      </c>
    </row>
    <row r="133" spans="6:27" ht="12.75">
      <c r="F133" s="84">
        <v>131</v>
      </c>
      <c r="G133" s="85">
        <f>10^('Small Signal'!F133/30)</f>
        <v>23263.050671536268</v>
      </c>
      <c r="H133" s="85" t="str">
        <f t="shared" si="27"/>
        <v>146166.058179571i</v>
      </c>
      <c r="I133" s="85">
        <f>IF('Small Signal'!$B$37&gt;=1,Q133+0,N133+0)</f>
        <v>13.302244492046633</v>
      </c>
      <c r="J133" s="85">
        <f>IF('Small Signal'!$B$37&gt;=1,R133,O133)</f>
        <v>-88.94403205931607</v>
      </c>
      <c r="K133" s="85">
        <f>IF('Small Signal'!$B$37&gt;=1,Z133+0,W133+0)</f>
        <v>2.6841033465481843</v>
      </c>
      <c r="L133" s="85">
        <f>IF('Small Signal'!$B$37&gt;=1,AA133,X133)</f>
        <v>75.32742841567018</v>
      </c>
      <c r="M133" s="85" t="str">
        <f>IMDIV(IMSUM('Small Signal'!$B$2*'Small Signal'!$B$16*'Small Signal'!$B$38,IMPRODUCT(H133,'Small Signal'!$B$2*'Small Signal'!$B$16*'Small Signal'!$B$38*'Small Signal'!$B$13*'Small Signal'!$B$14)),IMSUM(IMPRODUCT('Small Signal'!$B$11*'Small Signal'!$B$13*('Small Signal'!$B$14+'Small Signal'!$B$16),IMPOWER(H133,2)),IMSUM(IMPRODUCT(H133,('Small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0.0852345630285191-4.62421972817009i</v>
      </c>
      <c r="N133" s="85">
        <f t="shared" si="28"/>
        <v>13.302244492046633</v>
      </c>
      <c r="O133" s="85">
        <f t="shared" si="29"/>
        <v>-88.94403205931607</v>
      </c>
      <c r="P133" s="85" t="str">
        <f>IMDIV(IMSUM('Small Signal'!$B$48,IMPRODUCT(H133,'Small Signal'!$B$49)),IMSUM(IMPRODUCT('Small Signal'!$B$52,IMPOWER(H133,2)),IMSUM(IMPRODUCT(H133,'Small Signal'!$B$51),'Small Signal'!$B$50)))</f>
        <v>-3.8101578296075-8.94371967408507i</v>
      </c>
      <c r="Q133" s="85">
        <f t="shared" si="30"/>
        <v>19.754659270675486</v>
      </c>
      <c r="R133" s="85">
        <f t="shared" si="31"/>
        <v>-113.07472707684636</v>
      </c>
      <c r="S133" s="85" t="str">
        <f>IMPRODUCT(IMDIV(IMSUM(IMPRODUCT(H133,'Small Signal'!$B$33*'Small Signal'!$B$6*'Small Signal'!$B$27*'Small Signal'!$B$7*'Small Signal'!$B$8),'Small Signal'!$B$33*'Small Signal'!$B$6*'Small Signal'!$B$27),IMSUM(IMSUM(IMPRODUCT(H133,('Small Signal'!$B$5+'Small Signal'!$B$6)*('Small Signal'!$B$32*'Small Signal'!$B$33)+'Small Signal'!$B$5*'Small Signal'!$B$33*('Small Signal'!$B$8+'Small Signal'!$B$9)+'Small Signal'!$B$6*'Small Signal'!$B$33*('Small Signal'!$B$8+'Small Signal'!$B$9)+'Small Signal'!$B$7*'Small Signal'!$B$8*('Small Signal'!$B$5+'Small Signal'!$B$6)),'Small Signal'!$B$6+'Small Signal'!$B$5),IMPRODUCT(IMPOWER(H133,2),'Small Signal'!$B$32*'Small Signal'!$B$33*'Small Signal'!$B$8*'Small Signal'!$B$7*('Small Signal'!$B$5+'Small Signal'!$B$6)+('Small Signal'!$B$5+'Small Signal'!$B$6)*('Small Signal'!$B$9*'Small Signal'!$B$8*'Small Signal'!$B$33*'Small Signal'!$B$7)))),-1)</f>
        <v>-0.283477978140921+0.0798344466711397i</v>
      </c>
      <c r="T133" s="85">
        <f t="shared" si="32"/>
        <v>-10.61814114549842</v>
      </c>
      <c r="U133" s="85">
        <f t="shared" si="33"/>
        <v>164.2714604749863</v>
      </c>
      <c r="V133" s="85" t="str">
        <f t="shared" si="34"/>
        <v>0.345009901689178+1.31766911319765i</v>
      </c>
      <c r="W133" s="80">
        <f t="shared" si="35"/>
        <v>2.6841033465481843</v>
      </c>
      <c r="X133" s="85">
        <f t="shared" si="36"/>
        <v>75.32742841567018</v>
      </c>
      <c r="Y133" s="85" t="str">
        <f t="shared" si="37"/>
        <v>1.7941127492973+2.23116572821239i</v>
      </c>
      <c r="Z133" s="80">
        <f t="shared" si="38"/>
        <v>9.136518125177068</v>
      </c>
      <c r="AA133" s="85">
        <f t="shared" si="39"/>
        <v>51.19673339814001</v>
      </c>
    </row>
    <row r="134" spans="6:27" ht="12.75">
      <c r="F134" s="84">
        <v>132</v>
      </c>
      <c r="G134" s="85">
        <f>10^('Small Signal'!F134/30)</f>
        <v>25118.86431509586</v>
      </c>
      <c r="H134" s="85" t="str">
        <f t="shared" si="27"/>
        <v>157826.479197648i</v>
      </c>
      <c r="I134" s="85">
        <f>IF('Small Signal'!$B$37&gt;=1,Q134+0,N134+0)</f>
        <v>12.633183017443248</v>
      </c>
      <c r="J134" s="85">
        <f>IF('Small Signal'!$B$37&gt;=1,R134,O134)</f>
        <v>-90.65565804539435</v>
      </c>
      <c r="K134" s="85">
        <f>IF('Small Signal'!$B$37&gt;=1,Z134+0,W134+0)</f>
        <v>1.9884571503499515</v>
      </c>
      <c r="L134" s="85">
        <f>IF('Small Signal'!$B$37&gt;=1,AA134,X134)</f>
        <v>73.95416443200862</v>
      </c>
      <c r="M134" s="85" t="str">
        <f>IMDIV(IMSUM('Small Signal'!$B$2*'Small Signal'!$B$16*'Small Signal'!$B$38,IMPRODUCT(H134,'Small Signal'!$B$2*'Small Signal'!$B$16*'Small Signal'!$B$38*'Small Signal'!$B$13*'Small Signal'!$B$14)),IMSUM(IMPRODUCT('Small Signal'!$B$11*'Small Signal'!$B$13*('Small Signal'!$B$14+'Small Signal'!$B$16),IMPOWER(H134,2)),IMSUM(IMPRODUCT(H134,('Small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-0.0490009426207161-4.28184275692221i</v>
      </c>
      <c r="N134" s="85">
        <f t="shared" si="28"/>
        <v>12.633183017443248</v>
      </c>
      <c r="O134" s="85">
        <f t="shared" si="29"/>
        <v>-90.65565804539435</v>
      </c>
      <c r="P134" s="85" t="str">
        <f>IMDIV(IMSUM('Small Signal'!$B$48,IMPRODUCT(H134,'Small Signal'!$B$49)),IMSUM(IMPRODUCT('Small Signal'!$B$52,IMPOWER(H134,2)),IMSUM(IMPRODUCT(H134,'Small Signal'!$B$51),'Small Signal'!$B$50)))</f>
        <v>-3.90308421391515-7.82592849362283i</v>
      </c>
      <c r="Q134" s="85">
        <f t="shared" si="30"/>
        <v>18.835434679778686</v>
      </c>
      <c r="R134" s="85">
        <f t="shared" si="31"/>
        <v>-116.50715440429722</v>
      </c>
      <c r="S134" s="85" t="str">
        <f>IMPRODUCT(IMDIV(IMSUM(IMPRODUCT(H134,'Small Signal'!$B$33*'Small Signal'!$B$6*'Small Signal'!$B$27*'Small Signal'!$B$7*'Small Signal'!$B$8),'Small Signal'!$B$33*'Small Signal'!$B$6*'Small Signal'!$B$27),IMSUM(IMSUM(IMPRODUCT(H134,('Small Signal'!$B$5+'Small Signal'!$B$6)*('Small Signal'!$B$32*'Small Signal'!$B$33)+'Small Signal'!$B$5*'Small Signal'!$B$33*('Small Signal'!$B$8+'Small Signal'!$B$9)+'Small Signal'!$B$6*'Small Signal'!$B$33*('Small Signal'!$B$8+'Small Signal'!$B$9)+'Small Signal'!$B$7*'Small Signal'!$B$8*('Small Signal'!$B$5+'Small Signal'!$B$6)),'Small Signal'!$B$6+'Small Signal'!$B$5),IMPRODUCT(IMPOWER(H134,2),'Small Signal'!$B$32*'Small Signal'!$B$33*'Small Signal'!$B$8*'Small Signal'!$B$7*('Small Signal'!$B$5+'Small Signal'!$B$6)+('Small Signal'!$B$5+'Small Signal'!$B$6)*('Small Signal'!$B$9*'Small Signal'!$B$8*'Small Signal'!$B$33*'Small Signal'!$B$7)))),-1)</f>
        <v>-0.283076762620501+0.0779201224538143i</v>
      </c>
      <c r="T134" s="85">
        <f t="shared" si="32"/>
        <v>-10.644725867093285</v>
      </c>
      <c r="U134" s="85">
        <f t="shared" si="33"/>
        <v>164.60982247740301</v>
      </c>
      <c r="V134" s="85" t="str">
        <f t="shared" si="34"/>
        <v>0.347512740149782+1.20827202623022i</v>
      </c>
      <c r="W134" s="80">
        <f t="shared" si="35"/>
        <v>1.9884571503499515</v>
      </c>
      <c r="X134" s="85">
        <f t="shared" si="36"/>
        <v>73.95416443200862</v>
      </c>
      <c r="Y134" s="85" t="str">
        <f t="shared" si="37"/>
        <v>1.71466975004817+1.91120970257847i</v>
      </c>
      <c r="Z134" s="80">
        <f t="shared" si="38"/>
        <v>8.19070881268541</v>
      </c>
      <c r="AA134" s="85">
        <f t="shared" si="39"/>
        <v>48.102668073105804</v>
      </c>
    </row>
    <row r="135" spans="6:27" ht="12.75">
      <c r="F135" s="84">
        <v>133</v>
      </c>
      <c r="G135" s="85">
        <f>10^('Small Signal'!F135/30)</f>
        <v>27122.725793320307</v>
      </c>
      <c r="H135" s="85" t="str">
        <f t="shared" si="27"/>
        <v>170417.112195251i</v>
      </c>
      <c r="I135" s="85">
        <f>IF('Small Signal'!$B$37&gt;=1,Q135+0,N135+0)</f>
        <v>11.9558147423704</v>
      </c>
      <c r="J135" s="85">
        <f>IF('Small Signal'!$B$37&gt;=1,R135,O135)</f>
        <v>-92.36842768816972</v>
      </c>
      <c r="K135" s="85">
        <f>IF('Small Signal'!$B$37&gt;=1,Z135+0,W135+0)</f>
        <v>1.2863426667604503</v>
      </c>
      <c r="L135" s="85">
        <f>IF('Small Signal'!$B$37&gt;=1,AA135,X135)</f>
        <v>72.49424468943218</v>
      </c>
      <c r="M135" s="85" t="str">
        <f>IMDIV(IMSUM('Small Signal'!$B$2*'Small Signal'!$B$16*'Small Signal'!$B$38,IMPRODUCT(H135,'Small Signal'!$B$2*'Small Signal'!$B$16*'Small Signal'!$B$38*'Small Signal'!$B$13*'Small Signal'!$B$14)),IMSUM(IMPRODUCT('Small Signal'!$B$11*'Small Signal'!$B$13*('Small Signal'!$B$14+'Small Signal'!$B$16),IMPOWER(H135,2)),IMSUM(IMPRODUCT(H135,('Small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-0.163683365042696-3.95748779418249i</v>
      </c>
      <c r="N135" s="85">
        <f t="shared" si="28"/>
        <v>11.9558147423704</v>
      </c>
      <c r="O135" s="85">
        <f t="shared" si="29"/>
        <v>-92.36842768816972</v>
      </c>
      <c r="P135" s="85" t="str">
        <f>IMDIV(IMSUM('Small Signal'!$B$48,IMPRODUCT(H135,'Small Signal'!$B$49)),IMSUM(IMPRODUCT('Small Signal'!$B$52,IMPOWER(H135,2)),IMSUM(IMPRODUCT(H135,'Small Signal'!$B$51),'Small Signal'!$B$50)))</f>
        <v>-3.90139381189488-6.79621605554301i</v>
      </c>
      <c r="Q135" s="85">
        <f t="shared" si="30"/>
        <v>17.882350404764733</v>
      </c>
      <c r="R135" s="85">
        <f t="shared" si="31"/>
        <v>-119.85814348321766</v>
      </c>
      <c r="S135" s="85" t="str">
        <f>IMPRODUCT(IMDIV(IMSUM(IMPRODUCT(H135,'Small Signal'!$B$33*'Small Signal'!$B$6*'Small Signal'!$B$27*'Small Signal'!$B$7*'Small Signal'!$B$8),'Small Signal'!$B$33*'Small Signal'!$B$6*'Small Signal'!$B$27),IMSUM(IMSUM(IMPRODUCT(H135,('Small Signal'!$B$5+'Small Signal'!$B$6)*('Small Signal'!$B$32*'Small Signal'!$B$33)+'Small Signal'!$B$5*'Small Signal'!$B$33*('Small Signal'!$B$8+'Small Signal'!$B$9)+'Small Signal'!$B$6*'Small Signal'!$B$33*('Small Signal'!$B$8+'Small Signal'!$B$9)+'Small Signal'!$B$7*'Small Signal'!$B$8*('Small Signal'!$B$5+'Small Signal'!$B$6)),'Small Signal'!$B$6+'Small Signal'!$B$5),IMPRODUCT(IMPOWER(H135,2),'Small Signal'!$B$32*'Small Signal'!$B$33*'Small Signal'!$B$8*'Small Signal'!$B$7*('Small Signal'!$B$5+'Small Signal'!$B$6)+('Small Signal'!$B$5+'Small Signal'!$B$6)*('Small Signal'!$B$9*'Small Signal'!$B$8*'Small Signal'!$B$33*'Small Signal'!$B$7)))),-1)</f>
        <v>-0.28261155953275+0.0764520087911244i</v>
      </c>
      <c r="T135" s="85">
        <f t="shared" si="32"/>
        <v>-10.669472075609942</v>
      </c>
      <c r="U135" s="85">
        <f t="shared" si="33"/>
        <v>164.8626723776019</v>
      </c>
      <c r="V135" s="85" t="str">
        <f t="shared" si="34"/>
        <v>0.348816702695892+1.10591787528253i</v>
      </c>
      <c r="W135" s="80">
        <f t="shared" si="35"/>
        <v>1.2863426667604503</v>
      </c>
      <c r="X135" s="85">
        <f t="shared" si="36"/>
        <v>72.49424468943218</v>
      </c>
      <c r="Y135" s="85" t="str">
        <f t="shared" si="37"/>
        <v>1.62216335915579+1.6224198243739i</v>
      </c>
      <c r="Z135" s="80">
        <f t="shared" si="38"/>
        <v>7.212878329154804</v>
      </c>
      <c r="AA135" s="85">
        <f t="shared" si="39"/>
        <v>45.004528894384215</v>
      </c>
    </row>
    <row r="136" spans="6:27" ht="12.75">
      <c r="F136" s="84">
        <v>134</v>
      </c>
      <c r="G136" s="85">
        <f>10^('Small Signal'!F136/30)</f>
        <v>29286.4456462524</v>
      </c>
      <c r="H136" s="85" t="str">
        <f t="shared" si="27"/>
        <v>184012.164984047i</v>
      </c>
      <c r="I136" s="85">
        <f>IF('Small Signal'!$B$37&gt;=1,Q136+0,N136+0)</f>
        <v>11.269950496730223</v>
      </c>
      <c r="J136" s="85">
        <f>IF('Small Signal'!$B$37&gt;=1,R136,O136)</f>
        <v>-94.08893418093805</v>
      </c>
      <c r="K136" s="85">
        <f>IF('Small Signal'!$B$37&gt;=1,Z136+0,W136+0)</f>
        <v>0.577024635991453</v>
      </c>
      <c r="L136" s="85">
        <f>IF('Small Signal'!$B$37&gt;=1,AA136,X136)</f>
        <v>70.94192931761445</v>
      </c>
      <c r="M136" s="85" t="str">
        <f>IMDIV(IMSUM('Small Signal'!$B$2*'Small Signal'!$B$16*'Small Signal'!$B$38,IMPRODUCT(H136,'Small Signal'!$B$2*'Small Signal'!$B$16*'Small Signal'!$B$38*'Small Signal'!$B$13*'Small Signal'!$B$14)),IMSUM(IMPRODUCT('Small Signal'!$B$11*'Small Signal'!$B$13*('Small Signal'!$B$14+'Small Signal'!$B$16),IMPOWER(H136,2)),IMSUM(IMPRODUCT(H136,('Small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-0.260985455360927-3.65082192985561i</v>
      </c>
      <c r="N136" s="85">
        <f t="shared" si="28"/>
        <v>11.269950496730223</v>
      </c>
      <c r="O136" s="85">
        <f t="shared" si="29"/>
        <v>-94.08893418093805</v>
      </c>
      <c r="P136" s="85" t="str">
        <f>IMDIV(IMSUM('Small Signal'!$B$48,IMPRODUCT(H136,'Small Signal'!$B$49)),IMSUM(IMPRODUCT('Small Signal'!$B$52,IMPOWER(H136,2)),IMSUM(IMPRODUCT(H136,'Small Signal'!$B$51),'Small Signal'!$B$50)))</f>
        <v>-3.82207741803166-5.85920331319651i</v>
      </c>
      <c r="Q136" s="85">
        <f t="shared" si="30"/>
        <v>16.89651002141897</v>
      </c>
      <c r="R136" s="85">
        <f t="shared" si="31"/>
        <v>-123.11722712646326</v>
      </c>
      <c r="S136" s="85" t="str">
        <f>IMPRODUCT(IMDIV(IMSUM(IMPRODUCT(H136,'Small Signal'!$B$33*'Small Signal'!$B$6*'Small Signal'!$B$27*'Small Signal'!$B$7*'Small Signal'!$B$8),'Small Signal'!$B$33*'Small Signal'!$B$6*'Small Signal'!$B$27),IMSUM(IMSUM(IMPRODUCT(H136,('Small Signal'!$B$5+'Small Signal'!$B$6)*('Small Signal'!$B$32*'Small Signal'!$B$33)+'Small Signal'!$B$5*'Small Signal'!$B$33*('Small Signal'!$B$8+'Small Signal'!$B$9)+'Small Signal'!$B$6*'Small Signal'!$B$33*('Small Signal'!$B$8+'Small Signal'!$B$9)+'Small Signal'!$B$7*'Small Signal'!$B$8*('Small Signal'!$B$5+'Small Signal'!$B$6)),'Small Signal'!$B$6+'Small Signal'!$B$5),IMPRODUCT(IMPOWER(H136,2),'Small Signal'!$B$32*'Small Signal'!$B$33*'Small Signal'!$B$8*'Small Signal'!$B$7*('Small Signal'!$B$5+'Small Signal'!$B$6)+('Small Signal'!$B$5+'Small Signal'!$B$6)*('Small Signal'!$B$9*'Small Signal'!$B$8*'Small Signal'!$B$33*'Small Signal'!$B$7)))),-1)</f>
        <v>-0.282072080569137+0.0754181569431638i</v>
      </c>
      <c r="T136" s="85">
        <f t="shared" si="32"/>
        <v>-10.692925860738766</v>
      </c>
      <c r="U136" s="85">
        <f t="shared" si="33"/>
        <v>165.0308634985525</v>
      </c>
      <c r="V136" s="85" t="str">
        <f t="shared" si="34"/>
        <v>0.348954971669335+1.01011189550951i</v>
      </c>
      <c r="W136" s="80">
        <f t="shared" si="35"/>
        <v>0.577024635991453</v>
      </c>
      <c r="X136" s="85">
        <f t="shared" si="36"/>
        <v>70.94192931761445</v>
      </c>
      <c r="Y136" s="85" t="str">
        <f t="shared" si="37"/>
        <v>1.51999164443707+1.36446363446889i</v>
      </c>
      <c r="Z136" s="80">
        <f t="shared" si="38"/>
        <v>6.203584160680226</v>
      </c>
      <c r="AA136" s="85">
        <f t="shared" si="39"/>
        <v>41.91363637208923</v>
      </c>
    </row>
    <row r="137" spans="6:27" ht="12.75">
      <c r="F137" s="84">
        <v>135</v>
      </c>
      <c r="G137" s="85">
        <f>10^('Small Signal'!F137/30)</f>
        <v>31622.77660168384</v>
      </c>
      <c r="H137" s="85" t="str">
        <f t="shared" si="27"/>
        <v>198691.765315922i</v>
      </c>
      <c r="I137" s="85">
        <f>IF('Small Signal'!$B$37&gt;=1,Q137+0,N137+0)</f>
        <v>10.57525430072399</v>
      </c>
      <c r="J137" s="85">
        <f>IF('Small Signal'!$B$37&gt;=1,R137,O137)</f>
        <v>-95.82356052465924</v>
      </c>
      <c r="K137" s="85">
        <f>IF('Small Signal'!$B$37&gt;=1,Z137+0,W137+0)</f>
        <v>-0.14035503462101662</v>
      </c>
      <c r="L137" s="85">
        <f>IF('Small Signal'!$B$37&gt;=1,AA137,X137)</f>
        <v>69.29141583388643</v>
      </c>
      <c r="M137" s="85" t="str">
        <f>IMDIV(IMSUM('Small Signal'!$B$2*'Small Signal'!$B$16*'Small Signal'!$B$38,IMPRODUCT(H137,'Small Signal'!$B$2*'Small Signal'!$B$16*'Small Signal'!$B$38*'Small Signal'!$B$13*'Small Signal'!$B$14)),IMSUM(IMPRODUCT('Small Signal'!$B$11*'Small Signal'!$B$13*('Small Signal'!$B$14+'Small Signal'!$B$16),IMPOWER(H137,2)),IMSUM(IMPRODUCT(H137,('Small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-0.342831448552062-3.36136402446364i</v>
      </c>
      <c r="N137" s="85">
        <f t="shared" si="28"/>
        <v>10.57525430072399</v>
      </c>
      <c r="O137" s="85">
        <f t="shared" si="29"/>
        <v>-95.82356052465924</v>
      </c>
      <c r="P137" s="85" t="str">
        <f>IMDIV(IMSUM('Small Signal'!$B$48,IMPRODUCT(H137,'Small Signal'!$B$49)),IMSUM(IMPRODUCT('Small Signal'!$B$52,IMPOWER(H137,2)),IMSUM(IMPRODUCT(H137,'Small Signal'!$B$51),'Small Signal'!$B$50)))</f>
        <v>-3.68153814663227-5.01647591928572i</v>
      </c>
      <c r="Q137" s="85">
        <f t="shared" si="30"/>
        <v>15.879213703864519</v>
      </c>
      <c r="R137" s="85">
        <f t="shared" si="31"/>
        <v>-126.27454798780632</v>
      </c>
      <c r="S137" s="85" t="str">
        <f>IMPRODUCT(IMDIV(IMSUM(IMPRODUCT(H137,'Small Signal'!$B$33*'Small Signal'!$B$6*'Small Signal'!$B$27*'Small Signal'!$B$7*'Small Signal'!$B$8),'Small Signal'!$B$33*'Small Signal'!$B$6*'Small Signal'!$B$27),IMSUM(IMSUM(IMPRODUCT(H137,('Small Signal'!$B$5+'Small Signal'!$B$6)*('Small Signal'!$B$32*'Small Signal'!$B$33)+'Small Signal'!$B$5*'Small Signal'!$B$33*('Small Signal'!$B$8+'Small Signal'!$B$9)+'Small Signal'!$B$6*'Small Signal'!$B$33*('Small Signal'!$B$8+'Small Signal'!$B$9)+'Small Signal'!$B$7*'Small Signal'!$B$8*('Small Signal'!$B$5+'Small Signal'!$B$6)),'Small Signal'!$B$6+'Small Signal'!$B$5),IMPRODUCT(IMPOWER(H137,2),'Small Signal'!$B$32*'Small Signal'!$B$33*'Small Signal'!$B$8*'Small Signal'!$B$7*('Small Signal'!$B$5+'Small Signal'!$B$6)+('Small Signal'!$B$5+'Small Signal'!$B$6)*('Small Signal'!$B$9*'Small Signal'!$B$8*'Small Signal'!$B$33*'Small Signal'!$B$7)))),-1)</f>
        <v>-0.281446526864599+0.0748083612185084i</v>
      </c>
      <c r="T137" s="85">
        <f t="shared" si="32"/>
        <v>-10.715609335345</v>
      </c>
      <c r="U137" s="85">
        <f t="shared" si="33"/>
        <v>165.11497635854568</v>
      </c>
      <c r="V137" s="85" t="str">
        <f t="shared" si="34"/>
        <v>0.347946854623912+0.920397571372555i</v>
      </c>
      <c r="W137" s="80">
        <f t="shared" si="35"/>
        <v>-0.14035503462101662</v>
      </c>
      <c r="X137" s="85">
        <f t="shared" si="36"/>
        <v>69.29141583388643</v>
      </c>
      <c r="Y137" s="85" t="str">
        <f t="shared" si="37"/>
        <v>1.41143046750306+1.13645988906988i</v>
      </c>
      <c r="Z137" s="80">
        <f t="shared" si="38"/>
        <v>5.163604368519524</v>
      </c>
      <c r="AA137" s="85">
        <f t="shared" si="39"/>
        <v>38.84042837073941</v>
      </c>
    </row>
    <row r="138" spans="6:27" ht="12.75">
      <c r="F138" s="84">
        <v>136</v>
      </c>
      <c r="G138" s="85">
        <f>10^('Small Signal'!F138/30)</f>
        <v>34145.48873833601</v>
      </c>
      <c r="H138" s="85" t="str">
        <f t="shared" si="27"/>
        <v>214542.433147179i</v>
      </c>
      <c r="I138" s="85">
        <f>IF('Small Signal'!$B$37&gt;=1,Q138+0,N138+0)</f>
        <v>9.871244070577486</v>
      </c>
      <c r="J138" s="85">
        <f>IF('Small Signal'!$B$37&gt;=1,R138,O138)</f>
        <v>-97.57836947875238</v>
      </c>
      <c r="K138" s="85">
        <f>IF('Small Signal'!$B$37&gt;=1,Z138+0,W138+0)</f>
        <v>-0.8667860933098879</v>
      </c>
      <c r="L138" s="85">
        <f>IF('Small Signal'!$B$37&gt;=1,AA138,X138)</f>
        <v>67.53693421128742</v>
      </c>
      <c r="M138" s="85" t="str">
        <f>IMDIV(IMSUM('Small Signal'!$B$2*'Small Signal'!$B$16*'Small Signal'!$B$38,IMPRODUCT(H138,'Small Signal'!$B$2*'Small Signal'!$B$16*'Small Signal'!$B$38*'Small Signal'!$B$13*'Small Signal'!$B$14)),IMSUM(IMPRODUCT('Small Signal'!$B$11*'Small Signal'!$B$13*('Small Signal'!$B$14+'Small Signal'!$B$16),IMPOWER(H138,2)),IMSUM(IMPRODUCT(H138,('Small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-0.410911503055523-3.08853232283508i</v>
      </c>
      <c r="N138" s="85">
        <f t="shared" si="28"/>
        <v>9.871244070577486</v>
      </c>
      <c r="O138" s="85">
        <f t="shared" si="29"/>
        <v>-97.57836947875238</v>
      </c>
      <c r="P138" s="85" t="str">
        <f>IMDIV(IMSUM('Small Signal'!$B$48,IMPRODUCT(H138,'Small Signal'!$B$49)),IMSUM(IMPRODUCT('Small Signal'!$B$52,IMPOWER(H138,2)),IMSUM(IMPRODUCT(H138,'Small Signal'!$B$51),'Small Signal'!$B$50)))</f>
        <v>-3.49508326873188-4.26694967222698i</v>
      </c>
      <c r="Q138" s="85">
        <f t="shared" si="30"/>
        <v>14.831944224148527</v>
      </c>
      <c r="R138" s="85">
        <f t="shared" si="31"/>
        <v>-129.3211045971673</v>
      </c>
      <c r="S138" s="85" t="str">
        <f>IMPRODUCT(IMDIV(IMSUM(IMPRODUCT(H138,'Small Signal'!$B$33*'Small Signal'!$B$6*'Small Signal'!$B$27*'Small Signal'!$B$7*'Small Signal'!$B$8),'Small Signal'!$B$33*'Small Signal'!$B$6*'Small Signal'!$B$27),IMSUM(IMSUM(IMPRODUCT(H138,('Small Signal'!$B$5+'Small Signal'!$B$6)*('Small Signal'!$B$32*'Small Signal'!$B$33)+'Small Signal'!$B$5*'Small Signal'!$B$33*('Small Signal'!$B$8+'Small Signal'!$B$9)+'Small Signal'!$B$6*'Small Signal'!$B$33*('Small Signal'!$B$8+'Small Signal'!$B$9)+'Small Signal'!$B$7*'Small Signal'!$B$8*('Small Signal'!$B$5+'Small Signal'!$B$6)),'Small Signal'!$B$6+'Small Signal'!$B$5),IMPRODUCT(IMPOWER(H138,2),'Small Signal'!$B$32*'Small Signal'!$B$33*'Small Signal'!$B$8*'Small Signal'!$B$7*('Small Signal'!$B$5+'Small Signal'!$B$6)+('Small Signal'!$B$5+'Small Signal'!$B$6)*('Small Signal'!$B$9*'Small Signal'!$B$8*'Small Signal'!$B$33*'Small Signal'!$B$7)))),-1)</f>
        <v>-0.280721393954616+0.0746139041474958i</v>
      </c>
      <c r="T138" s="85">
        <f t="shared" si="32"/>
        <v>-10.73803016388737</v>
      </c>
      <c r="U138" s="85">
        <f t="shared" si="33"/>
        <v>165.1153036900398</v>
      </c>
      <c r="V138" s="85" t="str">
        <f t="shared" si="34"/>
        <v>0.345799104622192+0.836357387438063i</v>
      </c>
      <c r="W138" s="80">
        <f t="shared" si="35"/>
        <v>-0.8667860933098879</v>
      </c>
      <c r="X138" s="85">
        <f t="shared" si="36"/>
        <v>67.53693421128742</v>
      </c>
      <c r="Y138" s="85" t="str">
        <f t="shared" si="37"/>
        <v>1.2995184210316+0.937042251921073i</v>
      </c>
      <c r="Z138" s="80">
        <f t="shared" si="38"/>
        <v>4.093914060261152</v>
      </c>
      <c r="AA138" s="85">
        <f t="shared" si="39"/>
        <v>35.79419909287253</v>
      </c>
    </row>
    <row r="139" spans="6:27" ht="12.75">
      <c r="F139" s="84">
        <v>137</v>
      </c>
      <c r="G139" s="85">
        <f>10^('Small Signal'!F139/30)</f>
        <v>36869.450645195764</v>
      </c>
      <c r="H139" s="85" t="str">
        <f t="shared" si="27"/>
        <v>231657.590577677i</v>
      </c>
      <c r="I139" s="85">
        <f>IF('Small Signal'!$B$37&gt;=1,Q139+0,N139+0)</f>
        <v>9.15729316496235</v>
      </c>
      <c r="J139" s="85">
        <f>IF('Small Signal'!$B$37&gt;=1,R139,O139)</f>
        <v>-99.35898481660551</v>
      </c>
      <c r="K139" s="85">
        <f>IF('Small Signal'!$B$37&gt;=1,Z139+0,W139+0)</f>
        <v>-1.6033978925477208</v>
      </c>
      <c r="L139" s="85">
        <f>IF('Small Signal'!$B$37&gt;=1,AA139,X139)</f>
        <v>65.67285818291293</v>
      </c>
      <c r="M139" s="85" t="str">
        <f>IMDIV(IMSUM('Small Signal'!$B$2*'Small Signal'!$B$16*'Small Signal'!$B$38,IMPRODUCT(H139,'Small Signal'!$B$2*'Small Signal'!$B$16*'Small Signal'!$B$38*'Small Signal'!$B$13*'Small Signal'!$B$14)),IMSUM(IMPRODUCT('Small Signal'!$B$11*'Small Signal'!$B$13*('Small Signal'!$B$14+'Small Signal'!$B$16),IMPOWER(H139,2)),IMSUM(IMPRODUCT(H139,('Small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-0.466699964448619-2.83168452926291i</v>
      </c>
      <c r="N139" s="85">
        <f t="shared" si="28"/>
        <v>9.15729316496235</v>
      </c>
      <c r="O139" s="85">
        <f t="shared" si="29"/>
        <v>-99.35898481660551</v>
      </c>
      <c r="P139" s="85" t="str">
        <f>IMDIV(IMSUM('Small Signal'!$B$48,IMPRODUCT(H139,'Small Signal'!$B$49)),IMSUM(IMPRODUCT('Small Signal'!$B$52,IMPOWER(H139,2)),IMSUM(IMPRODUCT(H139,'Small Signal'!$B$51),'Small Signal'!$B$50)))</f>
        <v>-3.27653487864351-3.60731410720075i</v>
      </c>
      <c r="Q139" s="85">
        <f t="shared" si="30"/>
        <v>13.756342798793455</v>
      </c>
      <c r="R139" s="85">
        <f t="shared" si="31"/>
        <v>-132.24896821777494</v>
      </c>
      <c r="S139" s="85" t="str">
        <f>IMPRODUCT(IMDIV(IMSUM(IMPRODUCT(H139,'Small Signal'!$B$33*'Small Signal'!$B$6*'Small Signal'!$B$27*'Small Signal'!$B$7*'Small Signal'!$B$8),'Small Signal'!$B$33*'Small Signal'!$B$6*'Small Signal'!$B$27),IMSUM(IMSUM(IMPRODUCT(H139,('Small Signal'!$B$5+'Small Signal'!$B$6)*('Small Signal'!$B$32*'Small Signal'!$B$33)+'Small Signal'!$B$5*'Small Signal'!$B$33*('Small Signal'!$B$8+'Small Signal'!$B$9)+'Small Signal'!$B$6*'Small Signal'!$B$33*('Small Signal'!$B$8+'Small Signal'!$B$9)+'Small Signal'!$B$7*'Small Signal'!$B$8*('Small Signal'!$B$5+'Small Signal'!$B$6)),'Small Signal'!$B$6+'Small Signal'!$B$5),IMPRODUCT(IMPOWER(H139,2),'Small Signal'!$B$32*'Small Signal'!$B$33*'Small Signal'!$B$8*'Small Signal'!$B$7*('Small Signal'!$B$5+'Small Signal'!$B$6)+('Small Signal'!$B$5+'Small Signal'!$B$6)*('Small Signal'!$B$9*'Small Signal'!$B$8*'Small Signal'!$B$33*'Small Signal'!$B$7)))),-1)</f>
        <v>-0.279881264322546+0.0748272674322782i</v>
      </c>
      <c r="T139" s="85">
        <f t="shared" si="32"/>
        <v>-10.760691057510067</v>
      </c>
      <c r="U139" s="85">
        <f t="shared" si="33"/>
        <v>165.03184299951843</v>
      </c>
      <c r="V139" s="85" t="str">
        <f t="shared" si="34"/>
        <v>0.342507791664167+0.757613563162265i</v>
      </c>
      <c r="W139" s="80">
        <f t="shared" si="35"/>
        <v>-1.6033978925477208</v>
      </c>
      <c r="X139" s="85">
        <f t="shared" si="36"/>
        <v>65.67285818291293</v>
      </c>
      <c r="Y139" s="85" t="str">
        <f t="shared" si="37"/>
        <v>1.18696618184341+0.764445481516457i</v>
      </c>
      <c r="Z139" s="80">
        <f t="shared" si="38"/>
        <v>2.9956517412834067</v>
      </c>
      <c r="AA139" s="85">
        <f t="shared" si="39"/>
        <v>32.782874781743374</v>
      </c>
    </row>
    <row r="140" spans="6:27" ht="12.75">
      <c r="F140" s="84">
        <v>138</v>
      </c>
      <c r="G140" s="85">
        <f>10^('Small Signal'!F140/30)</f>
        <v>39810.71705534974</v>
      </c>
      <c r="H140" s="85" t="str">
        <f t="shared" si="27"/>
        <v>250138.112470457i</v>
      </c>
      <c r="I140" s="85">
        <f>IF('Small Signal'!$B$37&gt;=1,Q140+0,N140+0)</f>
        <v>8.432633360748996</v>
      </c>
      <c r="J140" s="85">
        <f>IF('Small Signal'!$B$37&gt;=1,R140,O140)</f>
        <v>-101.1704619711173</v>
      </c>
      <c r="K140" s="85">
        <f>IF('Small Signal'!$B$37&gt;=1,Z140+0,W140+0)</f>
        <v>-2.3514658947189524</v>
      </c>
      <c r="L140" s="85">
        <f>IF('Small Signal'!$B$37&gt;=1,AA140,X140)</f>
        <v>63.693834381481736</v>
      </c>
      <c r="M140" s="85" t="str">
        <f>IMDIV(IMSUM('Small Signal'!$B$2*'Small Signal'!$B$16*'Small Signal'!$B$38,IMPRODUCT(H140,'Small Signal'!$B$2*'Small Signal'!$B$16*'Small Signal'!$B$38*'Small Signal'!$B$13*'Small Signal'!$B$14)),IMSUM(IMPRODUCT('Small Signal'!$B$11*'Small Signal'!$B$13*('Small Signal'!$B$14+'Small Signal'!$B$16),IMPOWER(H140,2)),IMSUM(IMPRODUCT(H140,('Small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-0.511476194997817-2.59015106600539i</v>
      </c>
      <c r="N140" s="85">
        <f t="shared" si="28"/>
        <v>8.432633360748996</v>
      </c>
      <c r="O140" s="85">
        <f t="shared" si="29"/>
        <v>-101.1704619711173</v>
      </c>
      <c r="P140" s="85" t="str">
        <f>IMDIV(IMSUM('Small Signal'!$B$48,IMPRODUCT(H140,'Small Signal'!$B$49)),IMSUM(IMPRODUCT('Small Signal'!$B$52,IMPOWER(H140,2)),IMSUM(IMPRODUCT(H140,'Small Signal'!$B$51),'Small Signal'!$B$50)))</f>
        <v>-3.0379701065533-3.0325187893327i</v>
      </c>
      <c r="Q140" s="85">
        <f t="shared" si="30"/>
        <v>12.654176926315142</v>
      </c>
      <c r="R140" s="85">
        <f t="shared" si="31"/>
        <v>-135.05145176787684</v>
      </c>
      <c r="S140" s="85" t="str">
        <f>IMPRODUCT(IMDIV(IMSUM(IMPRODUCT(H140,'Small Signal'!$B$33*'Small Signal'!$B$6*'Small Signal'!$B$27*'Small Signal'!$B$7*'Small Signal'!$B$8),'Small Signal'!$B$33*'Small Signal'!$B$6*'Small Signal'!$B$27),IMSUM(IMSUM(IMPRODUCT(H140,('Small Signal'!$B$5+'Small Signal'!$B$6)*('Small Signal'!$B$32*'Small Signal'!$B$33)+'Small Signal'!$B$5*'Small Signal'!$B$33*('Small Signal'!$B$8+'Small Signal'!$B$9)+'Small Signal'!$B$6*'Small Signal'!$B$33*('Small Signal'!$B$8+'Small Signal'!$B$9)+'Small Signal'!$B$7*'Small Signal'!$B$8*('Small Signal'!$B$5+'Small Signal'!$B$6)),'Small Signal'!$B$6+'Small Signal'!$B$5),IMPRODUCT(IMPOWER(H140,2),'Small Signal'!$B$32*'Small Signal'!$B$33*'Small Signal'!$B$8*'Small Signal'!$B$7*('Small Signal'!$B$5+'Small Signal'!$B$6)+('Small Signal'!$B$5+'Small Signal'!$B$6)*('Small Signal'!$B$9*'Small Signal'!$B$8*'Small Signal'!$B$33*'Small Signal'!$B$7)))),-1)</f>
        <v>-0.27890859145826+0.0754417990317008i</v>
      </c>
      <c r="T140" s="85">
        <f t="shared" si="32"/>
        <v>-10.784099255467954</v>
      </c>
      <c r="U140" s="85">
        <f t="shared" si="33"/>
        <v>164.86429635259904</v>
      </c>
      <c r="V140" s="85" t="str">
        <f t="shared" si="34"/>
        <v>0.338060761294596+0.68382870117115i</v>
      </c>
      <c r="W140" s="80">
        <f t="shared" si="35"/>
        <v>-2.3514658947189524</v>
      </c>
      <c r="X140" s="85">
        <f t="shared" si="36"/>
        <v>63.693834381481736</v>
      </c>
      <c r="Y140" s="85" t="str">
        <f t="shared" si="37"/>
        <v>1.07609463637578+0.616605613860583i</v>
      </c>
      <c r="Z140" s="80">
        <f t="shared" si="38"/>
        <v>1.8700776708472184</v>
      </c>
      <c r="AA140" s="85">
        <f t="shared" si="39"/>
        <v>29.812844584722107</v>
      </c>
    </row>
    <row r="141" spans="6:27" ht="12.75">
      <c r="F141" s="84">
        <v>139</v>
      </c>
      <c r="G141" s="85">
        <f>10^('Small Signal'!F141/30)</f>
        <v>42986.62347082288</v>
      </c>
      <c r="H141" s="85" t="str">
        <f t="shared" si="27"/>
        <v>270092.920997135i</v>
      </c>
      <c r="I141" s="85">
        <f>IF('Small Signal'!$B$37&gt;=1,Q141+0,N141+0)</f>
        <v>7.6963600025606915</v>
      </c>
      <c r="J141" s="85">
        <f>IF('Small Signal'!$B$37&gt;=1,R141,O141)</f>
        <v>-103.01714728583019</v>
      </c>
      <c r="K141" s="85">
        <f>IF('Small Signal'!$B$37&gt;=1,Z141+0,W141+0)</f>
        <v>-3.1124160165417036</v>
      </c>
      <c r="L141" s="85">
        <f>IF('Small Signal'!$B$37&gt;=1,AA141,X141)</f>
        <v>61.5949300912893</v>
      </c>
      <c r="M141" s="85" t="str">
        <f>IMDIV(IMSUM('Small Signal'!$B$2*'Small Signal'!$B$16*'Small Signal'!$B$38,IMPRODUCT(H141,'Small Signal'!$B$2*'Small Signal'!$B$16*'Small Signal'!$B$38*'Small Signal'!$B$13*'Small Signal'!$B$14)),IMSUM(IMPRODUCT('Small Signal'!$B$11*'Small Signal'!$B$13*('Small Signal'!$B$14+'Small Signal'!$B$16),IMPOWER(H141,2)),IMSUM(IMPRODUCT(H141,('Small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-0.546347083596619-2.3632621837199i</v>
      </c>
      <c r="N141" s="85">
        <f t="shared" si="28"/>
        <v>7.6963600025606915</v>
      </c>
      <c r="O141" s="85">
        <f t="shared" si="29"/>
        <v>-103.01714728583019</v>
      </c>
      <c r="P141" s="85" t="str">
        <f>IMDIV(IMSUM('Small Signal'!$B$48,IMPRODUCT(H141,'Small Signal'!$B$49)),IMSUM(IMPRODUCT('Small Signal'!$B$52,IMPOWER(H141,2)),IMSUM(IMPRODUCT(H141,'Small Signal'!$B$51),'Small Signal'!$B$50)))</f>
        <v>-2.78959010084959-2.53626597963112i</v>
      </c>
      <c r="Q141" s="85">
        <f t="shared" si="30"/>
        <v>11.527303061440985</v>
      </c>
      <c r="R141" s="85">
        <f t="shared" si="31"/>
        <v>-137.72321889531392</v>
      </c>
      <c r="S141" s="85" t="str">
        <f>IMPRODUCT(IMDIV(IMSUM(IMPRODUCT(H141,'Small Signal'!$B$33*'Small Signal'!$B$6*'Small Signal'!$B$27*'Small Signal'!$B$7*'Small Signal'!$B$8),'Small Signal'!$B$33*'Small Signal'!$B$6*'Small Signal'!$B$27),IMSUM(IMSUM(IMPRODUCT(H141,('Small Signal'!$B$5+'Small Signal'!$B$6)*('Small Signal'!$B$32*'Small Signal'!$B$33)+'Small Signal'!$B$5*'Small Signal'!$B$33*('Small Signal'!$B$8+'Small Signal'!$B$9)+'Small Signal'!$B$6*'Small Signal'!$B$33*('Small Signal'!$B$8+'Small Signal'!$B$9)+'Small Signal'!$B$7*'Small Signal'!$B$8*('Small Signal'!$B$5+'Small Signal'!$B$6)),'Small Signal'!$B$6+'Small Signal'!$B$5),IMPRODUCT(IMPOWER(H141,2),'Small Signal'!$B$32*'Small Signal'!$B$33*'Small Signal'!$B$8*'Small Signal'!$B$7*('Small Signal'!$B$5+'Small Signal'!$B$6)+('Small Signal'!$B$5+'Small Signal'!$B$6)*('Small Signal'!$B$9*'Small Signal'!$B$8*'Small Signal'!$B$33*'Small Signal'!$B$7)))),-1)</f>
        <v>-0.277783481676304+0.0764513257361695i</v>
      </c>
      <c r="T141" s="85">
        <f t="shared" si="32"/>
        <v>-10.8087760191024</v>
      </c>
      <c r="U141" s="85">
        <f t="shared" si="33"/>
        <v>164.61207737711948</v>
      </c>
      <c r="V141" s="85" t="str">
        <f t="shared" si="34"/>
        <v>0.332440722092705+0.614706238654608i</v>
      </c>
      <c r="W141" s="80">
        <f t="shared" si="35"/>
        <v>-3.1124160165417036</v>
      </c>
      <c r="X141" s="85">
        <f t="shared" si="36"/>
        <v>61.5949300912893</v>
      </c>
      <c r="Y141" s="85" t="str">
        <f t="shared" si="37"/>
        <v>0.968802947226095+0.491264932808649i</v>
      </c>
      <c r="Z141" s="80">
        <f t="shared" si="38"/>
        <v>0.7185270423385879</v>
      </c>
      <c r="AA141" s="85">
        <f t="shared" si="39"/>
        <v>26.888858481805602</v>
      </c>
    </row>
    <row r="142" spans="6:27" ht="12.75">
      <c r="F142" s="84">
        <v>140</v>
      </c>
      <c r="G142" s="85">
        <f>10^('Small Signal'!F142/30)</f>
        <v>46415.888336127835</v>
      </c>
      <c r="H142" s="85" t="str">
        <f t="shared" si="27"/>
        <v>291639.627613247i</v>
      </c>
      <c r="I142" s="85">
        <f>IF('Small Signal'!$B$37&gt;=1,Q142+0,N142+0)</f>
        <v>6.947440194926906</v>
      </c>
      <c r="J142" s="85">
        <f>IF('Small Signal'!$B$37&gt;=1,R142,O142)</f>
        <v>-104.90252661129949</v>
      </c>
      <c r="K142" s="85">
        <f>IF('Small Signal'!$B$37&gt;=1,Z142+0,W142+0)</f>
        <v>-3.88782596366661</v>
      </c>
      <c r="L142" s="85">
        <f>IF('Small Signal'!$B$37&gt;=1,AA142,X142)</f>
        <v>59.371799174285606</v>
      </c>
      <c r="M142" s="85" t="str">
        <f>IMDIV(IMSUM('Small Signal'!$B$2*'Small Signal'!$B$16*'Small Signal'!$B$38,IMPRODUCT(H142,'Small Signal'!$B$2*'Small Signal'!$B$16*'Small Signal'!$B$38*'Small Signal'!$B$13*'Small Signal'!$B$14)),IMSUM(IMPRODUCT('Small Signal'!$B$11*'Small Signal'!$B$13*('Small Signal'!$B$14+'Small Signal'!$B$16),IMPOWER(H142,2)),IMSUM(IMPRODUCT(H142,('Small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-0.572270615933868-2.1503694667401i</v>
      </c>
      <c r="N142" s="85">
        <f t="shared" si="28"/>
        <v>6.947440194926906</v>
      </c>
      <c r="O142" s="85">
        <f t="shared" si="29"/>
        <v>-104.90252661129949</v>
      </c>
      <c r="P142" s="85" t="str">
        <f>IMDIV(IMSUM('Small Signal'!$B$48,IMPRODUCT(H142,'Small Signal'!$B$49)),IMSUM(IMPRODUCT('Small Signal'!$B$52,IMPOWER(H142,2)),IMSUM(IMPRODUCT(H142,'Small Signal'!$B$51),'Small Signal'!$B$50)))</f>
        <v>-2.53970612976785-2.11147688153801i</v>
      </c>
      <c r="Q142" s="85">
        <f t="shared" si="30"/>
        <v>10.37762720740293</v>
      </c>
      <c r="R142" s="85">
        <f t="shared" si="31"/>
        <v>-140.2603287875901</v>
      </c>
      <c r="S142" s="85" t="str">
        <f>IMPRODUCT(IMDIV(IMSUM(IMPRODUCT(H142,'Small Signal'!$B$33*'Small Signal'!$B$6*'Small Signal'!$B$27*'Small Signal'!$B$7*'Small Signal'!$B$8),'Small Signal'!$B$33*'Small Signal'!$B$6*'Small Signal'!$B$27),IMSUM(IMSUM(IMPRODUCT(H142,('Small Signal'!$B$5+'Small Signal'!$B$6)*('Small Signal'!$B$32*'Small Signal'!$B$33)+'Small Signal'!$B$5*'Small Signal'!$B$33*('Small Signal'!$B$8+'Small Signal'!$B$9)+'Small Signal'!$B$6*'Small Signal'!$B$33*('Small Signal'!$B$8+'Small Signal'!$B$9)+'Small Signal'!$B$7*'Small Signal'!$B$8*('Small Signal'!$B$5+'Small Signal'!$B$6)),'Small Signal'!$B$6+'Small Signal'!$B$5),IMPRODUCT(IMPOWER(H142,2),'Small Signal'!$B$32*'Small Signal'!$B$33*'Small Signal'!$B$8*'Small Signal'!$B$7*('Small Signal'!$B$5+'Small Signal'!$B$6)+('Small Signal'!$B$5+'Small Signal'!$B$6)*('Small Signal'!$B$9*'Small Signal'!$B$8*'Small Signal'!$B$33*'Small Signal'!$B$7)))),-1)</f>
        <v>-0.276483482993588+0.0778496998242166i</v>
      </c>
      <c r="T142" s="85">
        <f t="shared" si="32"/>
        <v>-10.83526615859351</v>
      </c>
      <c r="U142" s="85">
        <f t="shared" si="33"/>
        <v>164.2743257855851</v>
      </c>
      <c r="V142" s="85" t="str">
        <f t="shared" si="34"/>
        <v>0.325628990605159+0.549990544218696i</v>
      </c>
      <c r="W142" s="80">
        <f t="shared" si="35"/>
        <v>-3.88782596366661</v>
      </c>
      <c r="X142" s="85">
        <f t="shared" si="36"/>
        <v>59.371799174285606</v>
      </c>
      <c r="Y142" s="85" t="str">
        <f t="shared" si="37"/>
        <v>0.866564637951888+0.386073122623919i</v>
      </c>
      <c r="Z142" s="80">
        <f t="shared" si="38"/>
        <v>-0.4576389511905783</v>
      </c>
      <c r="AA142" s="85">
        <f t="shared" si="39"/>
        <v>24.013996997994976</v>
      </c>
    </row>
    <row r="143" spans="6:27" ht="12.75">
      <c r="F143" s="84">
        <v>141</v>
      </c>
      <c r="G143" s="85">
        <f>10^('Small Signal'!F143/30)</f>
        <v>50118.723362727294</v>
      </c>
      <c r="H143" s="85" t="str">
        <f t="shared" si="27"/>
        <v>314905.226247286i</v>
      </c>
      <c r="I143" s="85">
        <f>IF('Small Signal'!$B$37&gt;=1,Q143+0,N143+0)</f>
        <v>6.184724976380389</v>
      </c>
      <c r="J143" s="85">
        <f>IF('Small Signal'!$B$37&gt;=1,R143,O143)</f>
        <v>-106.82906591878665</v>
      </c>
      <c r="K143" s="85">
        <f>IF('Small Signal'!$B$37&gt;=1,Z143+0,W143+0)</f>
        <v>-4.67942261751128</v>
      </c>
      <c r="L143" s="85">
        <f>IF('Small Signal'!$B$37&gt;=1,AA143,X143)</f>
        <v>57.02086410042834</v>
      </c>
      <c r="M143" s="85" t="str">
        <f>IMDIV(IMSUM('Small Signal'!$B$2*'Small Signal'!$B$16*'Small Signal'!$B$38,IMPRODUCT(H143,'Small Signal'!$B$2*'Small Signal'!$B$16*'Small Signal'!$B$38*'Small Signal'!$B$13*'Small Signal'!$B$14)),IMSUM(IMPRODUCT('Small Signal'!$B$11*'Small Signal'!$B$13*('Small Signal'!$B$14+'Small Signal'!$B$16),IMPOWER(H143,2)),IMSUM(IMPRODUCT(H143,('Small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-0.590080040539082-1.95086211399184i</v>
      </c>
      <c r="N143" s="85">
        <f t="shared" si="28"/>
        <v>6.184724976380389</v>
      </c>
      <c r="O143" s="85">
        <f t="shared" si="29"/>
        <v>-106.82906591878665</v>
      </c>
      <c r="P143" s="85" t="str">
        <f>IMDIV(IMSUM('Small Signal'!$B$48,IMPRODUCT(H143,'Small Signal'!$B$49)),IMSUM(IMPRODUCT('Small Signal'!$B$52,IMPOWER(H143,2)),IMSUM(IMPRODUCT(H143,'Small Signal'!$B$51),'Small Signal'!$B$50)))</f>
        <v>-2.29482276502288-1.75070576238541i</v>
      </c>
      <c r="Q143" s="85">
        <f t="shared" si="30"/>
        <v>9.20706631883167</v>
      </c>
      <c r="R143" s="85">
        <f t="shared" si="31"/>
        <v>-142.660219185067</v>
      </c>
      <c r="S143" s="85" t="str">
        <f>IMPRODUCT(IMDIV(IMSUM(IMPRODUCT(H143,'Small Signal'!$B$33*'Small Signal'!$B$6*'Small Signal'!$B$27*'Small Signal'!$B$7*'Small Signal'!$B$8),'Small Signal'!$B$33*'Small Signal'!$B$6*'Small Signal'!$B$27),IMSUM(IMSUM(IMPRODUCT(H143,('Small Signal'!$B$5+'Small Signal'!$B$6)*('Small Signal'!$B$32*'Small Signal'!$B$33)+'Small Signal'!$B$5*'Small Signal'!$B$33*('Small Signal'!$B$8+'Small Signal'!$B$9)+'Small Signal'!$B$6*'Small Signal'!$B$33*('Small Signal'!$B$8+'Small Signal'!$B$9)+'Small Signal'!$B$7*'Small Signal'!$B$8*('Small Signal'!$B$5+'Small Signal'!$B$6)),'Small Signal'!$B$6+'Small Signal'!$B$5),IMPRODUCT(IMPOWER(H143,2),'Small Signal'!$B$32*'Small Signal'!$B$33*'Small Signal'!$B$8*'Small Signal'!$B$7*('Small Signal'!$B$5+'Small Signal'!$B$6)+('Small Signal'!$B$5+'Small Signal'!$B$6)*('Small Signal'!$B$9*'Small Signal'!$B$8*'Small Signal'!$B$33*'Small Signal'!$B$7)))),-1)</f>
        <v>-0.274983394262722+0.0796302681001655i</v>
      </c>
      <c r="T143" s="85">
        <f t="shared" si="32"/>
        <v>-10.864147593891666</v>
      </c>
      <c r="U143" s="85">
        <f t="shared" si="33"/>
        <v>163.84993001921498</v>
      </c>
      <c r="V143" s="85" t="str">
        <f t="shared" si="34"/>
        <v>0.317609885597747+0.489466454015342i</v>
      </c>
      <c r="W143" s="80">
        <f t="shared" si="35"/>
        <v>-4.67942261751128</v>
      </c>
      <c r="X143" s="85">
        <f t="shared" si="36"/>
        <v>57.02086410042834</v>
      </c>
      <c r="Y143" s="85" t="str">
        <f t="shared" si="37"/>
        <v>0.770447322380611+0.298677660874911i</v>
      </c>
      <c r="Z143" s="80">
        <f t="shared" si="38"/>
        <v>-1.6570812750600035</v>
      </c>
      <c r="AA143" s="85">
        <f t="shared" si="39"/>
        <v>21.18971083414796</v>
      </c>
    </row>
    <row r="144" spans="6:27" ht="12.75">
      <c r="F144" s="84">
        <v>142</v>
      </c>
      <c r="G144" s="85">
        <f>10^('Small Signal'!F144/30)</f>
        <v>54116.952654646455</v>
      </c>
      <c r="H144" s="85" t="str">
        <f t="shared" si="27"/>
        <v>340026.841789008i</v>
      </c>
      <c r="I144" s="85">
        <f>IF('Small Signal'!$B$37&gt;=1,Q144+0,N144+0)</f>
        <v>5.406966402983521</v>
      </c>
      <c r="J144" s="85">
        <f>IF('Small Signal'!$B$37&gt;=1,R144,O144)</f>
        <v>-108.79804890408631</v>
      </c>
      <c r="K144" s="85">
        <f>IF('Small Signal'!$B$37&gt;=1,Z144+0,W144+0)</f>
        <v>-5.489074515784454</v>
      </c>
      <c r="L144" s="85">
        <f>IF('Small Signal'!$B$37&gt;=1,AA144,X144)</f>
        <v>54.539509994551025</v>
      </c>
      <c r="M144" s="85" t="str">
        <f>IMDIV(IMSUM('Small Signal'!$B$2*'Small Signal'!$B$16*'Small Signal'!$B$38,IMPRODUCT(H144,'Small Signal'!$B$2*'Small Signal'!$B$16*'Small Signal'!$B$38*'Small Signal'!$B$13*'Small Signal'!$B$14)),IMSUM(IMPRODUCT('Small Signal'!$B$11*'Small Signal'!$B$13*('Small Signal'!$B$14+'Small Signal'!$B$16),IMPOWER(H144,2)),IMSUM(IMPRODUCT(H144,('Small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-0.600508215129414-1.76417821251016i</v>
      </c>
      <c r="N144" s="85">
        <f t="shared" si="28"/>
        <v>5.406966402983521</v>
      </c>
      <c r="O144" s="85">
        <f t="shared" si="29"/>
        <v>-108.79804890408631</v>
      </c>
      <c r="P144" s="85" t="str">
        <f>IMDIV(IMSUM('Small Signal'!$B$48,IMPRODUCT(H144,'Small Signal'!$B$49)),IMSUM(IMPRODUCT('Small Signal'!$B$52,IMPOWER(H144,2)),IMSUM(IMPRODUCT(H144,'Small Signal'!$B$51),'Small Signal'!$B$50)))</f>
        <v>-2.0597932963784-1.44648529685865i</v>
      </c>
      <c r="Q144" s="85">
        <f t="shared" si="30"/>
        <v>8.017512903680036</v>
      </c>
      <c r="R144" s="85">
        <f t="shared" si="31"/>
        <v>-144.92163543373323</v>
      </c>
      <c r="S144" s="85" t="str">
        <f>IMPRODUCT(IMDIV(IMSUM(IMPRODUCT(H144,'Small Signal'!$B$33*'Small Signal'!$B$6*'Small Signal'!$B$27*'Small Signal'!$B$7*'Small Signal'!$B$8),'Small Signal'!$B$33*'Small Signal'!$B$6*'Small Signal'!$B$27),IMSUM(IMSUM(IMPRODUCT(H144,('Small Signal'!$B$5+'Small Signal'!$B$6)*('Small Signal'!$B$32*'Small Signal'!$B$33)+'Small Signal'!$B$5*'Small Signal'!$B$33*('Small Signal'!$B$8+'Small Signal'!$B$9)+'Small Signal'!$B$6*'Small Signal'!$B$33*('Small Signal'!$B$8+'Small Signal'!$B$9)+'Small Signal'!$B$7*'Small Signal'!$B$8*('Small Signal'!$B$5+'Small Signal'!$B$6)),'Small Signal'!$B$6+'Small Signal'!$B$5),IMPRODUCT(IMPOWER(H144,2),'Small Signal'!$B$32*'Small Signal'!$B$33*'Small Signal'!$B$8*'Small Signal'!$B$7*('Small Signal'!$B$5+'Small Signal'!$B$6)+('Small Signal'!$B$5+'Small Signal'!$B$6)*('Small Signal'!$B$9*'Small Signal'!$B$8*'Small Signal'!$B$33*'Small Signal'!$B$7)))),-1)</f>
        <v>-0.273255112585604+0.0817852521176727i</v>
      </c>
      <c r="T144" s="85">
        <f t="shared" si="32"/>
        <v>-10.896040918767982</v>
      </c>
      <c r="U144" s="85">
        <f t="shared" si="33"/>
        <v>163.33755889863733</v>
      </c>
      <c r="V144" s="85" t="str">
        <f t="shared" si="34"/>
        <v>0.308375699824417+0.432958000307441i</v>
      </c>
      <c r="W144" s="80">
        <f t="shared" si="35"/>
        <v>-5.489074515784454</v>
      </c>
      <c r="X144" s="85">
        <f t="shared" si="36"/>
        <v>54.539509994551025</v>
      </c>
      <c r="Y144" s="85" t="str">
        <f t="shared" si="37"/>
        <v>0.681150213793043+0.226798788591932i</v>
      </c>
      <c r="Z144" s="80">
        <f t="shared" si="38"/>
        <v>-2.878528015087949</v>
      </c>
      <c r="AA144" s="85">
        <f t="shared" si="39"/>
        <v>18.415923464904132</v>
      </c>
    </row>
    <row r="145" spans="6:27" ht="12.75">
      <c r="F145" s="84">
        <v>143</v>
      </c>
      <c r="G145" s="85">
        <f>10^('Small Signal'!F145/30)</f>
        <v>58434.141337351764</v>
      </c>
      <c r="H145" s="85" t="str">
        <f t="shared" si="27"/>
        <v>367152.538288504i</v>
      </c>
      <c r="I145" s="85">
        <f>IF('Small Signal'!$B$37&gt;=1,Q145+0,N145+0)</f>
        <v>4.612840342285372</v>
      </c>
      <c r="J145" s="85">
        <f>IF('Small Signal'!$B$37&gt;=1,R145,O145)</f>
        <v>-110.8094190976951</v>
      </c>
      <c r="K145" s="85">
        <f>IF('Small Signal'!$B$37&gt;=1,Z145+0,W145+0)</f>
        <v>-6.318778547314948</v>
      </c>
      <c r="L145" s="85">
        <f>IF('Small Signal'!$B$37&gt;=1,AA145,X145)</f>
        <v>51.92628431847784</v>
      </c>
      <c r="M145" s="85" t="str">
        <f>IMDIV(IMSUM('Small Signal'!$B$2*'Small Signal'!$B$16*'Small Signal'!$B$38,IMPRODUCT(H145,'Small Signal'!$B$2*'Small Signal'!$B$16*'Small Signal'!$B$38*'Small Signal'!$B$13*'Small Signal'!$B$14)),IMSUM(IMPRODUCT('Small Signal'!$B$11*'Small Signal'!$B$13*('Small Signal'!$B$14+'Small Signal'!$B$16),IMPOWER(H145,2)),IMSUM(IMPRODUCT(H145,('Small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-0.604211668398844-1.5898110902419i</v>
      </c>
      <c r="N145" s="85">
        <f t="shared" si="28"/>
        <v>4.612840342285372</v>
      </c>
      <c r="O145" s="85">
        <f t="shared" si="29"/>
        <v>-110.8094190976951</v>
      </c>
      <c r="P145" s="85" t="str">
        <f>IMDIV(IMSUM('Small Signal'!$B$48,IMPRODUCT(H145,'Small Signal'!$B$49)),IMSUM(IMPRODUCT('Small Signal'!$B$52,IMPOWER(H145,2)),IMSUM(IMPRODUCT(H145,'Small Signal'!$B$51),'Small Signal'!$B$50)))</f>
        <v>-1.83802144129651-1.19159576155399i</v>
      </c>
      <c r="Q145" s="85">
        <f t="shared" si="30"/>
        <v>6.810804532987057</v>
      </c>
      <c r="R145" s="85">
        <f t="shared" si="31"/>
        <v>-147.04451682153015</v>
      </c>
      <c r="S145" s="85" t="str">
        <f>IMPRODUCT(IMDIV(IMSUM(IMPRODUCT(H145,'Small Signal'!$B$33*'Small Signal'!$B$6*'Small Signal'!$B$27*'Small Signal'!$B$7*'Small Signal'!$B$8),'Small Signal'!$B$33*'Small Signal'!$B$6*'Small Signal'!$B$27),IMSUM(IMSUM(IMPRODUCT(H145,('Small Signal'!$B$5+'Small Signal'!$B$6)*('Small Signal'!$B$32*'Small Signal'!$B$33)+'Small Signal'!$B$5*'Small Signal'!$B$33*('Small Signal'!$B$8+'Small Signal'!$B$9)+'Small Signal'!$B$6*'Small Signal'!$B$33*('Small Signal'!$B$8+'Small Signal'!$B$9)+'Small Signal'!$B$7*'Small Signal'!$B$8*('Small Signal'!$B$5+'Small Signal'!$B$6)),'Small Signal'!$B$6+'Small Signal'!$B$5),IMPRODUCT(IMPOWER(H145,2),'Small Signal'!$B$32*'Small Signal'!$B$33*'Small Signal'!$B$8*'Small Signal'!$B$7*('Small Signal'!$B$5+'Small Signal'!$B$6)+('Small Signal'!$B$5+'Small Signal'!$B$6)*('Small Signal'!$B$9*'Small Signal'!$B$8*'Small Signal'!$B$33*'Small Signal'!$B$7)))),-1)</f>
        <v>-0.271267542810629+0.084305030136452i</v>
      </c>
      <c r="T145" s="85">
        <f t="shared" si="32"/>
        <v>-10.931618889600323</v>
      </c>
      <c r="U145" s="85">
        <f t="shared" si="33"/>
        <v>162.73570341617292</v>
      </c>
      <c r="V145" s="85" t="str">
        <f t="shared" si="34"/>
        <v>0.297932086498174+0.380326065069847i</v>
      </c>
      <c r="W145" s="80">
        <f t="shared" si="35"/>
        <v>-6.318778547314948</v>
      </c>
      <c r="X145" s="85">
        <f t="shared" si="36"/>
        <v>51.92628431847784</v>
      </c>
      <c r="Y145" s="85" t="str">
        <f t="shared" si="37"/>
        <v>0.599053076602033+0.168286801260364i</v>
      </c>
      <c r="Z145" s="80">
        <f t="shared" si="38"/>
        <v>-4.12081435661326</v>
      </c>
      <c r="AA145" s="85">
        <f t="shared" si="39"/>
        <v>15.691186594642787</v>
      </c>
    </row>
    <row r="146" spans="6:27" ht="12.75">
      <c r="F146" s="84">
        <v>144</v>
      </c>
      <c r="G146" s="85">
        <f>10^('Small Signal'!F146/30)</f>
        <v>63095.73444801934</v>
      </c>
      <c r="H146" s="85" t="str">
        <f t="shared" si="27"/>
        <v>396442.1916295i</v>
      </c>
      <c r="I146" s="85">
        <f>IF('Small Signal'!$B$37&gt;=1,Q146+0,N146+0)</f>
        <v>3.800975507428572</v>
      </c>
      <c r="J146" s="85">
        <f>IF('Small Signal'!$B$37&gt;=1,R146,O146)</f>
        <v>-112.86163654524282</v>
      </c>
      <c r="K146" s="85">
        <f>IF('Small Signal'!$B$37&gt;=1,Z146+0,W146+0)</f>
        <v>-7.170640189566524</v>
      </c>
      <c r="L146" s="85">
        <f>IF('Small Signal'!$B$37&gt;=1,AA146,X146)</f>
        <v>49.18109345448834</v>
      </c>
      <c r="M146" s="85" t="str">
        <f>IMDIV(IMSUM('Small Signal'!$B$2*'Small Signal'!$B$16*'Small Signal'!$B$38,IMPRODUCT(H146,'Small Signal'!$B$2*'Small Signal'!$B$16*'Small Signal'!$B$38*'Small Signal'!$B$13*'Small Signal'!$B$14)),IMSUM(IMPRODUCT('Small Signal'!$B$11*'Small Signal'!$B$13*('Small Signal'!$B$14+'Small Signal'!$B$16),IMPOWER(H146,2)),IMSUM(IMPRODUCT(H146,('Small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-0.601793783931212-1.42731077356665i</v>
      </c>
      <c r="N146" s="85">
        <f t="shared" si="28"/>
        <v>3.800975507428572</v>
      </c>
      <c r="O146" s="85">
        <f t="shared" si="29"/>
        <v>-112.86163654524282</v>
      </c>
      <c r="P146" s="85" t="str">
        <f>IMDIV(IMSUM('Small Signal'!$B$48,IMPRODUCT(H146,'Small Signal'!$B$49)),IMSUM(IMPRODUCT('Small Signal'!$B$52,IMPOWER(H146,2)),IMSUM(IMPRODUCT(H146,'Small Signal'!$B$51),'Small Signal'!$B$50)))</f>
        <v>-1.63168544895697-0.979258796387363i</v>
      </c>
      <c r="Q146" s="85">
        <f t="shared" si="30"/>
        <v>5.588699247015494</v>
      </c>
      <c r="R146" s="85">
        <f t="shared" si="31"/>
        <v>-149.0298528799471</v>
      </c>
      <c r="S146" s="85" t="str">
        <f>IMPRODUCT(IMDIV(IMSUM(IMPRODUCT(H146,'Small Signal'!$B$33*'Small Signal'!$B$6*'Small Signal'!$B$27*'Small Signal'!$B$7*'Small Signal'!$B$8),'Small Signal'!$B$33*'Small Signal'!$B$6*'Small Signal'!$B$27),IMSUM(IMSUM(IMPRODUCT(H146,('Small Signal'!$B$5+'Small Signal'!$B$6)*('Small Signal'!$B$32*'Small Signal'!$B$33)+'Small Signal'!$B$5*'Small Signal'!$B$33*('Small Signal'!$B$8+'Small Signal'!$B$9)+'Small Signal'!$B$6*'Small Signal'!$B$33*('Small Signal'!$B$8+'Small Signal'!$B$9)+'Small Signal'!$B$7*'Small Signal'!$B$8*('Small Signal'!$B$5+'Small Signal'!$B$6)),'Small Signal'!$B$6+'Small Signal'!$B$5),IMPRODUCT(IMPOWER(H146,2),'Small Signal'!$B$32*'Small Signal'!$B$33*'Small Signal'!$B$8*'Small Signal'!$B$7*('Small Signal'!$B$5+'Small Signal'!$B$6)+('Small Signal'!$B$5+'Small Signal'!$B$6)*('Small Signal'!$B$9*'Small Signal'!$B$8*'Small Signal'!$B$33*'Small Signal'!$B$7)))),-1)</f>
        <v>-0.268986599534978+0.0871773149008596i</v>
      </c>
      <c r="T146" s="85">
        <f t="shared" si="32"/>
        <v>-10.971615696995089</v>
      </c>
      <c r="U146" s="85">
        <f t="shared" si="33"/>
        <v>162.0427299997311</v>
      </c>
      <c r="V146" s="85" t="str">
        <f t="shared" si="34"/>
        <v>0.286303584329553+0.331464705254181i</v>
      </c>
      <c r="W146" s="80">
        <f t="shared" si="35"/>
        <v>-7.170640189566524</v>
      </c>
      <c r="X146" s="85">
        <f t="shared" si="36"/>
        <v>49.18109345448834</v>
      </c>
      <c r="Y146" s="85" t="str">
        <f t="shared" si="37"/>
        <v>0.524270672887737+0.12116153750208i</v>
      </c>
      <c r="Z146" s="80">
        <f t="shared" si="38"/>
        <v>-5.3829164499796</v>
      </c>
      <c r="AA146" s="85">
        <f t="shared" si="39"/>
        <v>13.01287711978401</v>
      </c>
    </row>
    <row r="147" spans="6:27" ht="12.75">
      <c r="F147" s="84">
        <v>145</v>
      </c>
      <c r="G147" s="85">
        <f>10^('Small Signal'!F147/30)</f>
        <v>68129.20690579616</v>
      </c>
      <c r="H147" s="85" t="str">
        <f t="shared" si="27"/>
        <v>428068.431820296i</v>
      </c>
      <c r="I147" s="85">
        <f>IF('Small Signal'!$B$37&gt;=1,Q147+0,N147+0)</f>
        <v>2.9699888256757454</v>
      </c>
      <c r="J147" s="85">
        <f>IF('Small Signal'!$B$37&gt;=1,R147,O147)</f>
        <v>-114.95156131087803</v>
      </c>
      <c r="K147" s="85">
        <f>IF('Small Signal'!$B$37&gt;=1,Z147+0,W147+0)</f>
        <v>-8.04684697189674</v>
      </c>
      <c r="L147" s="85">
        <f>IF('Small Signal'!$B$37&gt;=1,AA147,X147)</f>
        <v>46.30538537667974</v>
      </c>
      <c r="M147" s="85" t="str">
        <f>IMDIV(IMSUM('Small Signal'!$B$2*'Small Signal'!$B$16*'Small Signal'!$B$38,IMPRODUCT(H147,'Small Signal'!$B$2*'Small Signal'!$B$16*'Small Signal'!$B$38*'Small Signal'!$B$13*'Small Signal'!$B$14)),IMSUM(IMPRODUCT('Small Signal'!$B$11*'Small Signal'!$B$13*('Small Signal'!$B$14+'Small Signal'!$B$16),IMPOWER(H147,2)),IMSUM(IMPRODUCT(H147,('Small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-0.593826337879992-1.2762806148398i</v>
      </c>
      <c r="N147" s="85">
        <f t="shared" si="28"/>
        <v>2.9699888256757454</v>
      </c>
      <c r="O147" s="85">
        <f t="shared" si="29"/>
        <v>-114.95156131087803</v>
      </c>
      <c r="P147" s="85" t="str">
        <f>IMDIV(IMSUM('Small Signal'!$B$48,IMPRODUCT(H147,'Small Signal'!$B$49)),IMSUM(IMPRODUCT('Small Signal'!$B$52,IMPOWER(H147,2)),IMSUM(IMPRODUCT(H147,'Small Signal'!$B$51),'Small Signal'!$B$50)))</f>
        <v>-1.44196481535931-0.803262481013252i</v>
      </c>
      <c r="Q147" s="85">
        <f t="shared" si="30"/>
        <v>4.352857190724011</v>
      </c>
      <c r="R147" s="85">
        <f t="shared" si="31"/>
        <v>-150.87952211109655</v>
      </c>
      <c r="S147" s="85" t="str">
        <f>IMPRODUCT(IMDIV(IMSUM(IMPRODUCT(H147,'Small Signal'!$B$33*'Small Signal'!$B$6*'Small Signal'!$B$27*'Small Signal'!$B$7*'Small Signal'!$B$8),'Small Signal'!$B$33*'Small Signal'!$B$6*'Small Signal'!$B$27),IMSUM(IMSUM(IMPRODUCT(H147,('Small Signal'!$B$5+'Small Signal'!$B$6)*('Small Signal'!$B$32*'Small Signal'!$B$33)+'Small Signal'!$B$5*'Small Signal'!$B$33*('Small Signal'!$B$8+'Small Signal'!$B$9)+'Small Signal'!$B$6*'Small Signal'!$B$33*('Small Signal'!$B$8+'Small Signal'!$B$9)+'Small Signal'!$B$7*'Small Signal'!$B$8*('Small Signal'!$B$5+'Small Signal'!$B$6)),'Small Signal'!$B$6+'Small Signal'!$B$5),IMPRODUCT(IMPOWER(H147,2),'Small Signal'!$B$32*'Small Signal'!$B$33*'Small Signal'!$B$8*'Small Signal'!$B$7*('Small Signal'!$B$5+'Small Signal'!$B$6)+('Small Signal'!$B$5+'Small Signal'!$B$6)*('Small Signal'!$B$9*'Small Signal'!$B$8*'Small Signal'!$B$33*'Small Signal'!$B$7)))),-1)</f>
        <v>-0.266375339173015+0.0903862273442788i</v>
      </c>
      <c r="T147" s="85">
        <f t="shared" si="32"/>
        <v>-11.016835797572478</v>
      </c>
      <c r="U147" s="85">
        <f t="shared" si="33"/>
        <v>161.25694668755776</v>
      </c>
      <c r="V147" s="85" t="str">
        <f t="shared" si="34"/>
        <v>0.273538881970658+0.286295959279254i</v>
      </c>
      <c r="W147" s="80">
        <f t="shared" si="35"/>
        <v>-8.04684697189674</v>
      </c>
      <c r="X147" s="85">
        <f t="shared" si="36"/>
        <v>46.30538537667974</v>
      </c>
      <c r="Y147" s="85" t="str">
        <f t="shared" si="37"/>
        <v>0.456707731992883+0.0836355562013449i</v>
      </c>
      <c r="Z147" s="80">
        <f t="shared" si="38"/>
        <v>-6.66397860684847</v>
      </c>
      <c r="AA147" s="85">
        <f t="shared" si="39"/>
        <v>10.37742457646122</v>
      </c>
    </row>
    <row r="148" spans="6:27" ht="12.75">
      <c r="F148" s="84">
        <v>146</v>
      </c>
      <c r="G148" s="85">
        <f>10^('Small Signal'!F148/30)</f>
        <v>73564.2254459642</v>
      </c>
      <c r="H148" s="85" t="str">
        <f t="shared" si="27"/>
        <v>462217.660456129i</v>
      </c>
      <c r="I148" s="85">
        <f>IF('Small Signal'!$B$37&gt;=1,Q148+0,N148+0)</f>
        <v>2.11852663851432</v>
      </c>
      <c r="J148" s="85">
        <f>IF('Small Signal'!$B$37&gt;=1,R148,O148)</f>
        <v>-117.07437741519706</v>
      </c>
      <c r="K148" s="85">
        <f>IF('Small Signal'!$B$37&gt;=1,Z148+0,W148+0)</f>
        <v>-8.949635346584703</v>
      </c>
      <c r="L148" s="85">
        <f>IF('Small Signal'!$B$37&gt;=1,AA148,X148)</f>
        <v>43.30230621922183</v>
      </c>
      <c r="M148" s="85" t="str">
        <f>IMDIV(IMSUM('Small Signal'!$B$2*'Small Signal'!$B$16*'Small Signal'!$B$38,IMPRODUCT(H148,'Small Signal'!$B$2*'Small Signal'!$B$16*'Small Signal'!$B$38*'Small Signal'!$B$13*'Small Signal'!$B$14)),IMSUM(IMPRODUCT('Small Signal'!$B$11*'Small Signal'!$B$13*('Small Signal'!$B$14+'Small Signal'!$B$16),IMPOWER(H148,2)),IMSUM(IMPRODUCT(H148,('Small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-0.580868448697276-1.13636931781436i</v>
      </c>
      <c r="N148" s="85">
        <f t="shared" si="28"/>
        <v>2.11852663851432</v>
      </c>
      <c r="O148" s="85">
        <f t="shared" si="29"/>
        <v>-117.07437741519706</v>
      </c>
      <c r="P148" s="85" t="str">
        <f>IMDIV(IMSUM('Small Signal'!$B$48,IMPRODUCT(H148,'Small Signal'!$B$49)),IMSUM(IMPRODUCT('Small Signal'!$B$52,IMPOWER(H148,2)),IMSUM(IMPRODUCT(H148,'Small Signal'!$B$51),'Small Signal'!$B$50)))</f>
        <v>-1.26925490855108-0.65802818643981i</v>
      </c>
      <c r="Q148" s="85">
        <f t="shared" si="30"/>
        <v>3.1048282857965637</v>
      </c>
      <c r="R148" s="85">
        <f t="shared" si="31"/>
        <v>-152.5961241970489</v>
      </c>
      <c r="S148" s="85" t="str">
        <f>IMPRODUCT(IMDIV(IMSUM(IMPRODUCT(H148,'Small Signal'!$B$33*'Small Signal'!$B$6*'Small Signal'!$B$27*'Small Signal'!$B$7*'Small Signal'!$B$8),'Small Signal'!$B$33*'Small Signal'!$B$6*'Small Signal'!$B$27),IMSUM(IMSUM(IMPRODUCT(H148,('Small Signal'!$B$5+'Small Signal'!$B$6)*('Small Signal'!$B$32*'Small Signal'!$B$33)+'Small Signal'!$B$5*'Small Signal'!$B$33*('Small Signal'!$B$8+'Small Signal'!$B$9)+'Small Signal'!$B$6*'Small Signal'!$B$33*('Small Signal'!$B$8+'Small Signal'!$B$9)+'Small Signal'!$B$7*'Small Signal'!$B$8*('Small Signal'!$B$5+'Small Signal'!$B$6)),'Small Signal'!$B$6+'Small Signal'!$B$5),IMPRODUCT(IMPOWER(H148,2),'Small Signal'!$B$32*'Small Signal'!$B$33*'Small Signal'!$B$8*'Small Signal'!$B$7*('Small Signal'!$B$5+'Small Signal'!$B$6)+('Small Signal'!$B$5+'Small Signal'!$B$6)*('Small Signal'!$B$9*'Small Signal'!$B$8*'Small Signal'!$B$33*'Small Signal'!$B$7)))),-1)</f>
        <v>-0.263394266686444+0.0939112755573994i</v>
      </c>
      <c r="T148" s="85">
        <f t="shared" si="32"/>
        <v>-11.06816198509903</v>
      </c>
      <c r="U148" s="85">
        <f t="shared" si="33"/>
        <v>160.37668363441892</v>
      </c>
      <c r="V148" s="85" t="str">
        <f t="shared" si="34"/>
        <v>0.25971531122615+0.244763066202479i</v>
      </c>
      <c r="W148" s="80">
        <f t="shared" si="35"/>
        <v>-8.949635346584703</v>
      </c>
      <c r="X148" s="85">
        <f t="shared" si="36"/>
        <v>43.30230621922183</v>
      </c>
      <c r="Y148" s="85" t="str">
        <f t="shared" si="37"/>
        <v>0.396110732217266+0.0541235041568021i</v>
      </c>
      <c r="Z148" s="80">
        <f t="shared" si="38"/>
        <v>-7.963333699302465</v>
      </c>
      <c r="AA148" s="85">
        <f t="shared" si="39"/>
        <v>7.780559437369999</v>
      </c>
    </row>
    <row r="149" spans="6:27" ht="12.75">
      <c r="F149" s="84">
        <v>147</v>
      </c>
      <c r="G149" s="85">
        <f>10^('Small Signal'!F149/30)</f>
        <v>79432.82347242824</v>
      </c>
      <c r="H149" s="85" t="str">
        <f t="shared" si="27"/>
        <v>499091.149349751i</v>
      </c>
      <c r="I149" s="85">
        <f>IF('Small Signal'!$B$37&gt;=1,Q149+0,N149+0)</f>
        <v>1.2453105072082353</v>
      </c>
      <c r="J149" s="85">
        <f>IF('Small Signal'!$B$37&gt;=1,R149,O149)</f>
        <v>-119.2235708297135</v>
      </c>
      <c r="K149" s="85">
        <f>IF('Small Signal'!$B$37&gt;=1,Z149+0,W149+0)</f>
        <v>-9.881251759110075</v>
      </c>
      <c r="L149" s="85">
        <f>IF('Small Signal'!$B$37&gt;=1,AA149,X149)</f>
        <v>40.176818340127404</v>
      </c>
      <c r="M149" s="85" t="str">
        <f>IMDIV(IMSUM('Small Signal'!$B$2*'Small Signal'!$B$16*'Small Signal'!$B$38,IMPRODUCT(H149,'Small Signal'!$B$2*'Small Signal'!$B$16*'Small Signal'!$B$38*'Small Signal'!$B$13*'Small Signal'!$B$14)),IMSUM(IMPRODUCT('Small Signal'!$B$11*'Small Signal'!$B$13*('Small Signal'!$B$14+'Small Signal'!$B$16),IMPOWER(H149,2)),IMSUM(IMPRODUCT(H149,('Small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-0.563481886935043-1.00725887526196i</v>
      </c>
      <c r="N149" s="85">
        <f t="shared" si="28"/>
        <v>1.2453105072082353</v>
      </c>
      <c r="O149" s="85">
        <f t="shared" si="29"/>
        <v>-119.2235708297135</v>
      </c>
      <c r="P149" s="85" t="str">
        <f>IMDIV(IMSUM('Small Signal'!$B$48,IMPRODUCT(H149,'Small Signal'!$B$49)),IMSUM(IMPRODUCT('Small Signal'!$B$52,IMPOWER(H149,2)),IMSUM(IMPRODUCT(H149,'Small Signal'!$B$51),'Small Signal'!$B$50)))</f>
        <v>-1.1133599084419-0.538631250697442i</v>
      </c>
      <c r="Q149" s="85">
        <f t="shared" si="30"/>
        <v>1.8460453766916454</v>
      </c>
      <c r="R149" s="85">
        <f t="shared" si="31"/>
        <v>-154.18281466928923</v>
      </c>
      <c r="S149" s="85" t="str">
        <f>IMPRODUCT(IMDIV(IMSUM(IMPRODUCT(H149,'Small Signal'!$B$33*'Small Signal'!$B$6*'Small Signal'!$B$27*'Small Signal'!$B$7*'Small Signal'!$B$8),'Small Signal'!$B$33*'Small Signal'!$B$6*'Small Signal'!$B$27),IMSUM(IMSUM(IMPRODUCT(H149,('Small Signal'!$B$5+'Small Signal'!$B$6)*('Small Signal'!$B$32*'Small Signal'!$B$33)+'Small Signal'!$B$5*'Small Signal'!$B$33*('Small Signal'!$B$8+'Small Signal'!$B$9)+'Small Signal'!$B$6*'Small Signal'!$B$33*('Small Signal'!$B$8+'Small Signal'!$B$9)+'Small Signal'!$B$7*'Small Signal'!$B$8*('Small Signal'!$B$5+'Small Signal'!$B$6)),'Small Signal'!$B$6+'Small Signal'!$B$5),IMPRODUCT(IMPOWER(H149,2),'Small Signal'!$B$32*'Small Signal'!$B$33*'Small Signal'!$B$8*'Small Signal'!$B$7*('Small Signal'!$B$5+'Small Signal'!$B$6)+('Small Signal'!$B$5+'Small Signal'!$B$6)*('Small Signal'!$B$9*'Small Signal'!$B$8*'Small Signal'!$B$33*'Small Signal'!$B$7)))),-1)</f>
        <v>-0.260001867454835+0.0977262615288982i</v>
      </c>
      <c r="T149" s="85">
        <f t="shared" si="32"/>
        <v>-11.126562266318313</v>
      </c>
      <c r="U149" s="85">
        <f t="shared" si="33"/>
        <v>159.400389169841</v>
      </c>
      <c r="V149" s="85" t="str">
        <f t="shared" si="34"/>
        <v>0.24494198715124+0.206822210329155i</v>
      </c>
      <c r="W149" s="80">
        <f t="shared" si="35"/>
        <v>-9.881251759110075</v>
      </c>
      <c r="X149" s="85">
        <f t="shared" si="36"/>
        <v>40.176818340127404</v>
      </c>
      <c r="Y149" s="85" t="str">
        <f t="shared" si="37"/>
        <v>0.342114073817534+0.0312406294626851i</v>
      </c>
      <c r="Z149" s="80">
        <f t="shared" si="38"/>
        <v>-9.280516889626664</v>
      </c>
      <c r="AA149" s="85">
        <f t="shared" si="39"/>
        <v>5.2175745005517795</v>
      </c>
    </row>
    <row r="150" spans="6:27" ht="12.75">
      <c r="F150" s="84">
        <v>148</v>
      </c>
      <c r="G150" s="85">
        <f>10^('Small Signal'!F150/30)</f>
        <v>85769.58985908954</v>
      </c>
      <c r="H150" s="85" t="str">
        <f t="shared" si="27"/>
        <v>538906.226805451i</v>
      </c>
      <c r="I150" s="85">
        <f>IF('Small Signal'!$B$37&gt;=1,Q150+0,N150+0)</f>
        <v>0.3491856237989998</v>
      </c>
      <c r="J150" s="85">
        <f>IF('Small Signal'!$B$37&gt;=1,R150,O150)</f>
        <v>-121.39097335345836</v>
      </c>
      <c r="K150" s="85">
        <f>IF('Small Signal'!$B$37&gt;=1,Z150+0,W150+0)</f>
        <v>-10.843909358135612</v>
      </c>
      <c r="L150" s="85">
        <f>IF('Small Signal'!$B$37&gt;=1,AA150,X150)</f>
        <v>36.93576883095521</v>
      </c>
      <c r="M150" s="85" t="str">
        <f>IMDIV(IMSUM('Small Signal'!$B$2*'Small Signal'!$B$16*'Small Signal'!$B$38,IMPRODUCT(H150,'Small Signal'!$B$2*'Small Signal'!$B$16*'Small Signal'!$B$38*'Small Signal'!$B$13*'Small Signal'!$B$14)),IMSUM(IMPRODUCT('Small Signal'!$B$11*'Small Signal'!$B$13*('Small Signal'!$B$14+'Small Signal'!$B$16),IMPOWER(H150,2)),IMSUM(IMPRODUCT(H150,('Small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-0.542241711400457-0.888649314812652i</v>
      </c>
      <c r="N150" s="85">
        <f t="shared" si="28"/>
        <v>0.3491856237989998</v>
      </c>
      <c r="O150" s="85">
        <f t="shared" si="29"/>
        <v>-121.39097335345836</v>
      </c>
      <c r="P150" s="85" t="str">
        <f>IMDIV(IMSUM('Small Signal'!$B$48,IMPRODUCT(H150,'Small Signal'!$B$49)),IMSUM(IMPRODUCT('Small Signal'!$B$52,IMPOWER(H150,2)),IMSUM(IMPRODUCT(H150,'Small Signal'!$B$51),'Small Signal'!$B$50)))</f>
        <v>-0.973658952458325-0.440787459315836i</v>
      </c>
      <c r="Q150" s="85">
        <f t="shared" si="30"/>
        <v>0.5778220701763302</v>
      </c>
      <c r="R150" s="85">
        <f t="shared" si="31"/>
        <v>-155.64314870145097</v>
      </c>
      <c r="S150" s="85" t="str">
        <f>IMPRODUCT(IMDIV(IMSUM(IMPRODUCT(H150,'Small Signal'!$B$33*'Small Signal'!$B$6*'Small Signal'!$B$27*'Small Signal'!$B$7*'Small Signal'!$B$8),'Small Signal'!$B$33*'Small Signal'!$B$6*'Small Signal'!$B$27),IMSUM(IMSUM(IMPRODUCT(H150,('Small Signal'!$B$5+'Small Signal'!$B$6)*('Small Signal'!$B$32*'Small Signal'!$B$33)+'Small Signal'!$B$5*'Small Signal'!$B$33*('Small Signal'!$B$8+'Small Signal'!$B$9)+'Small Signal'!$B$6*'Small Signal'!$B$33*('Small Signal'!$B$8+'Small Signal'!$B$9)+'Small Signal'!$B$7*'Small Signal'!$B$8*('Small Signal'!$B$5+'Small Signal'!$B$6)),'Small Signal'!$B$6+'Small Signal'!$B$5),IMPRODUCT(IMPOWER(H150,2),'Small Signal'!$B$32*'Small Signal'!$B$33*'Small Signal'!$B$8*'Small Signal'!$B$7*('Small Signal'!$B$5+'Small Signal'!$B$6)+('Small Signal'!$B$5+'Small Signal'!$B$6)*('Small Signal'!$B$9*'Small Signal'!$B$8*'Small Signal'!$B$33*'Small Signal'!$B$7)))),-1)</f>
        <v>-0.256155417924875+0.101798155788195i</v>
      </c>
      <c r="T150" s="85">
        <f t="shared" si="32"/>
        <v>-11.193094981934632</v>
      </c>
      <c r="U150" s="85">
        <f t="shared" si="33"/>
        <v>158.32674218441355</v>
      </c>
      <c r="V150" s="85" t="str">
        <f t="shared" si="34"/>
        <v>0.229361013590455+0.172433130412488i</v>
      </c>
      <c r="W150" s="80">
        <f t="shared" si="35"/>
        <v>-10.843909358135612</v>
      </c>
      <c r="X150" s="85">
        <f t="shared" si="36"/>
        <v>36.93576883095521</v>
      </c>
      <c r="Y150" s="85" t="str">
        <f t="shared" si="37"/>
        <v>0.294279366336174+0.0137934101301685i</v>
      </c>
      <c r="Z150" s="80">
        <f t="shared" si="38"/>
        <v>-10.615272911758314</v>
      </c>
      <c r="AA150" s="85">
        <f t="shared" si="39"/>
        <v>2.683593482962581</v>
      </c>
    </row>
    <row r="151" spans="6:27" ht="12.75">
      <c r="F151" s="84">
        <v>149</v>
      </c>
      <c r="G151" s="85">
        <f>10^('Small Signal'!F151/30)</f>
        <v>92611.8728128795</v>
      </c>
      <c r="H151" s="85" t="str">
        <f t="shared" si="27"/>
        <v>581897.558528269i</v>
      </c>
      <c r="I151" s="85">
        <f>IF('Small Signal'!$B$37&gt;=1,Q151+0,N151+0)</f>
        <v>-0.5708308827810291</v>
      </c>
      <c r="J151" s="85">
        <f>IF('Small Signal'!$B$37&gt;=1,R151,O151)</f>
        <v>-123.56688033990044</v>
      </c>
      <c r="K151" s="85">
        <f>IF('Small Signal'!$B$37&gt;=1,Z151+0,W151+0)</f>
        <v>-11.839742368931535</v>
      </c>
      <c r="L151" s="85">
        <f>IF('Small Signal'!$B$37&gt;=1,AA151,X151)</f>
        <v>33.58790052281846</v>
      </c>
      <c r="M151" s="85" t="str">
        <f>IMDIV(IMSUM('Small Signal'!$B$2*'Small Signal'!$B$16*'Small Signal'!$B$38,IMPRODUCT(H151,'Small Signal'!$B$2*'Small Signal'!$B$16*'Small Signal'!$B$38*'Small Signal'!$B$13*'Small Signal'!$B$14)),IMSUM(IMPRODUCT('Small Signal'!$B$11*'Small Signal'!$B$13*('Small Signal'!$B$14+'Small Signal'!$B$16),IMPOWER(H151,2)),IMSUM(IMPRODUCT(H151,('Small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-0.517741397949532-0.780241562689139i</v>
      </c>
      <c r="N151" s="85">
        <f t="shared" si="28"/>
        <v>-0.5708308827810291</v>
      </c>
      <c r="O151" s="85">
        <f t="shared" si="29"/>
        <v>-123.56688033990044</v>
      </c>
      <c r="P151" s="85" t="str">
        <f>IMDIV(IMSUM('Small Signal'!$B$48,IMPRODUCT(H151,'Small Signal'!$B$49)),IMSUM(IMPRODUCT('Small Signal'!$B$52,IMPOWER(H151,2)),IMSUM(IMPRODUCT(H151,'Small Signal'!$B$51),'Small Signal'!$B$50)))</f>
        <v>-0.84924391639981-0.360816140798332i</v>
      </c>
      <c r="Q151" s="85">
        <f t="shared" si="30"/>
        <v>-0.6986456015875785</v>
      </c>
      <c r="R151" s="85">
        <f t="shared" si="31"/>
        <v>-156.9809384630093</v>
      </c>
      <c r="S151" s="85" t="str">
        <f>IMPRODUCT(IMDIV(IMSUM(IMPRODUCT(H151,'Small Signal'!$B$33*'Small Signal'!$B$6*'Small Signal'!$B$27*'Small Signal'!$B$7*'Small Signal'!$B$8),'Small Signal'!$B$33*'Small Signal'!$B$6*'Small Signal'!$B$27),IMSUM(IMSUM(IMPRODUCT(H151,('Small Signal'!$B$5+'Small Signal'!$B$6)*('Small Signal'!$B$32*'Small Signal'!$B$33)+'Small Signal'!$B$5*'Small Signal'!$B$33*('Small Signal'!$B$8+'Small Signal'!$B$9)+'Small Signal'!$B$6*'Small Signal'!$B$33*('Small Signal'!$B$8+'Small Signal'!$B$9)+'Small Signal'!$B$7*'Small Signal'!$B$8*('Small Signal'!$B$5+'Small Signal'!$B$6)),'Small Signal'!$B$6+'Small Signal'!$B$5),IMPRODUCT(IMPOWER(H151,2),'Small Signal'!$B$32*'Small Signal'!$B$33*'Small Signal'!$B$8*'Small Signal'!$B$7*('Small Signal'!$B$5+'Small Signal'!$B$6)+('Small Signal'!$B$5+'Small Signal'!$B$6)*('Small Signal'!$B$9*'Small Signal'!$B$8*'Small Signal'!$B$33*'Small Signal'!$B$7)))),-1)</f>
        <v>-0.251812126961953+0.106086002190482i</v>
      </c>
      <c r="T151" s="85">
        <f t="shared" si="32"/>
        <v>-11.268911486150518</v>
      </c>
      <c r="U151" s="85">
        <f t="shared" si="33"/>
        <v>157.15478086271892</v>
      </c>
      <c r="V151" s="85" t="str">
        <f t="shared" si="34"/>
        <v>0.213146270762472+0.141549172367893i</v>
      </c>
      <c r="W151" s="80">
        <f t="shared" si="35"/>
        <v>-11.839742368931535</v>
      </c>
      <c r="X151" s="85">
        <f t="shared" si="36"/>
        <v>33.58790052281846</v>
      </c>
      <c r="Y151" s="85" t="str">
        <f t="shared" si="37"/>
        <v>0.252127458801228+0.000764987881187727i</v>
      </c>
      <c r="Z151" s="80">
        <f t="shared" si="38"/>
        <v>-11.967557087738108</v>
      </c>
      <c r="AA151" s="85">
        <f t="shared" si="39"/>
        <v>0.17384239970961</v>
      </c>
    </row>
    <row r="152" spans="6:27" ht="12.75">
      <c r="F152" s="84">
        <v>150</v>
      </c>
      <c r="G152" s="85">
        <f>10^('Small Signal'!F152/30)</f>
        <v>100000</v>
      </c>
      <c r="H152" s="85" t="str">
        <f t="shared" si="27"/>
        <v>628318.530717959i</v>
      </c>
      <c r="I152" s="85">
        <f>IF('Small Signal'!$B$37&gt;=1,Q152+0,N152+0)</f>
        <v>-1.5155049644391902</v>
      </c>
      <c r="J152" s="85">
        <f>IF('Small Signal'!$B$37&gt;=1,R152,O152)</f>
        <v>-125.74024442006765</v>
      </c>
      <c r="K152" s="85">
        <f>IF('Small Signal'!$B$37&gt;=1,Z152+0,W152+0)</f>
        <v>-12.87076054787275</v>
      </c>
      <c r="L152" s="85">
        <f>IF('Small Signal'!$B$37&gt;=1,AA152,X152)</f>
        <v>30.143802228163132</v>
      </c>
      <c r="M152" s="85" t="str">
        <f>IMDIV(IMSUM('Small Signal'!$B$2*'Small Signal'!$B$16*'Small Signal'!$B$38,IMPRODUCT(H152,'Small Signal'!$B$2*'Small Signal'!$B$16*'Small Signal'!$B$38*'Small Signal'!$B$13*'Small Signal'!$B$14)),IMSUM(IMPRODUCT('Small Signal'!$B$11*'Small Signal'!$B$13*('Small Signal'!$B$14+'Small Signal'!$B$16),IMPOWER(H152,2)),IMSUM(IMPRODUCT(H152,('Small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-0.490592029819049-0.681720088001615i</v>
      </c>
      <c r="N152" s="85">
        <f t="shared" si="28"/>
        <v>-1.5155049644391902</v>
      </c>
      <c r="O152" s="85">
        <f t="shared" si="29"/>
        <v>-125.74024442006765</v>
      </c>
      <c r="P152" s="85" t="str">
        <f>IMDIV(IMSUM('Small Signal'!$B$48,IMPRODUCT(H152,'Small Signal'!$B$49)),IMSUM(IMPRODUCT('Small Signal'!$B$52,IMPOWER(H152,2)),IMSUM(IMPRODUCT(H152,'Small Signal'!$B$51),'Small Signal'!$B$50)))</f>
        <v>-0.739029772170154-0.295588926723337i</v>
      </c>
      <c r="Q152" s="85">
        <f t="shared" si="30"/>
        <v>-1.982274556783371</v>
      </c>
      <c r="R152" s="85">
        <f t="shared" si="31"/>
        <v>-158.20012653736305</v>
      </c>
      <c r="S152" s="85" t="str">
        <f>IMPRODUCT(IMDIV(IMSUM(IMPRODUCT(H152,'Small Signal'!$B$33*'Small Signal'!$B$6*'Small Signal'!$B$27*'Small Signal'!$B$7*'Small Signal'!$B$8),'Small Signal'!$B$33*'Small Signal'!$B$6*'Small Signal'!$B$27),IMSUM(IMSUM(IMPRODUCT(H152,('Small Signal'!$B$5+'Small Signal'!$B$6)*('Small Signal'!$B$32*'Small Signal'!$B$33)+'Small Signal'!$B$5*'Small Signal'!$B$33*('Small Signal'!$B$8+'Small Signal'!$B$9)+'Small Signal'!$B$6*'Small Signal'!$B$33*('Small Signal'!$B$8+'Small Signal'!$B$9)+'Small Signal'!$B$7*'Small Signal'!$B$8*('Small Signal'!$B$5+'Small Signal'!$B$6)),'Small Signal'!$B$6+'Small Signal'!$B$5),IMPRODUCT(IMPOWER(H152,2),'Small Signal'!$B$32*'Small Signal'!$B$33*'Small Signal'!$B$8*'Small Signal'!$B$7*('Small Signal'!$B$5+'Small Signal'!$B$6)+('Small Signal'!$B$5+'Small Signal'!$B$6)*('Small Signal'!$B$9*'Small Signal'!$B$8*'Small Signal'!$B$33*'Small Signal'!$B$7)))),-1)</f>
        <v>-0.246930650566985+0.110539940872749i</v>
      </c>
      <c r="T152" s="85">
        <f t="shared" si="32"/>
        <v>-11.355255583433543</v>
      </c>
      <c r="U152" s="85">
        <f t="shared" si="33"/>
        <v>155.88404664823085</v>
      </c>
      <c r="V152" s="85" t="str">
        <f t="shared" si="34"/>
        <v>0.196499507305659+0.114107570865981i</v>
      </c>
      <c r="W152" s="80">
        <f t="shared" si="35"/>
        <v>-12.87076054787275</v>
      </c>
      <c r="X152" s="85">
        <f t="shared" si="36"/>
        <v>30.143802228163132</v>
      </c>
      <c r="Y152" s="85" t="str">
        <f t="shared" si="37"/>
        <v>0.215163484912984-0.00870234134269953i</v>
      </c>
      <c r="Z152" s="80">
        <f t="shared" si="38"/>
        <v>-13.337530140216906</v>
      </c>
      <c r="AA152" s="85">
        <f t="shared" si="39"/>
        <v>-2.3160798891321943</v>
      </c>
    </row>
    <row r="153" spans="6:27" ht="12.75">
      <c r="F153" s="84">
        <v>151</v>
      </c>
      <c r="G153" s="85">
        <f>10^('Small Signal'!F153/30)</f>
        <v>107977.51623277101</v>
      </c>
      <c r="H153" s="85" t="str">
        <f t="shared" si="27"/>
        <v>678442.743499492i</v>
      </c>
      <c r="I153" s="85">
        <f>IF('Small Signal'!$B$37&gt;=1,Q153+0,N153+0)</f>
        <v>-2.4853473867845315</v>
      </c>
      <c r="J153" s="85">
        <f>IF('Small Signal'!$B$37&gt;=1,R153,O153)</f>
        <v>-127.89894012145845</v>
      </c>
      <c r="K153" s="85">
        <f>IF('Small Signal'!$B$37&gt;=1,Z153+0,W153+0)</f>
        <v>-13.938806226657668</v>
      </c>
      <c r="L153" s="85">
        <f>IF('Small Signal'!$B$37&gt;=1,AA153,X153)</f>
        <v>26.61580065378821</v>
      </c>
      <c r="M153" s="85" t="str">
        <f>IMDIV(IMSUM('Small Signal'!$B$2*'Small Signal'!$B$16*'Small Signal'!$B$38,IMPRODUCT(H153,'Small Signal'!$B$2*'Small Signal'!$B$16*'Small Signal'!$B$38*'Small Signal'!$B$13*'Small Signal'!$B$14)),IMSUM(IMPRODUCT('Small Signal'!$B$11*'Small Signal'!$B$13*('Small Signal'!$B$14+'Small Signal'!$B$16),IMPOWER(H153,2)),IMSUM(IMPRODUCT(H153,('Small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-0.46141569478596-0.592737178807735i</v>
      </c>
      <c r="N153" s="85">
        <f t="shared" si="28"/>
        <v>-2.4853473867845315</v>
      </c>
      <c r="O153" s="85">
        <f t="shared" si="29"/>
        <v>-127.89894012145845</v>
      </c>
      <c r="P153" s="85" t="str">
        <f>IMDIV(IMSUM('Small Signal'!$B$48,IMPRODUCT(H153,'Small Signal'!$B$49)),IMSUM(IMPRODUCT('Small Signal'!$B$52,IMPOWER(H153,2)),IMSUM(IMPRODUCT(H153,'Small Signal'!$B$51),'Small Signal'!$B$50)))</f>
        <v>-0.641840041051276-0.242471277471847i</v>
      </c>
      <c r="Q153" s="85">
        <f t="shared" si="30"/>
        <v>-3.272087868593467</v>
      </c>
      <c r="R153" s="85">
        <f t="shared" si="31"/>
        <v>-159.30467636006173</v>
      </c>
      <c r="S153" s="85" t="str">
        <f>IMPRODUCT(IMDIV(IMSUM(IMPRODUCT(H153,'Small Signal'!$B$33*'Small Signal'!$B$6*'Small Signal'!$B$27*'Small Signal'!$B$7*'Small Signal'!$B$8),'Small Signal'!$B$33*'Small Signal'!$B$6*'Small Signal'!$B$27),IMSUM(IMSUM(IMPRODUCT(H153,('Small Signal'!$B$5+'Small Signal'!$B$6)*('Small Signal'!$B$32*'Small Signal'!$B$33)+'Small Signal'!$B$5*'Small Signal'!$B$33*('Small Signal'!$B$8+'Small Signal'!$B$9)+'Small Signal'!$B$6*'Small Signal'!$B$33*('Small Signal'!$B$8+'Small Signal'!$B$9)+'Small Signal'!$B$7*'Small Signal'!$B$8*('Small Signal'!$B$5+'Small Signal'!$B$6)),'Small Signal'!$B$6+'Small Signal'!$B$5),IMPRODUCT(IMPOWER(H153,2),'Small Signal'!$B$32*'Small Signal'!$B$33*'Small Signal'!$B$8*'Small Signal'!$B$7*('Small Signal'!$B$5+'Small Signal'!$B$6)+('Small Signal'!$B$5+'Small Signal'!$B$6)*('Small Signal'!$B$9*'Small Signal'!$B$8*'Small Signal'!$B$33*'Small Signal'!$B$7)))),-1)</f>
        <v>-0.241473002880731+0.115100464769642i</v>
      </c>
      <c r="T153" s="85">
        <f t="shared" si="32"/>
        <v>-11.453458839873125</v>
      </c>
      <c r="U153" s="85">
        <f t="shared" si="33"/>
        <v>154.51474077524662</v>
      </c>
      <c r="V153" s="85" t="str">
        <f t="shared" si="34"/>
        <v>0.179643758163281+0.0900208655638853i</v>
      </c>
      <c r="W153" s="80">
        <f t="shared" si="35"/>
        <v>-13.938806226657668</v>
      </c>
      <c r="X153" s="85">
        <f t="shared" si="36"/>
        <v>26.61580065378821</v>
      </c>
      <c r="Y153" s="85" t="str">
        <f t="shared" si="37"/>
        <v>0.182895598812042-0.0153258195493141i</v>
      </c>
      <c r="Z153" s="80">
        <f t="shared" si="38"/>
        <v>-14.725546708466577</v>
      </c>
      <c r="AA153" s="85">
        <f t="shared" si="39"/>
        <v>-4.78993558481513</v>
      </c>
    </row>
    <row r="154" spans="6:27" ht="12.75">
      <c r="F154" s="84">
        <v>152</v>
      </c>
      <c r="G154" s="85">
        <f>10^('Small Signal'!F154/30)</f>
        <v>116591.44011798326</v>
      </c>
      <c r="H154" s="85" t="str">
        <f t="shared" si="27"/>
        <v>732565.623492221i</v>
      </c>
      <c r="I154" s="85">
        <f>IF('Small Signal'!$B$37&gt;=1,Q154+0,N154+0)</f>
        <v>-3.4805853096972648</v>
      </c>
      <c r="J154" s="85">
        <f>IF('Small Signal'!$B$37&gt;=1,R154,O154)</f>
        <v>-130.03008658575556</v>
      </c>
      <c r="K154" s="85">
        <f>IF('Small Signal'!$B$37&gt;=1,Z154+0,W154+0)</f>
        <v>-15.045516175960621</v>
      </c>
      <c r="L154" s="85">
        <f>IF('Small Signal'!$B$37&gt;=1,AA154,X154)</f>
        <v>23.017802153524492</v>
      </c>
      <c r="M154" s="85" t="str">
        <f>IMDIV(IMSUM('Small Signal'!$B$2*'Small Signal'!$B$16*'Small Signal'!$B$38,IMPRODUCT(H154,'Small Signal'!$B$2*'Small Signal'!$B$16*'Small Signal'!$B$38*'Small Signal'!$B$13*'Small Signal'!$B$14)),IMSUM(IMPRODUCT('Small Signal'!$B$11*'Small Signal'!$B$13*('Small Signal'!$B$14+'Small Signal'!$B$16),IMPOWER(H154,2)),IMSUM(IMPRODUCT(H154,('Small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-0.430833900371264-0.512900639250892i</v>
      </c>
      <c r="N154" s="85">
        <f t="shared" si="28"/>
        <v>-3.4805853096972648</v>
      </c>
      <c r="O154" s="85">
        <f t="shared" si="29"/>
        <v>-130.03008658575556</v>
      </c>
      <c r="P154" s="85" t="str">
        <f>IMDIV(IMSUM('Small Signal'!$B$48,IMPRODUCT(H154,'Small Signal'!$B$49)),IMSUM(IMPRODUCT('Small Signal'!$B$52,IMPOWER(H154,2)),IMSUM(IMPRODUCT(H154,'Small Signal'!$B$51),'Small Signal'!$B$50)))</f>
        <v>-0.556470679508011-0.199262010214457i</v>
      </c>
      <c r="Q154" s="85">
        <f t="shared" si="30"/>
        <v>-4.56720647989545</v>
      </c>
      <c r="R154" s="85">
        <f t="shared" si="31"/>
        <v>-160.2984794884557</v>
      </c>
      <c r="S154" s="85" t="str">
        <f>IMPRODUCT(IMDIV(IMSUM(IMPRODUCT(H154,'Small Signal'!$B$33*'Small Signal'!$B$6*'Small Signal'!$B$27*'Small Signal'!$B$7*'Small Signal'!$B$8),'Small Signal'!$B$33*'Small Signal'!$B$6*'Small Signal'!$B$27),IMSUM(IMSUM(IMPRODUCT(H154,('Small Signal'!$B$5+'Small Signal'!$B$6)*('Small Signal'!$B$32*'Small Signal'!$B$33)+'Small Signal'!$B$5*'Small Signal'!$B$33*('Small Signal'!$B$8+'Small Signal'!$B$9)+'Small Signal'!$B$6*'Small Signal'!$B$33*('Small Signal'!$B$8+'Small Signal'!$B$9)+'Small Signal'!$B$7*'Small Signal'!$B$8*('Small Signal'!$B$5+'Small Signal'!$B$6)),'Small Signal'!$B$6+'Small Signal'!$B$5),IMPRODUCT(IMPOWER(H154,2),'Small Signal'!$B$32*'Small Signal'!$B$33*'Small Signal'!$B$8*'Small Signal'!$B$7*('Small Signal'!$B$5+'Small Signal'!$B$6)+('Small Signal'!$B$5+'Small Signal'!$B$6)*('Small Signal'!$B$9*'Small Signal'!$B$8*'Small Signal'!$B$33*'Small Signal'!$B$7)))),-1)</f>
        <v>-0.23540685353332+0.119698050184817i</v>
      </c>
      <c r="T154" s="85">
        <f t="shared" si="32"/>
        <v>-11.56493086626335</v>
      </c>
      <c r="U154" s="85">
        <f t="shared" si="33"/>
        <v>153.04788873928007</v>
      </c>
      <c r="V154" s="85" t="str">
        <f t="shared" si="34"/>
        <v>0.162814459338765+0.0691703478333209i</v>
      </c>
      <c r="W154" s="80">
        <f t="shared" si="35"/>
        <v>-15.045516175960621</v>
      </c>
      <c r="X154" s="85">
        <f t="shared" si="36"/>
        <v>23.017802153524492</v>
      </c>
      <c r="Y154" s="85" t="str">
        <f t="shared" si="37"/>
        <v>0.154848285845107-0.0197008124688195i</v>
      </c>
      <c r="Z154" s="80">
        <f t="shared" si="38"/>
        <v>-16.1321373461588</v>
      </c>
      <c r="AA154" s="85">
        <f t="shared" si="39"/>
        <v>-7.250590749175637</v>
      </c>
    </row>
    <row r="155" spans="6:27" ht="12.75">
      <c r="F155" s="84">
        <v>153</v>
      </c>
      <c r="G155" s="85">
        <f>10^('Small Signal'!F155/30)</f>
        <v>125892.54117941685</v>
      </c>
      <c r="H155" s="85" t="str">
        <f t="shared" si="27"/>
        <v>791006.165022013i</v>
      </c>
      <c r="I155" s="85">
        <f>IF('Small Signal'!$B$37&gt;=1,Q155+0,N155+0)</f>
        <v>-4.501146137571877</v>
      </c>
      <c r="J155" s="85">
        <f>IF('Small Signal'!$B$37&gt;=1,R155,O155)</f>
        <v>-132.12040869659842</v>
      </c>
      <c r="K155" s="85">
        <f>IF('Small Signal'!$B$37&gt;=1,Z155+0,W155+0)</f>
        <v>-16.19228988114243</v>
      </c>
      <c r="L155" s="85">
        <f>IF('Small Signal'!$B$37&gt;=1,AA155,X155)</f>
        <v>19.36509708108676</v>
      </c>
      <c r="M155" s="85" t="str">
        <f>IMDIV(IMSUM('Small Signal'!$B$2*'Small Signal'!$B$16*'Small Signal'!$B$38,IMPRODUCT(H155,'Small Signal'!$B$2*'Small Signal'!$B$16*'Small Signal'!$B$38*'Small Signal'!$B$13*'Small Signal'!$B$14)),IMSUM(IMPRODUCT('Small Signal'!$B$11*'Small Signal'!$B$13*('Small Signal'!$B$14+'Small Signal'!$B$16),IMPOWER(H155,2)),IMSUM(IMPRODUCT(H155,('Small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-0.399452446932248-0.441766347927947i</v>
      </c>
      <c r="N155" s="85">
        <f t="shared" si="28"/>
        <v>-4.501146137571877</v>
      </c>
      <c r="O155" s="85">
        <f t="shared" si="29"/>
        <v>-132.12040869659842</v>
      </c>
      <c r="P155" s="85" t="str">
        <f>IMDIV(IMSUM('Small Signal'!$B$48,IMPRODUCT(H155,'Small Signal'!$B$49)),IMSUM(IMPRODUCT('Small Signal'!$B$52,IMPOWER(H155,2)),IMSUM(IMPRODUCT(H155,'Small Signal'!$B$51),'Small Signal'!$B$50)))</f>
        <v>-0.48173599510832-0.164134440884742i</v>
      </c>
      <c r="Q155" s="85">
        <f t="shared" si="30"/>
        <v>-5.866839985258395</v>
      </c>
      <c r="R155" s="85">
        <f t="shared" si="31"/>
        <v>-161.18527873937265</v>
      </c>
      <c r="S155" s="85" t="str">
        <f>IMPRODUCT(IMDIV(IMSUM(IMPRODUCT(H155,'Small Signal'!$B$33*'Small Signal'!$B$6*'Small Signal'!$B$27*'Small Signal'!$B$7*'Small Signal'!$B$8),'Small Signal'!$B$33*'Small Signal'!$B$6*'Small Signal'!$B$27),IMSUM(IMSUM(IMPRODUCT(H155,('Small Signal'!$B$5+'Small Signal'!$B$6)*('Small Signal'!$B$32*'Small Signal'!$B$33)+'Small Signal'!$B$5*'Small Signal'!$B$33*('Small Signal'!$B$8+'Small Signal'!$B$9)+'Small Signal'!$B$6*'Small Signal'!$B$33*('Small Signal'!$B$8+'Small Signal'!$B$9)+'Small Signal'!$B$7*'Small Signal'!$B$8*('Small Signal'!$B$5+'Small Signal'!$B$6)),'Small Signal'!$B$6+'Small Signal'!$B$5),IMPRODUCT(IMPOWER(H155,2),'Small Signal'!$B$32*'Small Signal'!$B$33*'Small Signal'!$B$8*'Small Signal'!$B$7*('Small Signal'!$B$5+'Small Signal'!$B$6)+('Small Signal'!$B$5+'Small Signal'!$B$6)*('Small Signal'!$B$9*'Small Signal'!$B$8*'Small Signal'!$B$33*'Small Signal'!$B$7)))),-1)</f>
        <v>-0.228708153959658+0.124253318992938i</v>
      </c>
      <c r="T155" s="85">
        <f t="shared" si="32"/>
        <v>-11.691143743570546</v>
      </c>
      <c r="U155" s="85">
        <f t="shared" si="33"/>
        <v>151.48550577768518</v>
      </c>
      <c r="V155" s="85" t="str">
        <f t="shared" si="34"/>
        <v>0.146248966681979+0.0514022736049185i</v>
      </c>
      <c r="W155" s="80">
        <f t="shared" si="35"/>
        <v>-16.19228988114243</v>
      </c>
      <c r="X155" s="85">
        <f t="shared" si="36"/>
        <v>19.36509708108676</v>
      </c>
      <c r="Y155" s="85" t="str">
        <f t="shared" si="37"/>
        <v>0.130571199178122-0.0223184112946245i</v>
      </c>
      <c r="Z155" s="80">
        <f t="shared" si="38"/>
        <v>-17.557983728828948</v>
      </c>
      <c r="AA155" s="85">
        <f t="shared" si="39"/>
        <v>-9.69977296168744</v>
      </c>
    </row>
    <row r="156" spans="6:27" ht="12.75">
      <c r="F156" s="84">
        <v>154</v>
      </c>
      <c r="G156" s="85">
        <f>10^('Small Signal'!F156/30)</f>
        <v>135935.63908785273</v>
      </c>
      <c r="H156" s="85" t="str">
        <f t="shared" si="27"/>
        <v>854108.810238863i</v>
      </c>
      <c r="I156" s="85">
        <f>IF('Small Signal'!$B$37&gt;=1,Q156+0,N156+0)</f>
        <v>-5.546654970646862</v>
      </c>
      <c r="J156" s="85">
        <f>IF('Small Signal'!$B$37&gt;=1,R156,O156)</f>
        <v>-134.15661210520332</v>
      </c>
      <c r="K156" s="85">
        <f>IF('Small Signal'!$B$37&gt;=1,Z156+0,W156+0)</f>
        <v>-17.380264932815265</v>
      </c>
      <c r="L156" s="85">
        <f>IF('Small Signal'!$B$37&gt;=1,AA156,X156)</f>
        <v>15.674141871360048</v>
      </c>
      <c r="M156" s="85" t="str">
        <f>IMDIV(IMSUM('Small Signal'!$B$2*'Small Signal'!$B$16*'Small Signal'!$B$38,IMPRODUCT(H156,'Small Signal'!$B$2*'Small Signal'!$B$16*'Small Signal'!$B$38*'Small Signal'!$B$13*'Small Signal'!$B$14)),IMSUM(IMPRODUCT('Small Signal'!$B$11*'Small Signal'!$B$13*('Small Signal'!$B$14+'Small Signal'!$B$16),IMPOWER(H156,2)),IMSUM(IMPRODUCT(H156,('Small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-0.367844651769167-0.378836514509866i</v>
      </c>
      <c r="N156" s="85">
        <f t="shared" si="28"/>
        <v>-5.546654970646862</v>
      </c>
      <c r="O156" s="85">
        <f t="shared" si="29"/>
        <v>-134.15661210520332</v>
      </c>
      <c r="P156" s="85" t="str">
        <f>IMDIV(IMSUM('Small Signal'!$B$48,IMPRODUCT(H156,'Small Signal'!$B$49)),IMSUM(IMPRODUCT('Small Signal'!$B$52,IMPOWER(H156,2)),IMSUM(IMPRODUCT(H156,'Small Signal'!$B$51),'Small Signal'!$B$50)))</f>
        <v>-0.416500079386641-0.135581431445183i</v>
      </c>
      <c r="Q156" s="85">
        <f t="shared" si="30"/>
        <v>-7.170276913933474</v>
      </c>
      <c r="R156" s="85">
        <f t="shared" si="31"/>
        <v>-161.96860576760338</v>
      </c>
      <c r="S156" s="85" t="str">
        <f>IMPRODUCT(IMDIV(IMSUM(IMPRODUCT(H156,'Small Signal'!$B$33*'Small Signal'!$B$6*'Small Signal'!$B$27*'Small Signal'!$B$7*'Small Signal'!$B$8),'Small Signal'!$B$33*'Small Signal'!$B$6*'Small Signal'!$B$27),IMSUM(IMSUM(IMPRODUCT(H156,('Small Signal'!$B$5+'Small Signal'!$B$6)*('Small Signal'!$B$32*'Small Signal'!$B$33)+'Small Signal'!$B$5*'Small Signal'!$B$33*('Small Signal'!$B$8+'Small Signal'!$B$9)+'Small Signal'!$B$6*'Small Signal'!$B$33*('Small Signal'!$B$8+'Small Signal'!$B$9)+'Small Signal'!$B$7*'Small Signal'!$B$8*('Small Signal'!$B$5+'Small Signal'!$B$6)),'Small Signal'!$B$6+'Small Signal'!$B$5),IMPRODUCT(IMPOWER(H156,2),'Small Signal'!$B$32*'Small Signal'!$B$33*'Small Signal'!$B$8*'Small Signal'!$B$7*('Small Signal'!$B$5+'Small Signal'!$B$6)+('Small Signal'!$B$5+'Small Signal'!$B$6)*('Small Signal'!$B$9*'Small Signal'!$B$8*'Small Signal'!$B$33*'Small Signal'!$B$7)))),-1)</f>
        <v>-0.221363974267579+0.128677891595833i</v>
      </c>
      <c r="T156" s="85">
        <f t="shared" si="32"/>
        <v>-11.833609962168392</v>
      </c>
      <c r="U156" s="85">
        <f t="shared" si="33"/>
        <v>149.83075397656333</v>
      </c>
      <c r="V156" s="85" t="str">
        <f t="shared" si="34"/>
        <v>0.13017543797534+0.0365272822251215i</v>
      </c>
      <c r="W156" s="80">
        <f t="shared" si="35"/>
        <v>-17.380264932815265</v>
      </c>
      <c r="X156" s="85">
        <f t="shared" si="36"/>
        <v>15.674141871360048</v>
      </c>
      <c r="Y156" s="85" t="str">
        <f t="shared" si="37"/>
        <v>0.1096444455937-0.023581507563377i</v>
      </c>
      <c r="Z156" s="80">
        <f t="shared" si="38"/>
        <v>-19.003886876101877</v>
      </c>
      <c r="AA156" s="85">
        <f t="shared" si="39"/>
        <v>-12.137851791040049</v>
      </c>
    </row>
    <row r="157" spans="6:27" ht="12.75">
      <c r="F157" s="84">
        <v>155</v>
      </c>
      <c r="G157" s="85">
        <f>10^('Small Signal'!F157/30)</f>
        <v>146779.92676220718</v>
      </c>
      <c r="H157" s="85" t="str">
        <f t="shared" si="27"/>
        <v>922245.479221196i</v>
      </c>
      <c r="I157" s="85">
        <f>IF('Small Signal'!$B$37&gt;=1,Q157+0,N157+0)</f>
        <v>-6.61644567674029</v>
      </c>
      <c r="J157" s="85">
        <f>IF('Small Signal'!$B$37&gt;=1,R157,O157)</f>
        <v>-136.1257458360966</v>
      </c>
      <c r="K157" s="85">
        <f>IF('Small Signal'!$B$37&gt;=1,Z157+0,W157+0)</f>
        <v>-18.610299277906407</v>
      </c>
      <c r="L157" s="85">
        <f>IF('Small Signal'!$B$37&gt;=1,AA157,X157)</f>
        <v>11.962333475247442</v>
      </c>
      <c r="M157" s="85" t="str">
        <f>IMDIV(IMSUM('Small Signal'!$B$2*'Small Signal'!$B$16*'Small Signal'!$B$38,IMPRODUCT(H157,'Small Signal'!$B$2*'Small Signal'!$B$16*'Small Signal'!$B$38*'Small Signal'!$B$13*'Small Signal'!$B$14)),IMSUM(IMPRODUCT('Small Signal'!$B$11*'Small Signal'!$B$13*('Small Signal'!$B$14+'Small Signal'!$B$16),IMPOWER(H157,2)),IMSUM(IMPRODUCT(H157,('Small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-0.336534987125722-0.323563717471533i</v>
      </c>
      <c r="N157" s="85">
        <f t="shared" si="28"/>
        <v>-6.61644567674029</v>
      </c>
      <c r="O157" s="85">
        <f t="shared" si="29"/>
        <v>-136.1257458360966</v>
      </c>
      <c r="P157" s="85" t="str">
        <f>IMDIV(IMSUM('Small Signal'!$B$48,IMPRODUCT(H157,'Small Signal'!$B$49)),IMSUM(IMPRODUCT('Small Signal'!$B$52,IMPOWER(H157,2)),IMSUM(IMPRODUCT(H157,'Small Signal'!$B$51),'Small Signal'!$B$50)))</f>
        <v>-0.359696915032559-0.112365622250466i</v>
      </c>
      <c r="Q157" s="85">
        <f t="shared" si="30"/>
        <v>-8.476874833741508</v>
      </c>
      <c r="R157" s="85">
        <f t="shared" si="31"/>
        <v>-162.65173143804344</v>
      </c>
      <c r="S157" s="85" t="str">
        <f>IMPRODUCT(IMDIV(IMSUM(IMPRODUCT(H157,'Small Signal'!$B$33*'Small Signal'!$B$6*'Small Signal'!$B$27*'Small Signal'!$B$7*'Small Signal'!$B$8),'Small Signal'!$B$33*'Small Signal'!$B$6*'Small Signal'!$B$27),IMSUM(IMSUM(IMPRODUCT(H157,('Small Signal'!$B$5+'Small Signal'!$B$6)*('Small Signal'!$B$32*'Small Signal'!$B$33)+'Small Signal'!$B$5*'Small Signal'!$B$33*('Small Signal'!$B$8+'Small Signal'!$B$9)+'Small Signal'!$B$6*'Small Signal'!$B$33*('Small Signal'!$B$8+'Small Signal'!$B$9)+'Small Signal'!$B$7*'Small Signal'!$B$8*('Small Signal'!$B$5+'Small Signal'!$B$6)),'Small Signal'!$B$6+'Small Signal'!$B$5),IMPRODUCT(IMPOWER(H157,2),'Small Signal'!$B$32*'Small Signal'!$B$33*'Small Signal'!$B$8*'Small Signal'!$B$7*('Small Signal'!$B$5+'Small Signal'!$B$6)+('Small Signal'!$B$5+'Small Signal'!$B$6)*('Small Signal'!$B$9*'Small Signal'!$B$8*'Small Signal'!$B$33*'Small Signal'!$B$7)))),-1)</f>
        <v>-0.213375362359539+0.132876067499201i</v>
      </c>
      <c r="T157" s="85">
        <f t="shared" si="32"/>
        <v>-11.99385360116615</v>
      </c>
      <c r="U157" s="85">
        <f t="shared" si="33"/>
        <v>148.08807931134407</v>
      </c>
      <c r="V157" s="85" t="str">
        <f t="shared" si="34"/>
        <v>0.114802149187654+0.0243230797967277i</v>
      </c>
      <c r="W157" s="80">
        <f t="shared" si="35"/>
        <v>-18.610299277906407</v>
      </c>
      <c r="X157" s="85">
        <f t="shared" si="36"/>
        <v>11.962333475247442</v>
      </c>
      <c r="Y157" s="85" t="str">
        <f t="shared" si="37"/>
        <v>0.0916811615914232-0.0238190561966724i</v>
      </c>
      <c r="Z157" s="80">
        <f t="shared" si="38"/>
        <v>-20.470728434907663</v>
      </c>
      <c r="AA157" s="85">
        <f t="shared" si="39"/>
        <v>-14.563652126699356</v>
      </c>
    </row>
    <row r="158" spans="6:27" ht="12.75">
      <c r="F158" s="84">
        <v>156</v>
      </c>
      <c r="G158" s="85">
        <f>10^('Small Signal'!F158/30)</f>
        <v>158489.31924611164</v>
      </c>
      <c r="H158" s="85" t="str">
        <f t="shared" si="27"/>
        <v>995817.762032063i</v>
      </c>
      <c r="I158" s="85">
        <f>IF('Small Signal'!$B$37&gt;=1,Q158+0,N158+0)</f>
        <v>-7.709584280699384</v>
      </c>
      <c r="J158" s="85">
        <f>IF('Small Signal'!$B$37&gt;=1,R158,O158)</f>
        <v>-138.01552774023398</v>
      </c>
      <c r="K158" s="85">
        <f>IF('Small Signal'!$B$37&gt;=1,Z158+0,W158+0)</f>
        <v>-19.882959274528687</v>
      </c>
      <c r="L158" s="85">
        <f>IF('Small Signal'!$B$37&gt;=1,AA158,X158)</f>
        <v>8.24778745109952</v>
      </c>
      <c r="M158" s="85" t="str">
        <f>IMDIV(IMSUM('Small Signal'!$B$2*'Small Signal'!$B$16*'Small Signal'!$B$38,IMPRODUCT(H158,'Small Signal'!$B$2*'Small Signal'!$B$16*'Small Signal'!$B$38*'Small Signal'!$B$13*'Small Signal'!$B$14)),IMSUM(IMPRODUCT('Small Signal'!$B$11*'Small Signal'!$B$13*('Small Signal'!$B$14+'Small Signal'!$B$16),IMPOWER(H158,2)),IMSUM(IMPRODUCT(H158,('Small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-0.305985038175149-0.275360047806207i</v>
      </c>
      <c r="N158" s="85">
        <f t="shared" si="28"/>
        <v>-7.709584280699384</v>
      </c>
      <c r="O158" s="85">
        <f t="shared" si="29"/>
        <v>-138.01552774023398</v>
      </c>
      <c r="P158" s="85" t="str">
        <f>IMDIV(IMSUM('Small Signal'!$B$48,IMPRODUCT(H158,'Small Signal'!$B$49)),IMSUM(IMPRODUCT('Small Signal'!$B$52,IMPOWER(H158,2)),IMSUM(IMPRODUCT(H158,'Small Signal'!$B$51),'Small Signal'!$B$50)))</f>
        <v>-0.310341880339465-0.0934753961261563i</v>
      </c>
      <c r="Q158" s="85">
        <f t="shared" si="30"/>
        <v>-9.786050496723734</v>
      </c>
      <c r="R158" s="85">
        <f t="shared" si="31"/>
        <v>-163.2376273045417</v>
      </c>
      <c r="S158" s="85" t="str">
        <f>IMPRODUCT(IMDIV(IMSUM(IMPRODUCT(H158,'Small Signal'!$B$33*'Small Signal'!$B$6*'Small Signal'!$B$27*'Small Signal'!$B$7*'Small Signal'!$B$8),'Small Signal'!$B$33*'Small Signal'!$B$6*'Small Signal'!$B$27),IMSUM(IMSUM(IMPRODUCT(H158,('Small Signal'!$B$5+'Small Signal'!$B$6)*('Small Signal'!$B$32*'Small Signal'!$B$33)+'Small Signal'!$B$5*'Small Signal'!$B$33*('Small Signal'!$B$8+'Small Signal'!$B$9)+'Small Signal'!$B$6*'Small Signal'!$B$33*('Small Signal'!$B$8+'Small Signal'!$B$9)+'Small Signal'!$B$7*'Small Signal'!$B$8*('Small Signal'!$B$5+'Small Signal'!$B$6)),'Small Signal'!$B$6+'Small Signal'!$B$5),IMPRODUCT(IMPOWER(H158,2),'Small Signal'!$B$32*'Small Signal'!$B$33*'Small Signal'!$B$8*'Small Signal'!$B$7*('Small Signal'!$B$5+'Small Signal'!$B$6)+('Small Signal'!$B$5+'Small Signal'!$B$6)*('Small Signal'!$B$9*'Small Signal'!$B$8*'Small Signal'!$B$33*'Small Signal'!$B$7)))),-1)</f>
        <v>-0.204759967797649+0.136747417179638i</v>
      </c>
      <c r="T158" s="85">
        <f t="shared" si="32"/>
        <v>-12.17337499382927</v>
      </c>
      <c r="U158" s="85">
        <f t="shared" si="33"/>
        <v>146.26331519133345</v>
      </c>
      <c r="V158" s="85" t="str">
        <f t="shared" si="34"/>
        <v>0.100308261895266+0.0145400508554935i</v>
      </c>
      <c r="W158" s="80">
        <f t="shared" si="35"/>
        <v>-19.882959274528687</v>
      </c>
      <c r="X158" s="85">
        <f t="shared" si="36"/>
        <v>8.24778745109952</v>
      </c>
      <c r="Y158" s="85" t="str">
        <f t="shared" si="37"/>
        <v>0.0763281124146661-0.0232984314784299i</v>
      </c>
      <c r="Z158" s="80">
        <f t="shared" si="38"/>
        <v>-21.959425490553002</v>
      </c>
      <c r="AA158" s="85">
        <f t="shared" si="39"/>
        <v>-16.974312113208246</v>
      </c>
    </row>
    <row r="159" spans="6:27" ht="12.75">
      <c r="F159" s="84">
        <v>157</v>
      </c>
      <c r="G159" s="85">
        <f>10^('Small Signal'!F159/30)</f>
        <v>171132.83041617845</v>
      </c>
      <c r="H159" s="85" t="str">
        <f t="shared" si="27"/>
        <v>1075259.28564699i</v>
      </c>
      <c r="I159" s="85">
        <f>IF('Small Signal'!$B$37&gt;=1,Q159+0,N159+0)</f>
        <v>-8.824902250961115</v>
      </c>
      <c r="J159" s="85">
        <f>IF('Small Signal'!$B$37&gt;=1,R159,O159)</f>
        <v>-139.81461272677404</v>
      </c>
      <c r="K159" s="85">
        <f>IF('Small Signal'!$B$37&gt;=1,Z159+0,W159+0)</f>
        <v>-21.198512042994054</v>
      </c>
      <c r="L159" s="85">
        <f>IF('Small Signal'!$B$37&gt;=1,AA159,X159)</f>
        <v>4.5491256941899705</v>
      </c>
      <c r="M159" s="85" t="str">
        <f>IMDIV(IMSUM('Small Signal'!$B$2*'Small Signal'!$B$16*'Small Signal'!$B$38,IMPRODUCT(H159,'Small Signal'!$B$2*'Small Signal'!$B$16*'Small Signal'!$B$38*'Small Signal'!$B$13*'Small Signal'!$B$14)),IMSUM(IMPRODUCT('Small Signal'!$B$11*'Small Signal'!$B$13*('Small Signal'!$B$14+'Small Signal'!$B$16),IMPOWER(H159,2)),IMSUM(IMPRODUCT(H159,('Small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-0.276583240619122-0.233610071102111i</v>
      </c>
      <c r="N159" s="85">
        <f t="shared" si="28"/>
        <v>-8.824902250961115</v>
      </c>
      <c r="O159" s="85">
        <f t="shared" si="29"/>
        <v>-139.81461272677404</v>
      </c>
      <c r="P159" s="85" t="str">
        <f>IMDIV(IMSUM('Small Signal'!$B$48,IMPRODUCT(H159,'Small Signal'!$B$49)),IMSUM(IMPRODUCT('Small Signal'!$B$52,IMPOWER(H159,2)),IMSUM(IMPRODUCT(H159,'Small Signal'!$B$51),'Small Signal'!$B$50)))</f>
        <v>-0.267536911989942-0.0780866193015698i</v>
      </c>
      <c r="Q159" s="85">
        <f t="shared" si="30"/>
        <v>-11.097270164948752</v>
      </c>
      <c r="R159" s="85">
        <f t="shared" si="31"/>
        <v>-163.72893659418807</v>
      </c>
      <c r="S159" s="85" t="str">
        <f>IMPRODUCT(IMDIV(IMSUM(IMPRODUCT(H159,'Small Signal'!$B$33*'Small Signal'!$B$6*'Small Signal'!$B$27*'Small Signal'!$B$7*'Small Signal'!$B$8),'Small Signal'!$B$33*'Small Signal'!$B$6*'Small Signal'!$B$27),IMSUM(IMSUM(IMPRODUCT(H159,('Small Signal'!$B$5+'Small Signal'!$B$6)*('Small Signal'!$B$32*'Small Signal'!$B$33)+'Small Signal'!$B$5*'Small Signal'!$B$33*('Small Signal'!$B$8+'Small Signal'!$B$9)+'Small Signal'!$B$6*'Small Signal'!$B$33*('Small Signal'!$B$8+'Small Signal'!$B$9)+'Small Signal'!$B$7*'Small Signal'!$B$8*('Small Signal'!$B$5+'Small Signal'!$B$6)),'Small Signal'!$B$6+'Small Signal'!$B$5),IMPRODUCT(IMPOWER(H159,2),'Small Signal'!$B$32*'Small Signal'!$B$33*'Small Signal'!$B$8*'Small Signal'!$B$7*('Small Signal'!$B$5+'Small Signal'!$B$6)+('Small Signal'!$B$5+'Small Signal'!$B$6)*('Small Signal'!$B$9*'Small Signal'!$B$8*'Small Signal'!$B$33*'Small Signal'!$B$7)))),-1)</f>
        <v>-0.195554118697005+0.140190281581449i</v>
      </c>
      <c r="T159" s="85">
        <f t="shared" si="32"/>
        <v>-12.373609792032937</v>
      </c>
      <c r="U159" s="85">
        <f t="shared" si="33"/>
        <v>144.363738420964</v>
      </c>
      <c r="V159" s="85" t="str">
        <f t="shared" si="34"/>
        <v>0.0868368535137013+0.00690912919001362i</v>
      </c>
      <c r="W159" s="80">
        <f t="shared" si="35"/>
        <v>-21.198512042994054</v>
      </c>
      <c r="X159" s="85">
        <f t="shared" si="36"/>
        <v>4.5491256941899705</v>
      </c>
      <c r="Y159" s="85" t="str">
        <f t="shared" si="37"/>
        <v>0.0632649301907418-0.0222359150057543i</v>
      </c>
      <c r="Z159" s="80">
        <f t="shared" si="38"/>
        <v>-23.470879956981683</v>
      </c>
      <c r="AA159" s="85">
        <f t="shared" si="39"/>
        <v>-19.365198173224062</v>
      </c>
    </row>
    <row r="160" spans="6:27" ht="12.75">
      <c r="F160" s="84">
        <v>158</v>
      </c>
      <c r="G160" s="85">
        <f>10^('Small Signal'!F160/30)</f>
        <v>184784.97974222922</v>
      </c>
      <c r="H160" s="85" t="str">
        <f t="shared" si="27"/>
        <v>1161038.26970385i</v>
      </c>
      <c r="I160" s="85">
        <f>IF('Small Signal'!$B$37&gt;=1,Q160+0,N160+0)</f>
        <v>-9.961036513597312</v>
      </c>
      <c r="J160" s="85">
        <f>IF('Small Signal'!$B$37&gt;=1,R160,O160)</f>
        <v>-141.51279054266894</v>
      </c>
      <c r="K160" s="85">
        <f>IF('Small Signal'!$B$37&gt;=1,Z160+0,W160+0)</f>
        <v>-22.556920615457145</v>
      </c>
      <c r="L160" s="85">
        <f>IF('Small Signal'!$B$37&gt;=1,AA160,X160)</f>
        <v>0.8852738761297203</v>
      </c>
      <c r="M160" s="85" t="str">
        <f>IMDIV(IMSUM('Small Signal'!$B$2*'Small Signal'!$B$16*'Small Signal'!$B$38,IMPRODUCT(H160,'Small Signal'!$B$2*'Small Signal'!$B$16*'Small Signal'!$B$38*'Small Signal'!$B$13*'Small Signal'!$B$14)),IMSUM(IMPRODUCT('Small Signal'!$B$11*'Small Signal'!$B$13*('Small Signal'!$B$14+'Small Signal'!$B$16),IMPOWER(H160,2)),IMSUM(IMPRODUCT(H160,('Small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-0.248639225753544-0.19768596170686i</v>
      </c>
      <c r="N160" s="85">
        <f t="shared" si="28"/>
        <v>-9.961036513597312</v>
      </c>
      <c r="O160" s="85">
        <f t="shared" si="29"/>
        <v>-141.51279054266894</v>
      </c>
      <c r="P160" s="85" t="str">
        <f>IMDIV(IMSUM('Small Signal'!$B$48,IMPRODUCT(H160,'Small Signal'!$B$49)),IMSUM(IMPRODUCT('Small Signal'!$B$52,IMPOWER(H160,2)),IMSUM(IMPRODUCT(H160,'Small Signal'!$B$51),'Small Signal'!$B$50)))</f>
        <v>-0.230471146107496-0.0655298844743898i</v>
      </c>
      <c r="Q160" s="85">
        <f t="shared" si="30"/>
        <v>-12.410040188740457</v>
      </c>
      <c r="R160" s="85">
        <f t="shared" si="31"/>
        <v>-164.127953263555</v>
      </c>
      <c r="S160" s="85" t="str">
        <f>IMPRODUCT(IMDIV(IMSUM(IMPRODUCT(H160,'Small Signal'!$B$33*'Small Signal'!$B$6*'Small Signal'!$B$27*'Small Signal'!$B$7*'Small Signal'!$B$8),'Small Signal'!$B$33*'Small Signal'!$B$6*'Small Signal'!$B$27),IMSUM(IMSUM(IMPRODUCT(H160,('Small Signal'!$B$5+'Small Signal'!$B$6)*('Small Signal'!$B$32*'Small Signal'!$B$33)+'Small Signal'!$B$5*'Small Signal'!$B$33*('Small Signal'!$B$8+'Small Signal'!$B$9)+'Small Signal'!$B$6*'Small Signal'!$B$33*('Small Signal'!$B$8+'Small Signal'!$B$9)+'Small Signal'!$B$7*'Small Signal'!$B$8*('Small Signal'!$B$5+'Small Signal'!$B$6)),'Small Signal'!$B$6+'Small Signal'!$B$5),IMPRODUCT(IMPOWER(H160,2),'Small Signal'!$B$32*'Small Signal'!$B$33*'Small Signal'!$B$8*'Small Signal'!$B$7*('Small Signal'!$B$5+'Small Signal'!$B$6)+('Small Signal'!$B$5+'Small Signal'!$B$6)*('Small Signal'!$B$9*'Small Signal'!$B$8*'Small Signal'!$B$33*'Small Signal'!$B$7)))),-1)</f>
        <v>-0.185814018178058+0.143106058013943i</v>
      </c>
      <c r="T160" s="85">
        <f t="shared" si="32"/>
        <v>-12.59588410185983</v>
      </c>
      <c r="U160" s="85">
        <f t="shared" si="33"/>
        <v>142.39806441879864</v>
      </c>
      <c r="V160" s="85" t="str">
        <f t="shared" si="34"/>
        <v>0.0744907123185113+0.00115104341691683i</v>
      </c>
      <c r="W160" s="80">
        <f t="shared" si="35"/>
        <v>-22.556920615457145</v>
      </c>
      <c r="X160" s="85">
        <f t="shared" si="36"/>
        <v>0.8852738761297203</v>
      </c>
      <c r="Y160" s="85" t="str">
        <f t="shared" si="37"/>
        <v>0.0522024931815751-0.0208054460604689i</v>
      </c>
      <c r="Z160" s="80">
        <f t="shared" si="38"/>
        <v>-25.005924290600294</v>
      </c>
      <c r="AA160" s="85">
        <f t="shared" si="39"/>
        <v>-21.729888844756346</v>
      </c>
    </row>
    <row r="161" spans="6:27" ht="12.75">
      <c r="F161" s="84">
        <v>159</v>
      </c>
      <c r="G161" s="85">
        <f>10^('Small Signal'!F161/30)</f>
        <v>199526.23149688813</v>
      </c>
      <c r="H161" s="85" t="str">
        <f t="shared" si="27"/>
        <v>1253660.28613816i</v>
      </c>
      <c r="I161" s="85">
        <f>IF('Small Signal'!$B$37&gt;=1,Q161+0,N161+0)</f>
        <v>-11.116472724405881</v>
      </c>
      <c r="J161" s="85">
        <f>IF('Small Signal'!$B$37&gt;=1,R161,O161)</f>
        <v>-143.10110763556875</v>
      </c>
      <c r="K161" s="85">
        <f>IF('Small Signal'!$B$37&gt;=1,Z161+0,W161+0)</f>
        <v>-23.957840842404828</v>
      </c>
      <c r="L161" s="85">
        <f>IF('Small Signal'!$B$37&gt;=1,AA161,X161)</f>
        <v>-2.724736210590478</v>
      </c>
      <c r="M161" s="85" t="str">
        <f>IMDIV(IMSUM('Small Signal'!$B$2*'Small Signal'!$B$16*'Small Signal'!$B$38,IMPRODUCT(H161,'Small Signal'!$B$2*'Small Signal'!$B$16*'Small Signal'!$B$38*'Small Signal'!$B$13*'Small Signal'!$B$14)),IMSUM(IMPRODUCT('Small Signal'!$B$11*'Small Signal'!$B$13*('Small Signal'!$B$14+'Small Signal'!$B$16),IMPOWER(H161,2)),IMSUM(IMPRODUCT(H161,('Small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-0.222382921691783-0.166963098067056i</v>
      </c>
      <c r="N161" s="85">
        <f t="shared" si="28"/>
        <v>-11.116472724405881</v>
      </c>
      <c r="O161" s="85">
        <f t="shared" si="29"/>
        <v>-143.10110763556875</v>
      </c>
      <c r="P161" s="85" t="str">
        <f>IMDIV(IMSUM('Small Signal'!$B$48,IMPRODUCT(H161,'Small Signal'!$B$49)),IMSUM(IMPRODUCT('Small Signal'!$B$52,IMPOWER(H161,2)),IMSUM(IMPRODUCT(H161,'Small Signal'!$B$51),'Small Signal'!$B$50)))</f>
        <v>-0.198418463229785-0.0552627966633563i</v>
      </c>
      <c r="Q161" s="85">
        <f t="shared" si="30"/>
        <v>-13.72389785847291</v>
      </c>
      <c r="R161" s="85">
        <f t="shared" si="31"/>
        <v>-164.43660791112325</v>
      </c>
      <c r="S161" s="85" t="str">
        <f>IMPRODUCT(IMDIV(IMSUM(IMPRODUCT(H161,'Small Signal'!$B$33*'Small Signal'!$B$6*'Small Signal'!$B$27*'Small Signal'!$B$7*'Small Signal'!$B$8),'Small Signal'!$B$33*'Small Signal'!$B$6*'Small Signal'!$B$27),IMSUM(IMSUM(IMPRODUCT(H161,('Small Signal'!$B$5+'Small Signal'!$B$6)*('Small Signal'!$B$32*'Small Signal'!$B$33)+'Small Signal'!$B$5*'Small Signal'!$B$33*('Small Signal'!$B$8+'Small Signal'!$B$9)+'Small Signal'!$B$6*'Small Signal'!$B$33*('Small Signal'!$B$8+'Small Signal'!$B$9)+'Small Signal'!$B$7*'Small Signal'!$B$8*('Small Signal'!$B$5+'Small Signal'!$B$6)),'Small Signal'!$B$6+'Small Signal'!$B$5),IMPRODUCT(IMPOWER(H161,2),'Small Signal'!$B$32*'Small Signal'!$B$33*'Small Signal'!$B$8*'Small Signal'!$B$7*('Small Signal'!$B$5+'Small Signal'!$B$6)+('Small Signal'!$B$5+'Small Signal'!$B$6)*('Small Signal'!$B$9*'Small Signal'!$B$8*'Small Signal'!$B$33*'Small Signal'!$B$7)))),-1)</f>
        <v>-0.175615754360465+0.145404016786342i</v>
      </c>
      <c r="T161" s="85">
        <f t="shared" si="32"/>
        <v>-12.841368117998957</v>
      </c>
      <c r="U161" s="85">
        <f t="shared" si="33"/>
        <v>140.3763714249783</v>
      </c>
      <c r="V161" s="85" t="str">
        <f t="shared" si="34"/>
        <v>0.0633310496638286-0.00301401966126146i</v>
      </c>
      <c r="W161" s="80">
        <f t="shared" si="35"/>
        <v>-23.957840842404828</v>
      </c>
      <c r="X161" s="85">
        <f t="shared" si="36"/>
        <v>-2.724736210590478</v>
      </c>
      <c r="Y161" s="85" t="str">
        <f t="shared" si="37"/>
        <v>0.0428808407128417-0.0191458238340795i</v>
      </c>
      <c r="Z161" s="80">
        <f t="shared" si="38"/>
        <v>-26.565265976471878</v>
      </c>
      <c r="AA161" s="85">
        <f t="shared" si="39"/>
        <v>-24.06023648614494</v>
      </c>
    </row>
    <row r="162" spans="6:27" ht="12.75">
      <c r="F162" s="84">
        <v>160</v>
      </c>
      <c r="G162" s="85">
        <f>10^('Small Signal'!F162/30)</f>
        <v>215443.46900318863</v>
      </c>
      <c r="H162" s="85" t="str">
        <f t="shared" si="27"/>
        <v>1353671.23896864i</v>
      </c>
      <c r="I162" s="85">
        <f>IF('Small Signal'!$B$37&gt;=1,Q162+0,N162+0)</f>
        <v>-12.289588466086808</v>
      </c>
      <c r="J162" s="85">
        <f>IF('Small Signal'!$B$37&gt;=1,R162,O162)</f>
        <v>-144.57191506591317</v>
      </c>
      <c r="K162" s="85">
        <f>IF('Small Signal'!$B$37&gt;=1,Z162+0,W162+0)</f>
        <v>-25.40061977375869</v>
      </c>
      <c r="L162" s="85">
        <f>IF('Small Signal'!$B$37&gt;=1,AA162,X162)</f>
        <v>-6.261966693311493</v>
      </c>
      <c r="M162" s="85" t="str">
        <f>IMDIV(IMSUM('Small Signal'!$B$2*'Small Signal'!$B$16*'Small Signal'!$B$38,IMPRODUCT(H162,'Small Signal'!$B$2*'Small Signal'!$B$16*'Small Signal'!$B$38*'Small Signal'!$B$13*'Small Signal'!$B$14)),IMSUM(IMPRODUCT('Small Signal'!$B$11*'Small Signal'!$B$13*('Small Signal'!$B$14+'Small Signal'!$B$16),IMPOWER(H162,2)),IMSUM(IMPRODUCT(H162,('Small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-0.197967963220191-0.140834606961422i</v>
      </c>
      <c r="N162" s="85">
        <f t="shared" si="28"/>
        <v>-12.289588466086808</v>
      </c>
      <c r="O162" s="85">
        <f t="shared" si="29"/>
        <v>-144.57191506591317</v>
      </c>
      <c r="P162" s="85" t="str">
        <f>IMDIV(IMSUM('Small Signal'!$B$48,IMPRODUCT(H162,'Small Signal'!$B$49)),IMSUM(IMPRODUCT('Small Signal'!$B$52,IMPOWER(H162,2)),IMSUM(IMPRODUCT(H162,'Small Signal'!$B$51),'Small Signal'!$B$50)))</f>
        <v>-0.170733026498663-0.0468467538406229i</v>
      </c>
      <c r="Q162" s="85">
        <f t="shared" si="30"/>
        <v>-15.038402513151736</v>
      </c>
      <c r="R162" s="85">
        <f t="shared" si="31"/>
        <v>-164.65645957542762</v>
      </c>
      <c r="S162" s="85" t="str">
        <f>IMPRODUCT(IMDIV(IMSUM(IMPRODUCT(H162,'Small Signal'!$B$33*'Small Signal'!$B$6*'Small Signal'!$B$27*'Small Signal'!$B$7*'Small Signal'!$B$8),'Small Signal'!$B$33*'Small Signal'!$B$6*'Small Signal'!$B$27),IMSUM(IMSUM(IMPRODUCT(H162,('Small Signal'!$B$5+'Small Signal'!$B$6)*('Small Signal'!$B$32*'Small Signal'!$B$33)+'Small Signal'!$B$5*'Small Signal'!$B$33*('Small Signal'!$B$8+'Small Signal'!$B$9)+'Small Signal'!$B$6*'Small Signal'!$B$33*('Small Signal'!$B$8+'Small Signal'!$B$9)+'Small Signal'!$B$7*'Small Signal'!$B$8*('Small Signal'!$B$5+'Small Signal'!$B$6)),'Small Signal'!$B$6+'Small Signal'!$B$5),IMPRODUCT(IMPOWER(H162,2),'Small Signal'!$B$32*'Small Signal'!$B$33*'Small Signal'!$B$8*'Small Signal'!$B$7*('Small Signal'!$B$5+'Small Signal'!$B$6)+('Small Signal'!$B$5+'Small Signal'!$B$6)*('Small Signal'!$B$9*'Small Signal'!$B$8*'Small Signal'!$B$33*'Small Signal'!$B$7)))),-1)</f>
        <v>-0.165053905061909+0.147006264617667i</v>
      </c>
      <c r="T162" s="85">
        <f t="shared" si="32"/>
        <v>-13.11103130767188</v>
      </c>
      <c r="U162" s="85">
        <f t="shared" si="33"/>
        <v>138.3099483726017</v>
      </c>
      <c r="V162" s="85" t="str">
        <f t="shared" si="34"/>
        <v>0.0533789549049408-0.00585722894012615i</v>
      </c>
      <c r="W162" s="80">
        <f t="shared" si="35"/>
        <v>-25.40061977375869</v>
      </c>
      <c r="X162" s="85">
        <f t="shared" si="36"/>
        <v>-6.261966693311493</v>
      </c>
      <c r="Y162" s="85" t="str">
        <f t="shared" si="37"/>
        <v>0.035066919038216-0.0173665848115688i</v>
      </c>
      <c r="Z162" s="80">
        <f t="shared" si="38"/>
        <v>-28.149433820823624</v>
      </c>
      <c r="AA162" s="85">
        <f t="shared" si="39"/>
        <v>-26.346511202825923</v>
      </c>
    </row>
    <row r="163" spans="6:27" ht="12.75">
      <c r="F163" s="84">
        <v>161</v>
      </c>
      <c r="G163" s="85">
        <f>10^('Small Signal'!F163/30)</f>
        <v>232630.50671536254</v>
      </c>
      <c r="H163" s="85" t="str">
        <f t="shared" si="27"/>
        <v>1461660.58179571i</v>
      </c>
      <c r="I163" s="85">
        <f>IF('Small Signal'!$B$37&gt;=1,Q163+0,N163+0)</f>
        <v>-13.478693521249017</v>
      </c>
      <c r="J163" s="85">
        <f>IF('Small Signal'!$B$37&gt;=1,R163,O163)</f>
        <v>-145.91885052625656</v>
      </c>
      <c r="K163" s="85">
        <f>IF('Small Signal'!$B$37&gt;=1,Z163+0,W163+0)</f>
        <v>-26.884296066314214</v>
      </c>
      <c r="L163" s="85">
        <f>IF('Small Signal'!$B$37&gt;=1,AA163,X163)</f>
        <v>-9.707782742824387</v>
      </c>
      <c r="M163" s="85" t="str">
        <f>IMDIV(IMSUM('Small Signal'!$B$2*'Small Signal'!$B$16*'Small Signal'!$B$38,IMPRODUCT(H163,'Small Signal'!$B$2*'Small Signal'!$B$16*'Small Signal'!$B$38*'Small Signal'!$B$13*'Small Signal'!$B$14)),IMSUM(IMPRODUCT('Small Signal'!$B$11*'Small Signal'!$B$13*('Small Signal'!$B$14+'Small Signal'!$B$16),IMPOWER(H163,2)),IMSUM(IMPRODUCT(H163,('Small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-0.175478539652006-0.118723724068525i</v>
      </c>
      <c r="N163" s="85">
        <f t="shared" si="28"/>
        <v>-13.478693521249017</v>
      </c>
      <c r="O163" s="85">
        <f t="shared" si="29"/>
        <v>-145.91885052625656</v>
      </c>
      <c r="P163" s="85" t="str">
        <f>IMDIV(IMSUM('Small Signal'!$B$48,IMPRODUCT(H163,'Small Signal'!$B$49)),IMSUM(IMPRODUCT('Small Signal'!$B$52,IMPOWER(H163,2)),IMSUM(IMPRODUCT(H163,'Small Signal'!$B$51),'Small Signal'!$B$50)))</f>
        <v>-0.146843625353114-0.0399276503804799i</v>
      </c>
      <c r="Q163" s="85">
        <f t="shared" si="30"/>
        <v>-16.353126862450534</v>
      </c>
      <c r="R163" s="85">
        <f t="shared" si="31"/>
        <v>-164.78869270701958</v>
      </c>
      <c r="S163" s="85" t="str">
        <f>IMPRODUCT(IMDIV(IMSUM(IMPRODUCT(H163,'Small Signal'!$B$33*'Small Signal'!$B$6*'Small Signal'!$B$27*'Small Signal'!$B$7*'Small Signal'!$B$8),'Small Signal'!$B$33*'Small Signal'!$B$6*'Small Signal'!$B$27),IMSUM(IMSUM(IMPRODUCT(H163,('Small Signal'!$B$5+'Small Signal'!$B$6)*('Small Signal'!$B$32*'Small Signal'!$B$33)+'Small Signal'!$B$5*'Small Signal'!$B$33*('Small Signal'!$B$8+'Small Signal'!$B$9)+'Small Signal'!$B$6*'Small Signal'!$B$33*('Small Signal'!$B$8+'Small Signal'!$B$9)+'Small Signal'!$B$7*'Small Signal'!$B$8*('Small Signal'!$B$5+'Small Signal'!$B$6)),'Small Signal'!$B$6+'Small Signal'!$B$5),IMPRODUCT(IMPOWER(H163,2),'Small Signal'!$B$32*'Small Signal'!$B$33*'Small Signal'!$B$8*'Small Signal'!$B$7*('Small Signal'!$B$5+'Small Signal'!$B$6)+('Small Signal'!$B$5+'Small Signal'!$B$6)*('Small Signal'!$B$9*'Small Signal'!$B$8*'Small Signal'!$B$33*'Small Signal'!$B$7)))),-1)</f>
        <v>-0.154238663753229+0.147852377955378i</v>
      </c>
      <c r="T163" s="85">
        <f t="shared" si="32"/>
        <v>-13.4056025450652</v>
      </c>
      <c r="U163" s="85">
        <f t="shared" si="33"/>
        <v>136.21106778343218</v>
      </c>
      <c r="V163" s="85" t="str">
        <f t="shared" si="34"/>
        <v>0.044619160396543-0.00763313081154981i</v>
      </c>
      <c r="W163" s="80">
        <f t="shared" si="35"/>
        <v>-26.884296066314214</v>
      </c>
      <c r="X163" s="85">
        <f t="shared" si="36"/>
        <v>-9.707782742824387</v>
      </c>
      <c r="Y163" s="85" t="str">
        <f t="shared" si="37"/>
        <v>0.028552362610069-0.0155527917545552i</v>
      </c>
      <c r="Z163" s="80">
        <f t="shared" si="38"/>
        <v>-29.758729407515734</v>
      </c>
      <c r="AA163" s="85">
        <f t="shared" si="39"/>
        <v>-28.577624923587337</v>
      </c>
    </row>
    <row r="164" spans="6:27" ht="12.75">
      <c r="F164" s="84">
        <v>162</v>
      </c>
      <c r="G164" s="85">
        <f>10^('Small Signal'!F164/30)</f>
        <v>251188.64315095844</v>
      </c>
      <c r="H164" s="85" t="str">
        <f t="shared" si="27"/>
        <v>1578264.79197648i</v>
      </c>
      <c r="I164" s="85">
        <f>IF('Small Signal'!$B$37&gt;=1,Q164+0,N164+0)</f>
        <v>-14.682065071013064</v>
      </c>
      <c r="J164" s="85">
        <f>IF('Small Signal'!$B$37&gt;=1,R164,O164)</f>
        <v>-147.13676670274964</v>
      </c>
      <c r="K164" s="85">
        <f>IF('Small Signal'!$B$37&gt;=1,Z164+0,W164+0)</f>
        <v>-28.40760362687611</v>
      </c>
      <c r="L164" s="85">
        <f>IF('Small Signal'!$B$37&gt;=1,AA164,X164)</f>
        <v>-13.044073999500265</v>
      </c>
      <c r="M164" s="85" t="str">
        <f>IMDIV(IMSUM('Small Signal'!$B$2*'Small Signal'!$B$16*'Small Signal'!$B$38,IMPRODUCT(H164,'Small Signal'!$B$2*'Small Signal'!$B$16*'Small Signal'!$B$38*'Small Signal'!$B$13*'Small Signal'!$B$14)),IMSUM(IMPRODUCT('Small Signal'!$B$11*'Small Signal'!$B$13*('Small Signal'!$B$14+'Small Signal'!$B$16),IMPOWER(H164,2)),IMSUM(IMPRODUCT(H164,('Small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-0.154938595633696-0.100093296406694i</v>
      </c>
      <c r="N164" s="85">
        <f t="shared" si="28"/>
        <v>-14.682065071013064</v>
      </c>
      <c r="O164" s="85">
        <f t="shared" si="29"/>
        <v>-147.13676670274964</v>
      </c>
      <c r="P164" s="85" t="str">
        <f>IMDIV(IMSUM('Small Signal'!$B$48,IMPRODUCT(H164,'Small Signal'!$B$49)),IMSUM(IMPRODUCT('Small Signal'!$B$52,IMPOWER(H164,2)),IMSUM(IMPRODUCT(H164,'Small Signal'!$B$51),'Small Signal'!$B$50)))</f>
        <v>-0.126247415265413-0.0342199484713809i</v>
      </c>
      <c r="Q164" s="85">
        <f t="shared" si="30"/>
        <v>-17.667648462092775</v>
      </c>
      <c r="R164" s="85">
        <f t="shared" si="31"/>
        <v>-164.83411886582283</v>
      </c>
      <c r="S164" s="85" t="str">
        <f>IMPRODUCT(IMDIV(IMSUM(IMPRODUCT(H164,'Small Signal'!$B$33*'Small Signal'!$B$6*'Small Signal'!$B$27*'Small Signal'!$B$7*'Small Signal'!$B$8),'Small Signal'!$B$33*'Small Signal'!$B$6*'Small Signal'!$B$27),IMSUM(IMSUM(IMPRODUCT(H164,('Small Signal'!$B$5+'Small Signal'!$B$6)*('Small Signal'!$B$32*'Small Signal'!$B$33)+'Small Signal'!$B$5*'Small Signal'!$B$33*('Small Signal'!$B$8+'Small Signal'!$B$9)+'Small Signal'!$B$6*'Small Signal'!$B$33*('Small Signal'!$B$8+'Small Signal'!$B$9)+'Small Signal'!$B$7*'Small Signal'!$B$8*('Small Signal'!$B$5+'Small Signal'!$B$6)),'Small Signal'!$B$6+'Small Signal'!$B$5),IMPRODUCT(IMPOWER(H164,2),'Small Signal'!$B$32*'Small Signal'!$B$33*'Small Signal'!$B$8*'Small Signal'!$B$7*('Small Signal'!$B$5+'Small Signal'!$B$6)+('Small Signal'!$B$5+'Small Signal'!$B$6)*('Small Signal'!$B$9*'Small Signal'!$B$8*'Small Signal'!$B$33*'Small Signal'!$B$7)))),-1)</f>
        <v>-0.14329159966471+0.14790320029872i</v>
      </c>
      <c r="T164" s="85">
        <f t="shared" si="32"/>
        <v>-13.725538555863054</v>
      </c>
      <c r="U164" s="85">
        <f t="shared" si="33"/>
        <v>134.09269270324936</v>
      </c>
      <c r="V164" s="85" t="str">
        <f t="shared" si="34"/>
        <v>0.0370055180851544-0.00857338558618377i</v>
      </c>
      <c r="W164" s="80">
        <f t="shared" si="35"/>
        <v>-28.40760362687611</v>
      </c>
      <c r="X164" s="85">
        <f t="shared" si="36"/>
        <v>-13.044073999500265</v>
      </c>
      <c r="Y164" s="85" t="str">
        <f t="shared" si="37"/>
        <v>0.0231514339798905-0.0137689655902879i</v>
      </c>
      <c r="Z164" s="80">
        <f t="shared" si="38"/>
        <v>-31.393187017955828</v>
      </c>
      <c r="AA164" s="85">
        <f t="shared" si="39"/>
        <v>-30.741426162573376</v>
      </c>
    </row>
    <row r="165" spans="6:27" ht="12.75">
      <c r="F165" s="84">
        <v>163</v>
      </c>
      <c r="G165" s="85">
        <f>10^('Small Signal'!F165/30)</f>
        <v>271227.25793320336</v>
      </c>
      <c r="H165" s="85" t="str">
        <f t="shared" si="27"/>
        <v>1704171.12195251i</v>
      </c>
      <c r="I165" s="85">
        <f>IF('Small Signal'!$B$37&gt;=1,Q165+0,N165+0)</f>
        <v>-15.897976445115303</v>
      </c>
      <c r="J165" s="85">
        <f>IF('Small Signal'!$B$37&gt;=1,R165,O165)</f>
        <v>-148.2216203469003</v>
      </c>
      <c r="K165" s="85">
        <f>IF('Small Signal'!$B$37&gt;=1,Z165+0,W165+0)</f>
        <v>-29.968979983017157</v>
      </c>
      <c r="L165" s="85">
        <f>IF('Small Signal'!$B$37&gt;=1,AA165,X165)</f>
        <v>-16.2534861730915</v>
      </c>
      <c r="M165" s="85" t="str">
        <f>IMDIV(IMSUM('Small Signal'!$B$2*'Small Signal'!$B$16*'Small Signal'!$B$38,IMPRODUCT(H165,'Small Signal'!$B$2*'Small Signal'!$B$16*'Small Signal'!$B$38*'Small Signal'!$B$13*'Small Signal'!$B$14)),IMSUM(IMPRODUCT('Small Signal'!$B$11*'Small Signal'!$B$13*('Small Signal'!$B$14+'Small Signal'!$B$16),IMPOWER(H165,2)),IMSUM(IMPRODUCT(H165,('Small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-0.136322279610577-0.0844521948854975i</v>
      </c>
      <c r="N165" s="85">
        <f t="shared" si="28"/>
        <v>-15.897976445115303</v>
      </c>
      <c r="O165" s="85">
        <f t="shared" si="29"/>
        <v>-148.2216203469003</v>
      </c>
      <c r="P165" s="85" t="str">
        <f>IMDIV(IMSUM('Small Signal'!$B$48,IMPRODUCT(H165,'Small Signal'!$B$49)),IMSUM(IMPRODUCT('Small Signal'!$B$52,IMPOWER(H165,2)),IMSUM(IMPRODUCT(H165,'Small Signal'!$B$51),'Small Signal'!$B$50)))</f>
        <v>-0.108503470777137-0.0294936036833307i</v>
      </c>
      <c r="Q165" s="85">
        <f t="shared" si="30"/>
        <v>-18.98154127432602</v>
      </c>
      <c r="R165" s="85">
        <f t="shared" si="31"/>
        <v>-164.7931829597383</v>
      </c>
      <c r="S165" s="85" t="str">
        <f>IMPRODUCT(IMDIV(IMSUM(IMPRODUCT(H165,'Small Signal'!$B$33*'Small Signal'!$B$6*'Small Signal'!$B$27*'Small Signal'!$B$7*'Small Signal'!$B$8),'Small Signal'!$B$33*'Small Signal'!$B$6*'Small Signal'!$B$27),IMSUM(IMSUM(IMPRODUCT(H165,('Small Signal'!$B$5+'Small Signal'!$B$6)*('Small Signal'!$B$32*'Small Signal'!$B$33)+'Small Signal'!$B$5*'Small Signal'!$B$33*('Small Signal'!$B$8+'Small Signal'!$B$9)+'Small Signal'!$B$6*'Small Signal'!$B$33*('Small Signal'!$B$8+'Small Signal'!$B$9)+'Small Signal'!$B$7*'Small Signal'!$B$8*('Small Signal'!$B$5+'Small Signal'!$B$6)),'Small Signal'!$B$6+'Small Signal'!$B$5),IMPRODUCT(IMPOWER(H165,2),'Small Signal'!$B$32*'Small Signal'!$B$33*'Small Signal'!$B$8*'Small Signal'!$B$7*('Small Signal'!$B$5+'Small Signal'!$B$6)+('Small Signal'!$B$5+'Small Signal'!$B$6)*('Small Signal'!$B$9*'Small Signal'!$B$8*'Small Signal'!$B$33*'Small Signal'!$B$7)))),-1)</f>
        <v>-0.132340360155707+0.147143350946592i</v>
      </c>
      <c r="T165" s="85">
        <f t="shared" si="32"/>
        <v>-14.071003537901856</v>
      </c>
      <c r="U165" s="85">
        <f t="shared" si="33"/>
        <v>131.96813417380878</v>
      </c>
      <c r="V165" s="85" t="str">
        <f t="shared" si="34"/>
        <v>0.0304675185311575-0.00888248314349188i</v>
      </c>
      <c r="W165" s="80">
        <f t="shared" si="35"/>
        <v>-29.968979983017157</v>
      </c>
      <c r="X165" s="85">
        <f t="shared" si="36"/>
        <v>-16.2534861730915</v>
      </c>
      <c r="Y165" s="85" t="str">
        <f t="shared" si="37"/>
        <v>0.0186991760782466-0.0120623701457419i</v>
      </c>
      <c r="Z165" s="80">
        <f t="shared" si="38"/>
        <v>-33.052544812227865</v>
      </c>
      <c r="AA165" s="85">
        <f t="shared" si="39"/>
        <v>-32.825048785929496</v>
      </c>
    </row>
    <row r="166" spans="6:27" ht="12.75">
      <c r="F166" s="84">
        <v>164</v>
      </c>
      <c r="G166" s="85">
        <f>10^('Small Signal'!F166/30)</f>
        <v>292864.4564625243</v>
      </c>
      <c r="H166" s="85" t="str">
        <f t="shared" si="27"/>
        <v>1840121.64984047i</v>
      </c>
      <c r="I166" s="85">
        <f>IF('Small Signal'!$B$37&gt;=1,Q166+0,N166+0)</f>
        <v>-17.124718786988236</v>
      </c>
      <c r="J166" s="85">
        <f>IF('Small Signal'!$B$37&gt;=1,R166,O166)</f>
        <v>-149.1703367474927</v>
      </c>
      <c r="K166" s="85">
        <f>IF('Small Signal'!$B$37&gt;=1,Z166+0,W166+0)</f>
        <v>-31.566580690845974</v>
      </c>
      <c r="L166" s="85">
        <f>IF('Small Signal'!$B$37&gt;=1,AA166,X166)</f>
        <v>-19.31965499801301</v>
      </c>
      <c r="M166" s="85" t="str">
        <f>IMDIV(IMSUM('Small Signal'!$B$2*'Small Signal'!$B$16*'Small Signal'!$B$38,IMPRODUCT(H166,'Small Signal'!$B$2*'Small Signal'!$B$16*'Small Signal'!$B$38*'Small Signal'!$B$13*'Small Signal'!$B$14)),IMSUM(IMPRODUCT('Small Signal'!$B$11*'Small Signal'!$B$13*('Small Signal'!$B$14+'Small Signal'!$B$16),IMPOWER(H166,2)),IMSUM(IMPRODUCT(H166,('Small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-0.119564660790385-0.0713587668094694i</v>
      </c>
      <c r="N166" s="85">
        <f t="shared" si="28"/>
        <v>-17.124718786988236</v>
      </c>
      <c r="O166" s="85">
        <f t="shared" si="29"/>
        <v>-149.1703367474927</v>
      </c>
      <c r="P166" s="85" t="str">
        <f>IMDIV(IMSUM('Small Signal'!$B$48,IMPRODUCT(H166,'Small Signal'!$B$49)),IMSUM(IMPRODUCT('Small Signal'!$B$52,IMPOWER(H166,2)),IMSUM(IMPRODUCT(H166,'Small Signal'!$B$51),'Small Signal'!$B$50)))</f>
        <v>-0.0932264365613535-0.0255633839626414i</v>
      </c>
      <c r="Q166" s="85">
        <f t="shared" si="30"/>
        <v>-20.29436724506525</v>
      </c>
      <c r="R166" s="85">
        <f t="shared" si="31"/>
        <v>-164.66597410378503</v>
      </c>
      <c r="S166" s="85" t="str">
        <f>IMPRODUCT(IMDIV(IMSUM(IMPRODUCT(H166,'Small Signal'!$B$33*'Small Signal'!$B$6*'Small Signal'!$B$27*'Small Signal'!$B$7*'Small Signal'!$B$8),'Small Signal'!$B$33*'Small Signal'!$B$6*'Small Signal'!$B$27),IMSUM(IMSUM(IMPRODUCT(H166,('Small Signal'!$B$5+'Small Signal'!$B$6)*('Small Signal'!$B$32*'Small Signal'!$B$33)+'Small Signal'!$B$5*'Small Signal'!$B$33*('Small Signal'!$B$8+'Small Signal'!$B$9)+'Small Signal'!$B$6*'Small Signal'!$B$33*('Small Signal'!$B$8+'Small Signal'!$B$9)+'Small Signal'!$B$7*'Small Signal'!$B$8*('Small Signal'!$B$5+'Small Signal'!$B$6)),'Small Signal'!$B$6+'Small Signal'!$B$5),IMPRODUCT(IMPOWER(H166,2),'Small Signal'!$B$32*'Small Signal'!$B$33*'Small Signal'!$B$8*'Small Signal'!$B$7*('Small Signal'!$B$5+'Small Signal'!$B$6)+('Small Signal'!$B$5+'Small Signal'!$B$6)*('Small Signal'!$B$9*'Small Signal'!$B$8*'Small Signal'!$B$33*'Small Signal'!$B$7)))),-1)</f>
        <v>-0.121512787261427+0.145582128739076i</v>
      </c>
      <c r="T166" s="85">
        <f t="shared" si="32"/>
        <v>-14.441861903857733</v>
      </c>
      <c r="U166" s="85">
        <f t="shared" si="33"/>
        <v>129.85068174947972</v>
      </c>
      <c r="V166" s="85" t="str">
        <f t="shared" si="34"/>
        <v>0.0249171963669246-0.00873547518927295i</v>
      </c>
      <c r="W166" s="80">
        <f t="shared" si="35"/>
        <v>-31.566580690845974</v>
      </c>
      <c r="X166" s="85">
        <f t="shared" si="36"/>
        <v>-19.31965499801301</v>
      </c>
      <c r="Y166" s="85" t="str">
        <f t="shared" si="37"/>
        <v>0.0150497760080764-0.0104658250522256i</v>
      </c>
      <c r="Z166" s="80">
        <f t="shared" si="38"/>
        <v>-34.73622914892297</v>
      </c>
      <c r="AA166" s="85">
        <f t="shared" si="39"/>
        <v>-34.81529235430515</v>
      </c>
    </row>
    <row r="167" spans="6:27" ht="12.75">
      <c r="F167" s="84">
        <v>165</v>
      </c>
      <c r="G167" s="85">
        <f>10^('Small Signal'!F167/30)</f>
        <v>316227.7660168382</v>
      </c>
      <c r="H167" s="85" t="str">
        <f t="shared" si="27"/>
        <v>1986917.65315922i</v>
      </c>
      <c r="I167" s="85">
        <f>IF('Small Signal'!$B$37&gt;=1,Q167+0,N167+0)</f>
        <v>-18.3606156187384</v>
      </c>
      <c r="J167" s="85">
        <f>IF('Small Signal'!$B$37&gt;=1,R167,O167)</f>
        <v>-149.9806632515046</v>
      </c>
      <c r="K167" s="85">
        <f>IF('Small Signal'!$B$37&gt;=1,Z167+0,W167+0)</f>
        <v>-33.198300482639446</v>
      </c>
      <c r="L167" s="85">
        <f>IF('Small Signal'!$B$37&gt;=1,AA167,X167)</f>
        <v>-22.22743028494964</v>
      </c>
      <c r="M167" s="85" t="str">
        <f>IMDIV(IMSUM('Small Signal'!$B$2*'Small Signal'!$B$16*'Small Signal'!$B$38,IMPRODUCT(H167,'Small Signal'!$B$2*'Small Signal'!$B$16*'Small Signal'!$B$38*'Small Signal'!$B$13*'Small Signal'!$B$14)),IMSUM(IMPRODUCT('Small Signal'!$B$11*'Small Signal'!$B$13*('Small Signal'!$B$14+'Small Signal'!$B$16),IMPOWER(H167,2)),IMSUM(IMPRODUCT(H167,('Small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-0.104571947342336-0.0604217070921617i</v>
      </c>
      <c r="N167" s="85">
        <f t="shared" si="28"/>
        <v>-18.3606156187384</v>
      </c>
      <c r="O167" s="85">
        <f t="shared" si="29"/>
        <v>-149.9806632515046</v>
      </c>
      <c r="P167" s="85" t="str">
        <f>IMDIV(IMSUM('Small Signal'!$B$48,IMPRODUCT(H167,'Small Signal'!$B$49)),IMSUM(IMPRODUCT('Small Signal'!$B$52,IMPOWER(H167,2)),IMSUM(IMPRODUCT(H167,'Small Signal'!$B$51),'Small Signal'!$B$50)))</f>
        <v>-0.0800804619124918-0.0222801785371618i</v>
      </c>
      <c r="Q167" s="85">
        <f t="shared" si="30"/>
        <v>-21.605667836980885</v>
      </c>
      <c r="R167" s="85">
        <f t="shared" si="31"/>
        <v>-164.4522414409975</v>
      </c>
      <c r="S167" s="85" t="str">
        <f>IMPRODUCT(IMDIV(IMSUM(IMPRODUCT(H167,'Small Signal'!$B$33*'Small Signal'!$B$6*'Small Signal'!$B$27*'Small Signal'!$B$7*'Small Signal'!$B$8),'Small Signal'!$B$33*'Small Signal'!$B$6*'Small Signal'!$B$27),IMSUM(IMSUM(IMPRODUCT(H167,('Small Signal'!$B$5+'Small Signal'!$B$6)*('Small Signal'!$B$32*'Small Signal'!$B$33)+'Small Signal'!$B$5*'Small Signal'!$B$33*('Small Signal'!$B$8+'Small Signal'!$B$9)+'Small Signal'!$B$6*'Small Signal'!$B$33*('Small Signal'!$B$8+'Small Signal'!$B$9)+'Small Signal'!$B$7*'Small Signal'!$B$8*('Small Signal'!$B$5+'Small Signal'!$B$6)),'Small Signal'!$B$6+'Small Signal'!$B$5),IMPRODUCT(IMPOWER(H167,2),'Small Signal'!$B$32*'Small Signal'!$B$33*'Small Signal'!$B$8*'Small Signal'!$B$7*('Small Signal'!$B$5+'Small Signal'!$B$6)+('Small Signal'!$B$5+'Small Signal'!$B$6)*('Small Signal'!$B$9*'Small Signal'!$B$8*'Small Signal'!$B$33*'Small Signal'!$B$7)))),-1)</f>
        <v>-0.110931015258994+0.143252692555685i</v>
      </c>
      <c r="T167" s="85">
        <f t="shared" si="32"/>
        <v>-14.837684863901053</v>
      </c>
      <c r="U167" s="85">
        <f t="shared" si="33"/>
        <v>127.75323296655498</v>
      </c>
      <c r="V167" s="85" t="str">
        <f t="shared" si="34"/>
        <v>0.0202558445160585-0.00827757171116589i</v>
      </c>
      <c r="W167" s="80">
        <f t="shared" si="35"/>
        <v>-33.198300482639446</v>
      </c>
      <c r="X167" s="85">
        <f t="shared" si="36"/>
        <v>-22.22743028494964</v>
      </c>
      <c r="Y167" s="85" t="str">
        <f t="shared" si="37"/>
        <v>0.0120751025084317-0.00900017896478842i</v>
      </c>
      <c r="Z167" s="80">
        <f t="shared" si="38"/>
        <v>-36.44335270088195</v>
      </c>
      <c r="AA167" s="85">
        <f t="shared" si="39"/>
        <v>-36.69900847444257</v>
      </c>
    </row>
    <row r="168" spans="6:27" ht="12.75">
      <c r="F168" s="84">
        <v>166</v>
      </c>
      <c r="G168" s="85">
        <f>10^('Small Signal'!F168/30)</f>
        <v>341454.88738336053</v>
      </c>
      <c r="H168" s="85" t="str">
        <f t="shared" si="27"/>
        <v>2145424.33147179i</v>
      </c>
      <c r="I168" s="85">
        <f>IF('Small Signal'!$B$37&gt;=1,Q168+0,N168+0)</f>
        <v>-19.60403075957137</v>
      </c>
      <c r="J168" s="85">
        <f>IF('Small Signal'!$B$37&gt;=1,R168,O168)</f>
        <v>-150.6510235973455</v>
      </c>
      <c r="K168" s="85">
        <f>IF('Small Signal'!$B$37&gt;=1,Z168+0,W168+0)</f>
        <v>-34.861800981118606</v>
      </c>
      <c r="L168" s="85">
        <f>IF('Small Signal'!$B$37&gt;=1,AA168,X168)</f>
        <v>-24.96307581357418</v>
      </c>
      <c r="M168" s="85" t="str">
        <f>IMDIV(IMSUM('Small Signal'!$B$2*'Small Signal'!$B$16*'Small Signal'!$B$38,IMPRODUCT(H168,'Small Signal'!$B$2*'Small Signal'!$B$16*'Small Signal'!$B$38*'Small Signal'!$B$13*'Small Signal'!$B$14)),IMSUM(IMPRODUCT('Small Signal'!$B$11*'Small Signal'!$B$13*('Small Signal'!$B$14+'Small Signal'!$B$16),IMPOWER(H168,2)),IMSUM(IMPRODUCT(H168,('Small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-0.0912306796784005-0.051298861301005i</v>
      </c>
      <c r="N168" s="85">
        <f t="shared" si="28"/>
        <v>-19.60403075957137</v>
      </c>
      <c r="O168" s="85">
        <f t="shared" si="29"/>
        <v>-150.6510235973455</v>
      </c>
      <c r="P168" s="85" t="str">
        <f>IMDIV(IMSUM('Small Signal'!$B$48,IMPRODUCT(H168,'Small Signal'!$B$49)),IMSUM(IMPRODUCT('Small Signal'!$B$52,IMPOWER(H168,2)),IMSUM(IMPRODUCT(H168,'Small Signal'!$B$51),'Small Signal'!$B$50)))</f>
        <v>-0.0687735311233429-0.019523949585718i</v>
      </c>
      <c r="Q168" s="85">
        <f t="shared" si="30"/>
        <v>-22.914955473840454</v>
      </c>
      <c r="R168" s="85">
        <f t="shared" si="31"/>
        <v>-164.15141552557097</v>
      </c>
      <c r="S168" s="85" t="str">
        <f>IMPRODUCT(IMDIV(IMSUM(IMPRODUCT(H168,'Small Signal'!$B$33*'Small Signal'!$B$6*'Small Signal'!$B$27*'Small Signal'!$B$7*'Small Signal'!$B$8),'Small Signal'!$B$33*'Small Signal'!$B$6*'Small Signal'!$B$27),IMSUM(IMSUM(IMPRODUCT(H168,('Small Signal'!$B$5+'Small Signal'!$B$6)*('Small Signal'!$B$32*'Small Signal'!$B$33)+'Small Signal'!$B$5*'Small Signal'!$B$33*('Small Signal'!$B$8+'Small Signal'!$B$9)+'Small Signal'!$B$6*'Small Signal'!$B$33*('Small Signal'!$B$8+'Small Signal'!$B$9)+'Small Signal'!$B$7*'Small Signal'!$B$8*('Small Signal'!$B$5+'Small Signal'!$B$6)),'Small Signal'!$B$6+'Small Signal'!$B$5),IMPRODUCT(IMPOWER(H168,2),'Small Signal'!$B$32*'Small Signal'!$B$33*'Small Signal'!$B$8*'Small Signal'!$B$7*('Small Signal'!$B$5+'Small Signal'!$B$6)+('Small Signal'!$B$5+'Small Signal'!$B$6)*('Small Signal'!$B$9*'Small Signal'!$B$8*'Small Signal'!$B$33*'Small Signal'!$B$7)))),-1)</f>
        <v>-0.100706119218431+0.14020962247454i</v>
      </c>
      <c r="T168" s="85">
        <f t="shared" si="32"/>
        <v>-15.257770221547243</v>
      </c>
      <c r="U168" s="85">
        <f t="shared" si="33"/>
        <v>125.6879477837713</v>
      </c>
      <c r="V168" s="85" t="str">
        <f t="shared" si="34"/>
        <v>0.0163800816804592-0.00762530991385546i</v>
      </c>
      <c r="W168" s="80">
        <f t="shared" si="35"/>
        <v>-34.861800981118606</v>
      </c>
      <c r="X168" s="85">
        <f t="shared" si="36"/>
        <v>-24.96307581357418</v>
      </c>
      <c r="Y168" s="85" t="str">
        <f t="shared" si="37"/>
        <v>0.00966336102500532-0.00767652964045098i</v>
      </c>
      <c r="Z168" s="80">
        <f t="shared" si="38"/>
        <v>-38.1727256953877</v>
      </c>
      <c r="AA168" s="85">
        <f t="shared" si="39"/>
        <v>-38.463467741799676</v>
      </c>
    </row>
    <row r="169" spans="6:27" ht="12.75">
      <c r="F169" s="84">
        <v>167</v>
      </c>
      <c r="G169" s="85">
        <f>10^('Small Signal'!F169/30)</f>
        <v>368694.50645195803</v>
      </c>
      <c r="H169" s="85" t="str">
        <f t="shared" si="27"/>
        <v>2316575.90577677i</v>
      </c>
      <c r="I169" s="85">
        <f>IF('Small Signal'!$B$37&gt;=1,Q169+0,N169+0)</f>
        <v>-20.853370364585736</v>
      </c>
      <c r="J169" s="85">
        <f>IF('Small Signal'!$B$37&gt;=1,R169,O169)</f>
        <v>-151.18038256890642</v>
      </c>
      <c r="K169" s="85">
        <f>IF('Small Signal'!$B$37&gt;=1,Z169+0,W169+0)</f>
        <v>-36.55454387869141</v>
      </c>
      <c r="L169" s="85">
        <f>IF('Small Signal'!$B$37&gt;=1,AA169,X169)</f>
        <v>-27.514431757590554</v>
      </c>
      <c r="M169" s="85" t="str">
        <f>IMDIV(IMSUM('Small Signal'!$B$2*'Small Signal'!$B$16*'Small Signal'!$B$38,IMPRODUCT(H169,'Small Signal'!$B$2*'Small Signal'!$B$16*'Small Signal'!$B$38*'Small Signal'!$B$13*'Small Signal'!$B$14)),IMSUM(IMPRODUCT('Small Signal'!$B$11*'Small Signal'!$B$13*('Small Signal'!$B$14+'Small Signal'!$B$16),IMPOWER(H169,2)),IMSUM(IMPRODUCT(H169,('Small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-0.0794156004266477-0.0436945114116599i</v>
      </c>
      <c r="N169" s="85">
        <f t="shared" si="28"/>
        <v>-20.853370364585736</v>
      </c>
      <c r="O169" s="85">
        <f t="shared" si="29"/>
        <v>-151.18038256890642</v>
      </c>
      <c r="P169" s="85" t="str">
        <f>IMDIV(IMSUM('Small Signal'!$B$48,IMPRODUCT(H169,'Small Signal'!$B$49)),IMSUM(IMPRODUCT('Small Signal'!$B$52,IMPOWER(H169,2)),IMSUM(IMPRODUCT(H169,'Small Signal'!$B$51),'Small Signal'!$B$50)))</f>
        <v>-0.0590522497914919-0.0171980321573346i</v>
      </c>
      <c r="Q169" s="85">
        <f t="shared" si="30"/>
        <v>-24.22170487674714</v>
      </c>
      <c r="R169" s="85">
        <f t="shared" si="31"/>
        <v>-163.76263612221584</v>
      </c>
      <c r="S169" s="85" t="str">
        <f>IMPRODUCT(IMDIV(IMSUM(IMPRODUCT(H169,'Small Signal'!$B$33*'Small Signal'!$B$6*'Small Signal'!$B$27*'Small Signal'!$B$7*'Small Signal'!$B$8),'Small Signal'!$B$33*'Small Signal'!$B$6*'Small Signal'!$B$27),IMSUM(IMSUM(IMPRODUCT(H169,('Small Signal'!$B$5+'Small Signal'!$B$6)*('Small Signal'!$B$32*'Small Signal'!$B$33)+'Small Signal'!$B$5*'Small Signal'!$B$33*('Small Signal'!$B$8+'Small Signal'!$B$9)+'Small Signal'!$B$6*'Small Signal'!$B$33*('Small Signal'!$B$8+'Small Signal'!$B$9)+'Small Signal'!$B$7*'Small Signal'!$B$8*('Small Signal'!$B$5+'Small Signal'!$B$6)),'Small Signal'!$B$6+'Small Signal'!$B$5),IMPRODUCT(IMPOWER(H169,2),'Small Signal'!$B$32*'Small Signal'!$B$33*'Small Signal'!$B$8*'Small Signal'!$B$7*('Small Signal'!$B$5+'Small Signal'!$B$6)+('Small Signal'!$B$5+'Small Signal'!$B$6)*('Small Signal'!$B$9*'Small Signal'!$B$8*'Small Signal'!$B$33*'Small Signal'!$B$7)))),-1)</f>
        <v>-0.0909337950547754+0.136525166541665i</v>
      </c>
      <c r="T169" s="85">
        <f t="shared" si="32"/>
        <v>-15.701173514105694</v>
      </c>
      <c r="U169" s="85">
        <f t="shared" si="33"/>
        <v>123.6659508113158</v>
      </c>
      <c r="V169" s="85" t="str">
        <f t="shared" si="34"/>
        <v>0.0131869623807823-0.00686892032852797i</v>
      </c>
      <c r="W169" s="80">
        <f t="shared" si="35"/>
        <v>-36.55454387869141</v>
      </c>
      <c r="X169" s="85">
        <f t="shared" si="36"/>
        <v>-27.514431757590554</v>
      </c>
      <c r="Y169" s="85" t="str">
        <f t="shared" si="37"/>
        <v>0.00771780938453194-0.00649823590590293i</v>
      </c>
      <c r="Z169" s="80">
        <f t="shared" si="38"/>
        <v>-39.922878390852844</v>
      </c>
      <c r="AA169" s="85">
        <f t="shared" si="39"/>
        <v>-40.09668531090005</v>
      </c>
    </row>
    <row r="170" spans="6:27" ht="12.75">
      <c r="F170" s="84">
        <v>168</v>
      </c>
      <c r="G170" s="85">
        <f>10^('Small Signal'!F170/30)</f>
        <v>398107.17055349716</v>
      </c>
      <c r="H170" s="85" t="str">
        <f t="shared" si="27"/>
        <v>2501381.12470457i</v>
      </c>
      <c r="I170" s="85">
        <f>IF('Small Signal'!$B$37&gt;=1,Q170+0,N170+0)</f>
        <v>-22.107080029919373</v>
      </c>
      <c r="J170" s="85">
        <f>IF('Small Signal'!$B$37&gt;=1,R170,O170)</f>
        <v>-151.56812822093596</v>
      </c>
      <c r="K170" s="85">
        <f>IF('Small Signal'!$B$37&gt;=1,Z170+0,W170+0)</f>
        <v>-38.27382771461199</v>
      </c>
      <c r="L170" s="85">
        <f>IF('Small Signal'!$B$37&gt;=1,AA170,X170)</f>
        <v>-29.87102994870448</v>
      </c>
      <c r="M170" s="85" t="str">
        <f>IMDIV(IMSUM('Small Signal'!$B$2*'Small Signal'!$B$16*'Small Signal'!$B$38,IMPRODUCT(H170,'Small Signal'!$B$2*'Small Signal'!$B$16*'Small Signal'!$B$38*'Small Signal'!$B$13*'Small Signal'!$B$14)),IMSUM(IMPRODUCT('Small Signal'!$B$11*'Small Signal'!$B$13*('Small Signal'!$B$14+'Small Signal'!$B$16),IMPOWER(H170,2)),IMSUM(IMPRODUCT(H170,('Small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-0.0689960916110571-0.0373556634181418i</v>
      </c>
      <c r="N170" s="85">
        <f t="shared" si="28"/>
        <v>-22.107080029919373</v>
      </c>
      <c r="O170" s="85">
        <f t="shared" si="29"/>
        <v>-151.56812822093596</v>
      </c>
      <c r="P170" s="85" t="str">
        <f>IMDIV(IMSUM('Small Signal'!$B$48,IMPRODUCT(H170,'Small Signal'!$B$49)),IMSUM(IMPRODUCT('Small Signal'!$B$52,IMPOWER(H170,2)),IMSUM(IMPRODUCT(H170,'Small Signal'!$B$51),'Small Signal'!$B$50)))</f>
        <v>-0.0506971103546859-0.0152245352335188i</v>
      </c>
      <c r="Q170" s="85">
        <f t="shared" si="30"/>
        <v>-25.525344309005234</v>
      </c>
      <c r="R170" s="85">
        <f t="shared" si="31"/>
        <v>-163.28478751657804</v>
      </c>
      <c r="S170" s="85" t="str">
        <f>IMPRODUCT(IMDIV(IMSUM(IMPRODUCT(H170,'Small Signal'!$B$33*'Small Signal'!$B$6*'Small Signal'!$B$27*'Small Signal'!$B$7*'Small Signal'!$B$8),'Small Signal'!$B$33*'Small Signal'!$B$6*'Small Signal'!$B$27),IMSUM(IMSUM(IMPRODUCT(H170,('Small Signal'!$B$5+'Small Signal'!$B$6)*('Small Signal'!$B$32*'Small Signal'!$B$33)+'Small Signal'!$B$5*'Small Signal'!$B$33*('Small Signal'!$B$8+'Small Signal'!$B$9)+'Small Signal'!$B$6*'Small Signal'!$B$33*('Small Signal'!$B$8+'Small Signal'!$B$9)+'Small Signal'!$B$7*'Small Signal'!$B$8*('Small Signal'!$B$5+'Small Signal'!$B$6)),'Small Signal'!$B$6+'Small Signal'!$B$5),IMPRODUCT(IMPOWER(H170,2),'Small Signal'!$B$32*'Small Signal'!$B$33*'Small Signal'!$B$8*'Small Signal'!$B$7*('Small Signal'!$B$5+'Small Signal'!$B$6)+('Small Signal'!$B$5+'Small Signal'!$B$6)*('Small Signal'!$B$9*'Small Signal'!$B$8*'Small Signal'!$B$33*'Small Signal'!$B$7)))),-1)</f>
        <v>-0.0816913912310852+0.132284619130878i</v>
      </c>
      <c r="T170" s="85">
        <f t="shared" si="32"/>
        <v>-16.16674768469261</v>
      </c>
      <c r="U170" s="85">
        <f t="shared" si="33"/>
        <v>121.69709827223156</v>
      </c>
      <c r="V170" s="85" t="str">
        <f t="shared" si="34"/>
        <v>0.0105779664208648-0.0060754855852997i</v>
      </c>
      <c r="W170" s="80">
        <f t="shared" si="35"/>
        <v>-38.27382771461199</v>
      </c>
      <c r="X170" s="85">
        <f t="shared" si="36"/>
        <v>-29.87102994870448</v>
      </c>
      <c r="Y170" s="85" t="str">
        <f t="shared" si="37"/>
        <v>0.00615548932108081-0.00546273447023289i</v>
      </c>
      <c r="Z170" s="80">
        <f t="shared" si="38"/>
        <v>-41.692091993697844</v>
      </c>
      <c r="AA170" s="85">
        <f t="shared" si="39"/>
        <v>-41.5876892443465</v>
      </c>
    </row>
    <row r="171" spans="6:27" ht="12.75">
      <c r="F171" s="84">
        <v>169</v>
      </c>
      <c r="G171" s="85">
        <f>10^('Small Signal'!F171/30)</f>
        <v>429866.2347082285</v>
      </c>
      <c r="H171" s="85" t="str">
        <f t="shared" si="27"/>
        <v>2700929.20997135i</v>
      </c>
      <c r="I171" s="85">
        <f>IF('Small Signal'!$B$37&gt;=1,Q171+0,N171+0)</f>
        <v>-23.363637988021463</v>
      </c>
      <c r="J171" s="85">
        <f>IF('Small Signal'!$B$37&gt;=1,R171,O171)</f>
        <v>-151.81397689999588</v>
      </c>
      <c r="K171" s="85">
        <f>IF('Small Signal'!$B$37&gt;=1,Z171+0,W171+0)</f>
        <v>-40.016825938061025</v>
      </c>
      <c r="L171" s="85">
        <f>IF('Small Signal'!$B$37&gt;=1,AA171,X171)</f>
        <v>-32.024157685962045</v>
      </c>
      <c r="M171" s="85" t="str">
        <f>IMDIV(IMSUM('Small Signal'!$B$2*'Small Signal'!$B$16*'Small Signal'!$B$38,IMPRODUCT(H171,'Small Signal'!$B$2*'Small Signal'!$B$16*'Small Signal'!$B$38*'Small Signal'!$B$13*'Small Signal'!$B$14)),IMSUM(IMPRODUCT('Small Signal'!$B$11*'Small Signal'!$B$13*('Small Signal'!$B$14+'Small Signal'!$B$16),IMPOWER(H171,2)),IMSUM(IMPRODUCT(H171,('Small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-0.0598412093022075-0.0320677825628928i</v>
      </c>
      <c r="N171" s="85">
        <f t="shared" si="28"/>
        <v>-23.363637988021463</v>
      </c>
      <c r="O171" s="85">
        <f t="shared" si="29"/>
        <v>-151.81397689999588</v>
      </c>
      <c r="P171" s="85" t="str">
        <f>IMDIV(IMSUM('Small Signal'!$B$48,IMPRODUCT(H171,'Small Signal'!$B$49)),IMSUM(IMPRODUCT('Small Signal'!$B$52,IMPOWER(H171,2)),IMSUM(IMPRODUCT(H171,'Small Signal'!$B$51),'Small Signal'!$B$50)))</f>
        <v>-0.0435182351791549-0.0135406384503348i</v>
      </c>
      <c r="Q171" s="85">
        <f t="shared" si="30"/>
        <v>-26.82524679492974</v>
      </c>
      <c r="R171" s="85">
        <f t="shared" si="31"/>
        <v>-162.71654264775927</v>
      </c>
      <c r="S171" s="85" t="str">
        <f>IMPRODUCT(IMDIV(IMSUM(IMPRODUCT(H171,'Small Signal'!$B$33*'Small Signal'!$B$6*'Small Signal'!$B$27*'Small Signal'!$B$7*'Small Signal'!$B$8),'Small Signal'!$B$33*'Small Signal'!$B$6*'Small Signal'!$B$27),IMSUM(IMSUM(IMPRODUCT(H171,('Small Signal'!$B$5+'Small Signal'!$B$6)*('Small Signal'!$B$32*'Small Signal'!$B$33)+'Small Signal'!$B$5*'Small Signal'!$B$33*('Small Signal'!$B$8+'Small Signal'!$B$9)+'Small Signal'!$B$6*'Small Signal'!$B$33*('Small Signal'!$B$8+'Small Signal'!$B$9)+'Small Signal'!$B$7*'Small Signal'!$B$8*('Small Signal'!$B$5+'Small Signal'!$B$6)),'Small Signal'!$B$6+'Small Signal'!$B$5),IMPRODUCT(IMPOWER(H171,2),'Small Signal'!$B$32*'Small Signal'!$B$33*'Small Signal'!$B$8*'Small Signal'!$B$7*('Small Signal'!$B$5+'Small Signal'!$B$6)+('Small Signal'!$B$5+'Small Signal'!$B$6)*('Small Signal'!$B$9*'Small Signal'!$B$8*'Small Signal'!$B$33*'Small Signal'!$B$7)))),-1)</f>
        <v>-0.0730364178285741+0.127581335787287i</v>
      </c>
      <c r="T171" s="85">
        <f t="shared" si="32"/>
        <v>-16.65318795003957</v>
      </c>
      <c r="U171" s="85">
        <f t="shared" si="33"/>
        <v>119.78981921403383</v>
      </c>
      <c r="V171" s="85" t="str">
        <f t="shared" si="34"/>
        <v>0.00846183810107332-0.00529250545180296i</v>
      </c>
      <c r="W171" s="80">
        <f t="shared" si="35"/>
        <v>-40.016825938061025</v>
      </c>
      <c r="X171" s="85">
        <f t="shared" si="36"/>
        <v>-32.024157685962045</v>
      </c>
      <c r="Y171" s="85" t="str">
        <f t="shared" si="37"/>
        <v>0.00490594874861332-0.00456315484773758i</v>
      </c>
      <c r="Z171" s="80">
        <f t="shared" si="38"/>
        <v>-43.47843474496932</v>
      </c>
      <c r="AA171" s="85">
        <f t="shared" si="39"/>
        <v>-42.92672343372545</v>
      </c>
    </row>
    <row r="172" spans="6:27" ht="12.75">
      <c r="F172" s="84">
        <v>170</v>
      </c>
      <c r="G172" s="85">
        <f>10^('Small Signal'!F172/30)</f>
        <v>464158.88336127886</v>
      </c>
      <c r="H172" s="85" t="str">
        <f t="shared" si="27"/>
        <v>2916396.27613247i</v>
      </c>
      <c r="I172" s="85">
        <f>IF('Small Signal'!$B$37&gt;=1,Q172+0,N172+0)</f>
        <v>-24.621545429325703</v>
      </c>
      <c r="J172" s="85">
        <f>IF('Small Signal'!$B$37&gt;=1,R172,O172)</f>
        <v>-151.9179046018392</v>
      </c>
      <c r="K172" s="85">
        <f>IF('Small Signal'!$B$37&gt;=1,Z172+0,W172+0)</f>
        <v>-41.780623888387325</v>
      </c>
      <c r="L172" s="85">
        <f>IF('Small Signal'!$B$37&gt;=1,AA172,X172)</f>
        <v>-33.966871795237964</v>
      </c>
      <c r="M172" s="85" t="str">
        <f>IMDIV(IMSUM('Small Signal'!$B$2*'Small Signal'!$B$16*'Small Signal'!$B$38,IMPRODUCT(H172,'Small Signal'!$B$2*'Small Signal'!$B$16*'Small Signal'!$B$38*'Small Signal'!$B$13*'Small Signal'!$B$14)),IMSUM(IMPRODUCT('Small Signal'!$B$11*'Small Signal'!$B$13*('Small Signal'!$B$14+'Small Signal'!$B$16),IMPOWER(H172,2)),IMSUM(IMPRODUCT(H172,('Small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-0.0518234373139383-0.0276503303571453i</v>
      </c>
      <c r="N172" s="85">
        <f t="shared" si="28"/>
        <v>-24.621545429325703</v>
      </c>
      <c r="O172" s="85">
        <f t="shared" si="29"/>
        <v>-151.9179046018392</v>
      </c>
      <c r="P172" s="85" t="str">
        <f>IMDIV(IMSUM('Small Signal'!$B$48,IMPRODUCT(H172,'Small Signal'!$B$49)),IMSUM(IMPRODUCT('Small Signal'!$B$52,IMPOWER(H172,2)),IMSUM(IMPRODUCT(H172,'Small Signal'!$B$51),'Small Signal'!$B$50)))</f>
        <v>-0.0373515792373997-0.0120956148521848i</v>
      </c>
      <c r="Q172" s="85">
        <f t="shared" si="30"/>
        <v>-28.120721440868365</v>
      </c>
      <c r="R172" s="85">
        <f t="shared" si="31"/>
        <v>-162.05641754592565</v>
      </c>
      <c r="S172" s="85" t="str">
        <f>IMPRODUCT(IMDIV(IMSUM(IMPRODUCT(H172,'Small Signal'!$B$33*'Small Signal'!$B$6*'Small Signal'!$B$27*'Small Signal'!$B$7*'Small Signal'!$B$8),'Small Signal'!$B$33*'Small Signal'!$B$6*'Small Signal'!$B$27),IMSUM(IMSUM(IMPRODUCT(H172,('Small Signal'!$B$5+'Small Signal'!$B$6)*('Small Signal'!$B$32*'Small Signal'!$B$33)+'Small Signal'!$B$5*'Small Signal'!$B$33*('Small Signal'!$B$8+'Small Signal'!$B$9)+'Small Signal'!$B$6*'Small Signal'!$B$33*('Small Signal'!$B$8+'Small Signal'!$B$9)+'Small Signal'!$B$7*'Small Signal'!$B$8*('Small Signal'!$B$5+'Small Signal'!$B$6)),'Small Signal'!$B$6+'Small Signal'!$B$5),IMPRODUCT(IMPOWER(H172,2),'Small Signal'!$B$32*'Small Signal'!$B$33*'Small Signal'!$B$8*'Small Signal'!$B$7*('Small Signal'!$B$5+'Small Signal'!$B$6)+('Small Signal'!$B$5+'Small Signal'!$B$6)*('Small Signal'!$B$9*'Small Signal'!$B$8*'Small Signal'!$B$33*'Small Signal'!$B$7)))),-1)</f>
        <v>-0.0650064706712237+0.122511865352333i</v>
      </c>
      <c r="T172" s="85">
        <f t="shared" si="32"/>
        <v>-17.159078459061618</v>
      </c>
      <c r="U172" s="85">
        <f t="shared" si="33"/>
        <v>117.95103280660126</v>
      </c>
      <c r="V172" s="85" t="str">
        <f t="shared" si="34"/>
        <v>0.00675635230749264-0.00455153558488887i</v>
      </c>
      <c r="W172" s="80">
        <f t="shared" si="35"/>
        <v>-41.780623888387325</v>
      </c>
      <c r="X172" s="85">
        <f t="shared" si="36"/>
        <v>-33.966871795237964</v>
      </c>
      <c r="Y172" s="85" t="str">
        <f t="shared" si="37"/>
        <v>0.00390995067834445-0.00378971841409034i</v>
      </c>
      <c r="Z172" s="80">
        <f t="shared" si="38"/>
        <v>-45.27979989992999</v>
      </c>
      <c r="AA172" s="85">
        <f t="shared" si="39"/>
        <v>-44.10538473932442</v>
      </c>
    </row>
    <row r="173" spans="6:27" ht="12.75">
      <c r="F173" s="84">
        <v>171</v>
      </c>
      <c r="G173" s="85">
        <f>10^('Small Signal'!F173/30)</f>
        <v>501187.23362727347</v>
      </c>
      <c r="H173" s="85" t="str">
        <f t="shared" si="27"/>
        <v>3149052.26247287i</v>
      </c>
      <c r="I173" s="85">
        <f>IF('Small Signal'!$B$37&gt;=1,Q173+0,N173+0)</f>
        <v>-25.87931496647673</v>
      </c>
      <c r="J173" s="85">
        <f>IF('Small Signal'!$B$37&gt;=1,R173,O173)</f>
        <v>-151.8801068766023</v>
      </c>
      <c r="K173" s="85">
        <f>IF('Small Signal'!$B$37&gt;=1,Z173+0,W173+0)</f>
        <v>-43.56225263220483</v>
      </c>
      <c r="L173" s="85">
        <f>IF('Small Signal'!$B$37&gt;=1,AA173,X173)</f>
        <v>-35.69397009018576</v>
      </c>
      <c r="M173" s="85" t="str">
        <f>IMDIV(IMSUM('Small Signal'!$B$2*'Small Signal'!$B$16*'Small Signal'!$B$38,IMPRODUCT(H173,'Small Signal'!$B$2*'Small Signal'!$B$16*'Small Signal'!$B$38*'Small Signal'!$B$13*'Small Signal'!$B$14)),IMSUM(IMPRODUCT('Small Signal'!$B$11*'Small Signal'!$B$13*('Small Signal'!$B$14+'Small Signal'!$B$16),IMPOWER(H173,2)),IMSUM(IMPRODUCT(H173,('Small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-0.0448213315371028-0.0239523646909929i</v>
      </c>
      <c r="N173" s="85">
        <f t="shared" si="28"/>
        <v>-25.87931496647673</v>
      </c>
      <c r="O173" s="85">
        <f t="shared" si="29"/>
        <v>-151.8801068766023</v>
      </c>
      <c r="P173" s="85" t="str">
        <f>IMDIV(IMSUM('Small Signal'!$B$48,IMPRODUCT(H173,'Small Signal'!$B$49)),IMSUM(IMPRODUCT('Small Signal'!$B$52,IMPOWER(H173,2)),IMSUM(IMPRODUCT(H173,'Small Signal'!$B$51),'Small Signal'!$B$50)))</f>
        <v>-0.0320555644296504-0.0108484404867479i</v>
      </c>
      <c r="Q173" s="85">
        <f t="shared" si="30"/>
        <v>-29.41100506558055</v>
      </c>
      <c r="R173" s="85">
        <f t="shared" si="31"/>
        <v>-161.30283765695336</v>
      </c>
      <c r="S173" s="85" t="str">
        <f>IMPRODUCT(IMDIV(IMSUM(IMPRODUCT(H173,'Small Signal'!$B$33*'Small Signal'!$B$6*'Small Signal'!$B$27*'Small Signal'!$B$7*'Small Signal'!$B$8),'Small Signal'!$B$33*'Small Signal'!$B$6*'Small Signal'!$B$27),IMSUM(IMSUM(IMPRODUCT(H173,('Small Signal'!$B$5+'Small Signal'!$B$6)*('Small Signal'!$B$32*'Small Signal'!$B$33)+'Small Signal'!$B$5*'Small Signal'!$B$33*('Small Signal'!$B$8+'Small Signal'!$B$9)+'Small Signal'!$B$6*'Small Signal'!$B$33*('Small Signal'!$B$8+'Small Signal'!$B$9)+'Small Signal'!$B$7*'Small Signal'!$B$8*('Small Signal'!$B$5+'Small Signal'!$B$6)),'Small Signal'!$B$6+'Small Signal'!$B$5),IMPRODUCT(IMPOWER(H173,2),'Small Signal'!$B$32*'Small Signal'!$B$33*'Small Signal'!$B$8*'Small Signal'!$B$7*('Small Signal'!$B$5+'Small Signal'!$B$6)+('Small Signal'!$B$5+'Small Signal'!$B$6)*('Small Signal'!$B$9*'Small Signal'!$B$8*'Small Signal'!$B$33*'Small Signal'!$B$7)))),-1)</f>
        <v>-0.0576203594441234+0.117171590601419i</v>
      </c>
      <c r="T173" s="85">
        <f t="shared" si="32"/>
        <v>-17.682937665728097</v>
      </c>
      <c r="U173" s="85">
        <f t="shared" si="33"/>
        <v>116.18613678641655</v>
      </c>
      <c r="V173" s="85" t="str">
        <f t="shared" si="34"/>
        <v>0.00538915790344099-0.00387164284604414i</v>
      </c>
      <c r="W173" s="80">
        <f t="shared" si="35"/>
        <v>-43.56225263220483</v>
      </c>
      <c r="X173" s="85">
        <f t="shared" si="36"/>
        <v>-35.69397009018576</v>
      </c>
      <c r="Y173" s="85" t="str">
        <f t="shared" si="37"/>
        <v>0.0031181821719978-0.00313091043159381i</v>
      </c>
      <c r="Z173" s="80">
        <f t="shared" si="38"/>
        <v>-47.093942731308644</v>
      </c>
      <c r="AA173" s="85">
        <f t="shared" si="39"/>
        <v>-45.11670087053676</v>
      </c>
    </row>
    <row r="174" spans="6:27" ht="12.75">
      <c r="F174" s="84">
        <v>172</v>
      </c>
      <c r="G174" s="85">
        <f>10^('Small Signal'!F174/30)</f>
        <v>541169.5265464642</v>
      </c>
      <c r="H174" s="85" t="str">
        <f t="shared" si="27"/>
        <v>3400268.41789008i</v>
      </c>
      <c r="I174" s="85">
        <f>IF('Small Signal'!$B$37&gt;=1,Q174+0,N174+0)</f>
        <v>-27.135458230295207</v>
      </c>
      <c r="J174" s="85">
        <f>IF('Small Signal'!$B$37&gt;=1,R174,O174)</f>
        <v>-151.70098845685627</v>
      </c>
      <c r="K174" s="85">
        <f>IF('Small Signal'!$B$37&gt;=1,Z174+0,W174+0)</f>
        <v>-45.358718180384315</v>
      </c>
      <c r="L174" s="85">
        <f>IF('Small Signal'!$B$37&gt;=1,AA174,X174)</f>
        <v>-37.201931421362175</v>
      </c>
      <c r="M174" s="85" t="str">
        <f>IMDIV(IMSUM('Small Signal'!$B$2*'Small Signal'!$B$16*'Small Signal'!$B$38,IMPRODUCT(H174,'Small Signal'!$B$2*'Small Signal'!$B$16*'Small Signal'!$B$38*'Small Signal'!$B$13*'Small Signal'!$B$14)),IMSUM(IMPRODUCT('Small Signal'!$B$11*'Small Signal'!$B$13*('Small Signal'!$B$14+'Small Signal'!$B$16),IMPOWER(H174,2)),IMSUM(IMPRODUCT(H174,('Small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-0.0387212450031369-0.0208483806383771i</v>
      </c>
      <c r="N174" s="85">
        <f t="shared" si="28"/>
        <v>-27.135458230295207</v>
      </c>
      <c r="O174" s="85">
        <f t="shared" si="29"/>
        <v>-151.70098845685627</v>
      </c>
      <c r="P174" s="85" t="str">
        <f>IMDIV(IMSUM('Small Signal'!$B$48,IMPRODUCT(H174,'Small Signal'!$B$49)),IMSUM(IMPRODUCT('Small Signal'!$B$52,IMPOWER(H174,2)),IMSUM(IMPRODUCT(H174,'Small Signal'!$B$51),'Small Signal'!$B$50)))</f>
        <v>-0.0275081121111678-0.00976587719352102i</v>
      </c>
      <c r="Q174" s="85">
        <f t="shared" si="30"/>
        <v>-30.695254442630517</v>
      </c>
      <c r="R174" s="85">
        <f t="shared" si="31"/>
        <v>-160.45421762231223</v>
      </c>
      <c r="S174" s="85" t="str">
        <f>IMPRODUCT(IMDIV(IMSUM(IMPRODUCT(H174,'Small Signal'!$B$33*'Small Signal'!$B$6*'Small Signal'!$B$27*'Small Signal'!$B$7*'Small Signal'!$B$8),'Small Signal'!$B$33*'Small Signal'!$B$6*'Small Signal'!$B$27),IMSUM(IMSUM(IMPRODUCT(H174,('Small Signal'!$B$5+'Small Signal'!$B$6)*('Small Signal'!$B$32*'Small Signal'!$B$33)+'Small Signal'!$B$5*'Small Signal'!$B$33*('Small Signal'!$B$8+'Small Signal'!$B$9)+'Small Signal'!$B$6*'Small Signal'!$B$33*('Small Signal'!$B$8+'Small Signal'!$B$9)+'Small Signal'!$B$7*'Small Signal'!$B$8*('Small Signal'!$B$5+'Small Signal'!$B$6)),'Small Signal'!$B$6+'Small Signal'!$B$5),IMPRODUCT(IMPOWER(H174,2),'Small Signal'!$B$32*'Small Signal'!$B$33*'Small Signal'!$B$8*'Small Signal'!$B$7*('Small Signal'!$B$5+'Small Signal'!$B$6)+('Small Signal'!$B$5+'Small Signal'!$B$6)*('Small Signal'!$B$9*'Small Signal'!$B$8*'Small Signal'!$B$33*'Small Signal'!$B$7)))),-1)</f>
        <v>-0.0508801375796911+0.111651141694671i</v>
      </c>
      <c r="T174" s="85">
        <f t="shared" si="32"/>
        <v>-18.223259950089112</v>
      </c>
      <c r="U174" s="85">
        <f t="shared" si="33"/>
        <v>114.49905703549403</v>
      </c>
      <c r="V174" s="85" t="str">
        <f t="shared" si="34"/>
        <v>0.00429788777377641-0.00326250273724491i</v>
      </c>
      <c r="W174" s="80">
        <f t="shared" si="35"/>
        <v>-45.358718180384315</v>
      </c>
      <c r="X174" s="85">
        <f t="shared" si="36"/>
        <v>-37.201931421362175</v>
      </c>
      <c r="Y174" s="85" t="str">
        <f t="shared" si="37"/>
        <v>0.00248998786708036-0.00257442294788417i</v>
      </c>
      <c r="Z174" s="80">
        <f t="shared" si="38"/>
        <v>-48.91851439271963</v>
      </c>
      <c r="AA174" s="85">
        <f t="shared" si="39"/>
        <v>-45.95516058681807</v>
      </c>
    </row>
    <row r="175" spans="6:27" ht="12.75">
      <c r="F175" s="84">
        <v>173</v>
      </c>
      <c r="G175" s="85">
        <f>10^('Small Signal'!F175/30)</f>
        <v>584341.4133735183</v>
      </c>
      <c r="H175" s="85" t="str">
        <f t="shared" si="27"/>
        <v>3671525.38288504i</v>
      </c>
      <c r="I175" s="85">
        <f>IF('Small Signal'!$B$37&gt;=1,Q175+0,N175+0)</f>
        <v>-28.38847357014508</v>
      </c>
      <c r="J175" s="85">
        <f>IF('Small Signal'!$B$37&gt;=1,R175,O175)</f>
        <v>-151.3811829335663</v>
      </c>
      <c r="K175" s="85">
        <f>IF('Small Signal'!$B$37&gt;=1,Z175+0,W175+0)</f>
        <v>-47.167025343462626</v>
      </c>
      <c r="L175" s="85">
        <f>IF('Small Signal'!$B$37&gt;=1,AA175,X175)</f>
        <v>-38.48883767321649</v>
      </c>
      <c r="M175" s="85" t="str">
        <f>IMDIV(IMSUM('Small Signal'!$B$2*'Small Signal'!$B$16*'Small Signal'!$B$38,IMPRODUCT(H175,'Small Signal'!$B$2*'Small Signal'!$B$16*'Small Signal'!$B$38*'Small Signal'!$B$13*'Small Signal'!$B$14)),IMSUM(IMPRODUCT('Small Signal'!$B$11*'Small Signal'!$B$13*('Small Signal'!$B$14+'Small Signal'!$B$16),IMPOWER(H175,2)),IMSUM(IMPRODUCT(H175,('Small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-0.0334183205901174-0.01823450018064i</v>
      </c>
      <c r="N175" s="85">
        <f t="shared" si="28"/>
        <v>-28.38847357014508</v>
      </c>
      <c r="O175" s="85">
        <f t="shared" si="29"/>
        <v>-151.3811829335663</v>
      </c>
      <c r="P175" s="85" t="str">
        <f>IMDIV(IMSUM('Small Signal'!$B$48,IMPRODUCT(H175,'Small Signal'!$B$49)),IMSUM(IMPRODUCT('Small Signal'!$B$52,IMPOWER(H175,2)),IMSUM(IMPRODUCT(H175,'Small Signal'!$B$51),'Small Signal'!$B$50)))</f>
        <v>-0.0236040380233132-0.00882093617774536i</v>
      </c>
      <c r="Q175" s="85">
        <f t="shared" si="30"/>
        <v>-31.972539568654035</v>
      </c>
      <c r="R175" s="85">
        <f t="shared" si="31"/>
        <v>-159.5090559045678</v>
      </c>
      <c r="S175" s="85" t="str">
        <f>IMPRODUCT(IMDIV(IMSUM(IMPRODUCT(H175,'Small Signal'!$B$33*'Small Signal'!$B$6*'Small Signal'!$B$27*'Small Signal'!$B$7*'Small Signal'!$B$8),'Small Signal'!$B$33*'Small Signal'!$B$6*'Small Signal'!$B$27),IMSUM(IMSUM(IMPRODUCT(H175,('Small Signal'!$B$5+'Small Signal'!$B$6)*('Small Signal'!$B$32*'Small Signal'!$B$33)+'Small Signal'!$B$5*'Small Signal'!$B$33*('Small Signal'!$B$8+'Small Signal'!$B$9)+'Small Signal'!$B$6*'Small Signal'!$B$33*('Small Signal'!$B$8+'Small Signal'!$B$9)+'Small Signal'!$B$7*'Small Signal'!$B$8*('Small Signal'!$B$5+'Small Signal'!$B$6)),'Small Signal'!$B$6+'Small Signal'!$B$5),IMPRODUCT(IMPOWER(H175,2),'Small Signal'!$B$32*'Small Signal'!$B$33*'Small Signal'!$B$8*'Small Signal'!$B$7*('Small Signal'!$B$5+'Small Signal'!$B$6)+('Small Signal'!$B$5+'Small Signal'!$B$6)*('Small Signal'!$B$9*'Small Signal'!$B$8*'Small Signal'!$B$33*'Small Signal'!$B$7)))),-1)</f>
        <v>-0.0447737005734842+0.106033711907623i</v>
      </c>
      <c r="T175" s="85">
        <f t="shared" si="32"/>
        <v>-18.778551773317556</v>
      </c>
      <c r="U175" s="85">
        <f t="shared" si="33"/>
        <v>112.89234526034984</v>
      </c>
      <c r="V175" s="85" t="str">
        <f t="shared" si="34"/>
        <v>0.0034297336187041-0.00272704252669398i</v>
      </c>
      <c r="W175" s="80">
        <f t="shared" si="35"/>
        <v>-47.167025343462626</v>
      </c>
      <c r="X175" s="85">
        <f t="shared" si="36"/>
        <v>-38.48883767321649</v>
      </c>
      <c r="Y175" s="85" t="str">
        <f t="shared" si="37"/>
        <v>0.00199215673620754-0.00210787781242039i</v>
      </c>
      <c r="Z175" s="80">
        <f t="shared" si="38"/>
        <v>-50.75109134197159</v>
      </c>
      <c r="AA175" s="85">
        <f t="shared" si="39"/>
        <v>-46.616710644218045</v>
      </c>
    </row>
    <row r="176" spans="6:27" ht="12.75">
      <c r="F176" s="84">
        <v>174</v>
      </c>
      <c r="G176" s="85">
        <f>10^('Small Signal'!F176/30)</f>
        <v>630957.3444801942</v>
      </c>
      <c r="H176" s="85" t="str">
        <f t="shared" si="27"/>
        <v>3964421.916295i</v>
      </c>
      <c r="I176" s="85">
        <f>IF('Small Signal'!$B$37&gt;=1,Q176+0,N176+0)</f>
        <v>-29.636834833510648</v>
      </c>
      <c r="J176" s="85">
        <f>IF('Small Signal'!$B$37&gt;=1,R176,O176)</f>
        <v>-150.92160201014264</v>
      </c>
      <c r="K176" s="85">
        <f>IF('Small Signal'!$B$37&gt;=1,Z176+0,W176+0)</f>
        <v>-48.98419624946169</v>
      </c>
      <c r="L176" s="85">
        <f>IF('Small Signal'!$B$37&gt;=1,AA176,X176)</f>
        <v>-39.55429131836812</v>
      </c>
      <c r="M176" s="85" t="str">
        <f>IMDIV(IMSUM('Small Signal'!$B$2*'Small Signal'!$B$16*'Small Signal'!$B$38,IMPRODUCT(H176,'Small Signal'!$B$2*'Small Signal'!$B$16*'Small Signal'!$B$38*'Small Signal'!$B$13*'Small Signal'!$B$14)),IMSUM(IMPRODUCT('Small Signal'!$B$11*'Small Signal'!$B$13*('Small Signal'!$B$14+'Small Signal'!$B$16),IMPOWER(H176,2)),IMSUM(IMPRODUCT(H176,('Small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-0.028816921877024-0.0160250653611243i</v>
      </c>
      <c r="N176" s="85">
        <f t="shared" si="28"/>
        <v>-29.636834833510648</v>
      </c>
      <c r="O176" s="85">
        <f t="shared" si="29"/>
        <v>-150.92160201014264</v>
      </c>
      <c r="P176" s="85" t="str">
        <f>IMDIV(IMSUM('Small Signal'!$B$48,IMPRODUCT(H176,'Small Signal'!$B$49)),IMSUM(IMPRODUCT('Small Signal'!$B$52,IMPOWER(H176,2)),IMSUM(IMPRODUCT(H176,'Small Signal'!$B$51),'Small Signal'!$B$50)))</f>
        <v>-0.0202527735811448-0.00799164749130548i</v>
      </c>
      <c r="Q176" s="85">
        <f t="shared" si="30"/>
        <v>-33.24183849456344</v>
      </c>
      <c r="R176" s="85">
        <f t="shared" si="31"/>
        <v>-158.46604524506685</v>
      </c>
      <c r="S176" s="85" t="str">
        <f>IMPRODUCT(IMDIV(IMSUM(IMPRODUCT(H176,'Small Signal'!$B$33*'Small Signal'!$B$6*'Small Signal'!$B$27*'Small Signal'!$B$7*'Small Signal'!$B$8),'Small Signal'!$B$33*'Small Signal'!$B$6*'Small Signal'!$B$27),IMSUM(IMSUM(IMPRODUCT(H176,('Small Signal'!$B$5+'Small Signal'!$B$6)*('Small Signal'!$B$32*'Small Signal'!$B$33)+'Small Signal'!$B$5*'Small Signal'!$B$33*('Small Signal'!$B$8+'Small Signal'!$B$9)+'Small Signal'!$B$6*'Small Signal'!$B$33*('Small Signal'!$B$8+'Small Signal'!$B$9)+'Small Signal'!$B$7*'Small Signal'!$B$8*('Small Signal'!$B$5+'Small Signal'!$B$6)),'Small Signal'!$B$6+'Small Signal'!$B$5),IMPRODUCT(IMPOWER(H176,2),'Small Signal'!$B$32*'Small Signal'!$B$33*'Small Signal'!$B$8*'Small Signal'!$B$7*('Small Signal'!$B$5+'Small Signal'!$B$6)+('Small Signal'!$B$5+'Small Signal'!$B$6)*('Small Signal'!$B$9*'Small Signal'!$B$8*'Small Signal'!$B$33*'Small Signal'!$B$7)))),-1)</f>
        <v>-0.0392776384232632+0.100393285921213i</v>
      </c>
      <c r="T176" s="85">
        <f t="shared" si="32"/>
        <v>-19.347361415951053</v>
      </c>
      <c r="U176" s="85">
        <f t="shared" si="33"/>
        <v>111.36731069177453</v>
      </c>
      <c r="V176" s="85" t="str">
        <f t="shared" si="34"/>
        <v>0.00274066960666265-0.00226359875440593i</v>
      </c>
      <c r="W176" s="80">
        <f t="shared" si="35"/>
        <v>-48.98419624946169</v>
      </c>
      <c r="X176" s="85">
        <f t="shared" si="36"/>
        <v>-39.55429131836812</v>
      </c>
      <c r="Y176" s="85" t="str">
        <f t="shared" si="37"/>
        <v>0.0015977888693646-0.00171934944825978i</v>
      </c>
      <c r="Z176" s="80">
        <f t="shared" si="38"/>
        <v>-52.589199910514495</v>
      </c>
      <c r="AA176" s="85">
        <f t="shared" si="39"/>
        <v>-47.098734553292225</v>
      </c>
    </row>
    <row r="177" spans="6:27" ht="12.75">
      <c r="F177" s="84">
        <v>175</v>
      </c>
      <c r="G177" s="85">
        <f>10^('Small Signal'!F177/30)</f>
        <v>681292.0690579612</v>
      </c>
      <c r="H177" s="85" t="str">
        <f t="shared" si="27"/>
        <v>4280684.31820296i</v>
      </c>
      <c r="I177" s="85">
        <f>IF('Small Signal'!$B$37&gt;=1,Q177+0,N177+0)</f>
        <v>-30.878982219490524</v>
      </c>
      <c r="J177" s="85">
        <f>IF('Small Signal'!$B$37&gt;=1,R177,O177)</f>
        <v>-150.32351298727644</v>
      </c>
      <c r="K177" s="85">
        <f>IF('Small Signal'!$B$37&gt;=1,Z177+0,W177+0)</f>
        <v>-50.807284244284745</v>
      </c>
      <c r="L177" s="85">
        <f>IF('Small Signal'!$B$37&gt;=1,AA177,X177)</f>
        <v>-40.39934068888124</v>
      </c>
      <c r="M177" s="85" t="str">
        <f>IMDIV(IMSUM('Small Signal'!$B$2*'Small Signal'!$B$16*'Small Signal'!$B$38,IMPRODUCT(H177,'Small Signal'!$B$2*'Small Signal'!$B$16*'Small Signal'!$B$38*'Small Signal'!$B$13*'Small Signal'!$B$14)),IMSUM(IMPRODUCT('Small Signal'!$B$11*'Small Signal'!$B$13*('Small Signal'!$B$14+'Small Signal'!$B$16),IMPOWER(H177,2)),IMSUM(IMPRODUCT(H177,('Small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-0.0248306495369284-0.014149650369495i</v>
      </c>
      <c r="N177" s="85">
        <f t="shared" si="28"/>
        <v>-30.878982219490524</v>
      </c>
      <c r="O177" s="85">
        <f t="shared" si="29"/>
        <v>-150.32351298727644</v>
      </c>
      <c r="P177" s="85" t="str">
        <f>IMDIV(IMSUM('Small Signal'!$B$48,IMPRODUCT(H177,'Small Signal'!$B$49)),IMSUM(IMPRODUCT('Small Signal'!$B$52,IMPOWER(H177,2)),IMSUM(IMPRODUCT(H177,'Small Signal'!$B$51),'Small Signal'!$B$50)))</f>
        <v>-0.0173763786076858-0.00726007492249326i</v>
      </c>
      <c r="Q177" s="85">
        <f t="shared" si="30"/>
        <v>-34.50203438427337</v>
      </c>
      <c r="R177" s="85">
        <f t="shared" si="31"/>
        <v>-157.32419924225655</v>
      </c>
      <c r="S177" s="85" t="str">
        <f>IMPRODUCT(IMDIV(IMSUM(IMPRODUCT(H177,'Small Signal'!$B$33*'Small Signal'!$B$6*'Small Signal'!$B$27*'Small Signal'!$B$7*'Small Signal'!$B$8),'Small Signal'!$B$33*'Small Signal'!$B$6*'Small Signal'!$B$27),IMSUM(IMSUM(IMPRODUCT(H177,('Small Signal'!$B$5+'Small Signal'!$B$6)*('Small Signal'!$B$32*'Small Signal'!$B$33)+'Small Signal'!$B$5*'Small Signal'!$B$33*('Small Signal'!$B$8+'Small Signal'!$B$9)+'Small Signal'!$B$6*'Small Signal'!$B$33*('Small Signal'!$B$8+'Small Signal'!$B$9)+'Small Signal'!$B$7*'Small Signal'!$B$8*('Small Signal'!$B$5+'Small Signal'!$B$6)),'Small Signal'!$B$6+'Small Signal'!$B$5),IMPRODUCT(IMPOWER(H177,2),'Small Signal'!$B$32*'Small Signal'!$B$33*'Small Signal'!$B$8*'Small Signal'!$B$7*('Small Signal'!$B$5+'Small Signal'!$B$6)+('Small Signal'!$B$5+'Small Signal'!$B$6)*('Small Signal'!$B$9*'Small Signal'!$B$8*'Small Signal'!$B$33*'Small Signal'!$B$7)))),-1)</f>
        <v>-0.0343600805292814+0.0947937014362598i</v>
      </c>
      <c r="T177" s="85">
        <f t="shared" si="32"/>
        <v>-19.928302024794224</v>
      </c>
      <c r="U177" s="85">
        <f t="shared" si="33"/>
        <v>109.92417229839518</v>
      </c>
      <c r="V177" s="85" t="str">
        <f t="shared" si="34"/>
        <v>0.0021944808502366-0.00186760605251497i</v>
      </c>
      <c r="W177" s="80">
        <f t="shared" si="35"/>
        <v>-50.807284244284745</v>
      </c>
      <c r="X177" s="85">
        <f t="shared" si="36"/>
        <v>-40.39934068888124</v>
      </c>
      <c r="Y177" s="85" t="str">
        <f t="shared" si="37"/>
        <v>0.00128526314287507-0.00139771448679489i</v>
      </c>
      <c r="Z177" s="80">
        <f t="shared" si="38"/>
        <v>-54.430336409067614</v>
      </c>
      <c r="AA177" s="85">
        <f t="shared" si="39"/>
        <v>-47.40002694386128</v>
      </c>
    </row>
    <row r="178" spans="6:27" ht="12.75">
      <c r="F178" s="84">
        <v>176</v>
      </c>
      <c r="G178" s="85">
        <f>10^('Small Signal'!F178/30)</f>
        <v>735642.2544596415</v>
      </c>
      <c r="H178" s="85" t="str">
        <f t="shared" si="27"/>
        <v>4622176.60456129i</v>
      </c>
      <c r="I178" s="85">
        <f>IF('Small Signal'!$B$37&gt;=1,Q178+0,N178+0)</f>
        <v>-32.11331622850211</v>
      </c>
      <c r="J178" s="85">
        <f>IF('Small Signal'!$B$37&gt;=1,R178,O178)</f>
        <v>-149.58864204332545</v>
      </c>
      <c r="K178" s="85">
        <f>IF('Small Signal'!$B$37&gt;=1,Z178+0,W178+0)</f>
        <v>-52.63338445399427</v>
      </c>
      <c r="L178" s="85">
        <f>IF('Small Signal'!$B$37&gt;=1,AA178,X178)</f>
        <v>-41.02642234914278</v>
      </c>
      <c r="M178" s="85" t="str">
        <f>IMDIV(IMSUM('Small Signal'!$B$2*'Small Signal'!$B$16*'Small Signal'!$B$38,IMPRODUCT(H178,'Small Signal'!$B$2*'Small Signal'!$B$16*'Small Signal'!$B$38*'Small Signal'!$B$13*'Small Signal'!$B$14)),IMSUM(IMPRODUCT('Small Signal'!$B$11*'Small Signal'!$B$13*('Small Signal'!$B$14+'Small Signal'!$B$16),IMPOWER(H178,2)),IMSUM(IMPRODUCT(H178,('Small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-0.0213820654155289-0.0125504815752694i</v>
      </c>
      <c r="N178" s="85">
        <f t="shared" si="28"/>
        <v>-32.11331622850211</v>
      </c>
      <c r="O178" s="85">
        <f t="shared" si="29"/>
        <v>-149.58864204332545</v>
      </c>
      <c r="P178" s="85" t="str">
        <f>IMDIV(IMSUM('Small Signal'!$B$48,IMPRODUCT(H178,'Small Signal'!$B$49)),IMSUM(IMPRODUCT('Small Signal'!$B$52,IMPOWER(H178,2)),IMSUM(IMPRODUCT(H178,'Small Signal'!$B$51),'Small Signal'!$B$50)))</f>
        <v>-0.0149078125951746-0.00661152753409473i</v>
      </c>
      <c r="Q178" s="85">
        <f t="shared" si="30"/>
        <v>-35.751915584314496</v>
      </c>
      <c r="R178" s="85">
        <f t="shared" si="31"/>
        <v>-156.082994280901</v>
      </c>
      <c r="S178" s="85" t="str">
        <f>IMPRODUCT(IMDIV(IMSUM(IMPRODUCT(H178,'Small Signal'!$B$33*'Small Signal'!$B$6*'Small Signal'!$B$27*'Small Signal'!$B$7*'Small Signal'!$B$8),'Small Signal'!$B$33*'Small Signal'!$B$6*'Small Signal'!$B$27),IMSUM(IMSUM(IMPRODUCT(H178,('Small Signal'!$B$5+'Small Signal'!$B$6)*('Small Signal'!$B$32*'Small Signal'!$B$33)+'Small Signal'!$B$5*'Small Signal'!$B$33*('Small Signal'!$B$8+'Small Signal'!$B$9)+'Small Signal'!$B$6*'Small Signal'!$B$33*('Small Signal'!$B$8+'Small Signal'!$B$9)+'Small Signal'!$B$7*'Small Signal'!$B$8*('Small Signal'!$B$5+'Small Signal'!$B$6)),'Small Signal'!$B$6+'Small Signal'!$B$5),IMPRODUCT(IMPOWER(H178,2),'Small Signal'!$B$32*'Small Signal'!$B$33*'Small Signal'!$B$8*'Small Signal'!$B$7*('Small Signal'!$B$5+'Small Signal'!$B$6)+('Small Signal'!$B$5+'Small Signal'!$B$6)*('Small Signal'!$B$9*'Small Signal'!$B$8*'Small Signal'!$B$33*'Small Signal'!$B$7)))),-1)</f>
        <v>-0.0299833401123903+0.0892884094908419i</v>
      </c>
      <c r="T178" s="85">
        <f t="shared" si="32"/>
        <v>-20.52006822549215</v>
      </c>
      <c r="U178" s="85">
        <f t="shared" si="33"/>
        <v>108.56221969418266</v>
      </c>
      <c r="V178" s="85" t="str">
        <f t="shared" si="34"/>
        <v>0.0017617182778591-0.00153286525493612i</v>
      </c>
      <c r="W178" s="80">
        <f t="shared" si="35"/>
        <v>-52.63338445399427</v>
      </c>
      <c r="X178" s="85">
        <f t="shared" si="36"/>
        <v>-41.02642234914278</v>
      </c>
      <c r="Y178" s="85" t="str">
        <f t="shared" si="37"/>
        <v>0.00103731879319712-0.00113285919689348i</v>
      </c>
      <c r="Z178" s="80">
        <f t="shared" si="38"/>
        <v>-56.27198380980667</v>
      </c>
      <c r="AA178" s="85">
        <f t="shared" si="39"/>
        <v>-47.52077458671829</v>
      </c>
    </row>
    <row r="179" spans="6:27" ht="12.75">
      <c r="F179" s="84">
        <v>177</v>
      </c>
      <c r="G179" s="85">
        <f>10^('Small Signal'!F179/30)</f>
        <v>794328.2347242833</v>
      </c>
      <c r="H179" s="85" t="str">
        <f t="shared" si="27"/>
        <v>4990911.49349752i</v>
      </c>
      <c r="I179" s="85">
        <f>IF('Small Signal'!$B$37&gt;=1,Q179+0,N179+0)</f>
        <v>-33.33819574670555</v>
      </c>
      <c r="J179" s="85">
        <f>IF('Small Signal'!$B$37&gt;=1,R179,O179)</f>
        <v>-148.71929947723737</v>
      </c>
      <c r="K179" s="85">
        <f>IF('Small Signal'!$B$37&gt;=1,Z179+0,W179+0)</f>
        <v>-54.45964267168196</v>
      </c>
      <c r="L179" s="85">
        <f>IF('Small Signal'!$B$37&gt;=1,AA179,X179)</f>
        <v>-41.4393262657017</v>
      </c>
      <c r="M179" s="85" t="str">
        <f>IMDIV(IMSUM('Small Signal'!$B$2*'Small Signal'!$B$16*'Small Signal'!$B$38,IMPRODUCT(H179,'Small Signal'!$B$2*'Small Signal'!$B$16*'Small Signal'!$B$38*'Small Signal'!$B$13*'Small Signal'!$B$14)),IMSUM(IMPRODUCT('Small Signal'!$B$11*'Small Signal'!$B$13*('Small Signal'!$B$14+'Small Signal'!$B$16),IMPOWER(H179,2)),IMSUM(IMPRODUCT(H179,('Small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-0.0184022219878056-0.0111802380208102i</v>
      </c>
      <c r="N179" s="85">
        <f t="shared" si="28"/>
        <v>-33.33819574670555</v>
      </c>
      <c r="O179" s="85">
        <f t="shared" si="29"/>
        <v>-148.71929947723737</v>
      </c>
      <c r="P179" s="85" t="str">
        <f>IMDIV(IMSUM('Small Signal'!$B$48,IMPRODUCT(H179,'Small Signal'!$B$49)),IMSUM(IMPRODUCT('Small Signal'!$B$52,IMPOWER(H179,2)),IMSUM(IMPRODUCT(H179,'Small Signal'!$B$51),'Small Signal'!$B$50)))</f>
        <v>-0.0127894340418165-0.00603392862993378i</v>
      </c>
      <c r="Q179" s="85">
        <f t="shared" si="30"/>
        <v>-36.99017957825565</v>
      </c>
      <c r="R179" s="85">
        <f t="shared" si="31"/>
        <v>-154.7425245758418</v>
      </c>
      <c r="S179" s="85" t="str">
        <f>IMPRODUCT(IMDIV(IMSUM(IMPRODUCT(H179,'Small Signal'!$B$33*'Small Signal'!$B$6*'Small Signal'!$B$27*'Small Signal'!$B$7*'Small Signal'!$B$8),'Small Signal'!$B$33*'Small Signal'!$B$6*'Small Signal'!$B$27),IMSUM(IMSUM(IMPRODUCT(H179,('Small Signal'!$B$5+'Small Signal'!$B$6)*('Small Signal'!$B$32*'Small Signal'!$B$33)+'Small Signal'!$B$5*'Small Signal'!$B$33*('Small Signal'!$B$8+'Small Signal'!$B$9)+'Small Signal'!$B$6*'Small Signal'!$B$33*('Small Signal'!$B$8+'Small Signal'!$B$9)+'Small Signal'!$B$7*'Small Signal'!$B$8*('Small Signal'!$B$5+'Small Signal'!$B$6)),'Small Signal'!$B$6+'Small Signal'!$B$5),IMPRODUCT(IMPOWER(H179,2),'Small Signal'!$B$32*'Small Signal'!$B$33*'Small Signal'!$B$8*'Small Signal'!$B$7*('Small Signal'!$B$5+'Small Signal'!$B$6)+('Small Signal'!$B$5+'Small Signal'!$B$6)*('Small Signal'!$B$9*'Small Signal'!$B$8*'Small Signal'!$B$33*'Small Signal'!$B$7)))),-1)</f>
        <v>-0.0261062353931522+0.0839207747715486i</v>
      </c>
      <c r="T179" s="85">
        <f t="shared" si="32"/>
        <v>-21.121446924976397</v>
      </c>
      <c r="U179" s="85">
        <f t="shared" si="33"/>
        <v>107.27997321153563</v>
      </c>
      <c r="V179" s="85" t="str">
        <f t="shared" si="34"/>
        <v>0.00141866697580741-0.00125245480121193i</v>
      </c>
      <c r="W179" s="80">
        <f t="shared" si="35"/>
        <v>-54.45964267168196</v>
      </c>
      <c r="X179" s="85">
        <f t="shared" si="36"/>
        <v>-41.4393262657017</v>
      </c>
      <c r="Y179" s="85" t="str">
        <f t="shared" si="37"/>
        <v>0.000840255941181127-0.000915776052520327i</v>
      </c>
      <c r="Z179" s="80">
        <f t="shared" si="38"/>
        <v>-58.11162650323204</v>
      </c>
      <c r="AA179" s="85">
        <f t="shared" si="39"/>
        <v>-47.46255136430614</v>
      </c>
    </row>
    <row r="180" spans="6:27" ht="12.75">
      <c r="F180" s="84">
        <v>178</v>
      </c>
      <c r="G180" s="85">
        <f>10^('Small Signal'!F180/30)</f>
        <v>857695.8985908963</v>
      </c>
      <c r="H180" s="85" t="str">
        <f t="shared" si="27"/>
        <v>5389062.26805451i</v>
      </c>
      <c r="I180" s="85">
        <f>IF('Small Signal'!$B$37&gt;=1,Q180+0,N180+0)</f>
        <v>-34.55194128116727</v>
      </c>
      <c r="J180" s="85">
        <f>IF('Small Signal'!$B$37&gt;=1,R180,O180)</f>
        <v>-147.7185213248247</v>
      </c>
      <c r="K180" s="85">
        <f>IF('Small Signal'!$B$37&gt;=1,Z180+0,W180+0)</f>
        <v>-56.283264421025905</v>
      </c>
      <c r="L180" s="85">
        <f>IF('Small Signal'!$B$37&gt;=1,AA180,X180)</f>
        <v>-41.64318524861823</v>
      </c>
      <c r="M180" s="85" t="str">
        <f>IMDIV(IMSUM('Small Signal'!$B$2*'Small Signal'!$B$16*'Small Signal'!$B$38,IMPRODUCT(H180,'Small Signal'!$B$2*'Small Signal'!$B$16*'Small Signal'!$B$38*'Small Signal'!$B$13*'Small Signal'!$B$14)),IMSUM(IMPRODUCT('Small Signal'!$B$11*'Small Signal'!$B$13*('Small Signal'!$B$14+'Small Signal'!$B$16),IMPOWER(H180,2)),IMSUM(IMPRODUCT(H180,('Small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-0.015830072866232-0.0100001958568594i</v>
      </c>
      <c r="N180" s="85">
        <f t="shared" si="28"/>
        <v>-34.55194128116727</v>
      </c>
      <c r="O180" s="85">
        <f t="shared" si="29"/>
        <v>-147.7185213248247</v>
      </c>
      <c r="P180" s="85" t="str">
        <f>IMDIV(IMSUM('Small Signal'!$B$48,IMPRODUCT(H180,'Small Signal'!$B$49)),IMSUM(IMPRODUCT('Small Signal'!$B$52,IMPOWER(H180,2)),IMSUM(IMPRODUCT(H180,'Small Signal'!$B$51),'Small Signal'!$B$50)))</f>
        <v>-0.010971700098958-0.00551731065807169i</v>
      </c>
      <c r="Q180" s="85">
        <f t="shared" si="30"/>
        <v>-38.21544173595952</v>
      </c>
      <c r="R180" s="85">
        <f t="shared" si="31"/>
        <v>-153.3036662098699</v>
      </c>
      <c r="S180" s="85" t="str">
        <f>IMPRODUCT(IMDIV(IMSUM(IMPRODUCT(H180,'Small Signal'!$B$33*'Small Signal'!$B$6*'Small Signal'!$B$27*'Small Signal'!$B$7*'Small Signal'!$B$8),'Small Signal'!$B$33*'Small Signal'!$B$6*'Small Signal'!$B$27),IMSUM(IMSUM(IMPRODUCT(H180,('Small Signal'!$B$5+'Small Signal'!$B$6)*('Small Signal'!$B$32*'Small Signal'!$B$33)+'Small Signal'!$B$5*'Small Signal'!$B$33*('Small Signal'!$B$8+'Small Signal'!$B$9)+'Small Signal'!$B$6*'Small Signal'!$B$33*('Small Signal'!$B$8+'Small Signal'!$B$9)+'Small Signal'!$B$7*'Small Signal'!$B$8*('Small Signal'!$B$5+'Small Signal'!$B$6)),'Small Signal'!$B$6+'Small Signal'!$B$5),IMPRODUCT(IMPOWER(H180,2),'Small Signal'!$B$32*'Small Signal'!$B$33*'Small Signal'!$B$8*'Small Signal'!$B$7*('Small Signal'!$B$5+'Small Signal'!$B$6)+('Small Signal'!$B$5+'Small Signal'!$B$6)*('Small Signal'!$B$9*'Small Signal'!$B$8*'Small Signal'!$B$33*'Small Signal'!$B$7)))),-1)</f>
        <v>-0.0226860265759811+0.0787247574503258i</v>
      </c>
      <c r="T180" s="85">
        <f t="shared" si="32"/>
        <v>-21.731323139858656</v>
      </c>
      <c r="U180" s="85">
        <f t="shared" si="33"/>
        <v>106.0753360762064</v>
      </c>
      <c r="V180" s="85" t="str">
        <f t="shared" si="34"/>
        <v>0.00114638444703007-0.00101935393784137i</v>
      </c>
      <c r="W180" s="80">
        <f t="shared" si="35"/>
        <v>-56.283264421025905</v>
      </c>
      <c r="X180" s="85">
        <f t="shared" si="36"/>
        <v>-41.64318524861823</v>
      </c>
      <c r="Y180" s="85" t="str">
        <f t="shared" si="37"/>
        <v>0.000683253223363447-0.000738578572891226i</v>
      </c>
      <c r="Z180" s="80">
        <f t="shared" si="38"/>
        <v>-59.946764875818175</v>
      </c>
      <c r="AA180" s="85">
        <f t="shared" si="39"/>
        <v>-47.228330133663505</v>
      </c>
    </row>
    <row r="181" spans="6:27" ht="12.75">
      <c r="F181" s="84">
        <v>179</v>
      </c>
      <c r="G181" s="85">
        <f>10^('Small Signal'!F181/30)</f>
        <v>926118.7281287945</v>
      </c>
      <c r="H181" s="85" t="str">
        <f t="shared" si="27"/>
        <v>5818975.58528269i</v>
      </c>
      <c r="I181" s="85">
        <f>IF('Small Signal'!$B$37&gt;=1,Q181+0,N181+0)</f>
        <v>-35.75284426688027</v>
      </c>
      <c r="J181" s="85">
        <f>IF('Small Signal'!$B$37&gt;=1,R181,O181)</f>
        <v>-146.5902196736125</v>
      </c>
      <c r="K181" s="85">
        <f>IF('Small Signal'!$B$37&gt;=1,Z181+0,W181+0)</f>
        <v>-58.10152603657485</v>
      </c>
      <c r="L181" s="85">
        <f>IF('Small Signal'!$B$37&gt;=1,AA181,X181)</f>
        <v>-41.64448572634775</v>
      </c>
      <c r="M181" s="85" t="str">
        <f>IMDIV(IMSUM('Small Signal'!$B$2*'Small Signal'!$B$16*'Small Signal'!$B$38,IMPRODUCT(H181,'Small Signal'!$B$2*'Small Signal'!$B$16*'Small Signal'!$B$38*'Small Signal'!$B$13*'Small Signal'!$B$14)),IMSUM(IMPRODUCT('Small Signal'!$B$11*'Small Signal'!$B$13*('Small Signal'!$B$14+'Small Signal'!$B$16),IMPOWER(H181,2)),IMSUM(IMPRODUCT(H181,('Small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-0.0136118211910146-0.00897867649366246i</v>
      </c>
      <c r="N181" s="85">
        <f t="shared" si="28"/>
        <v>-35.75284426688027</v>
      </c>
      <c r="O181" s="85">
        <f t="shared" si="29"/>
        <v>-146.5902196736125</v>
      </c>
      <c r="P181" s="85" t="str">
        <f>IMDIV(IMSUM('Small Signal'!$B$48,IMPRODUCT(H181,'Small Signal'!$B$49)),IMSUM(IMPRODUCT('Small Signal'!$B$52,IMPOWER(H181,2)),IMSUM(IMPRODUCT(H181,'Small Signal'!$B$51),'Small Signal'!$B$50)))</f>
        <v>-0.00941204149267189-0.00505341080053841i</v>
      </c>
      <c r="Q181" s="85">
        <f t="shared" si="30"/>
        <v>-39.42624971755869</v>
      </c>
      <c r="R181" s="85">
        <f t="shared" si="31"/>
        <v>-151.7682438016809</v>
      </c>
      <c r="S181" s="85" t="str">
        <f>IMPRODUCT(IMDIV(IMSUM(IMPRODUCT(H181,'Small Signal'!$B$33*'Small Signal'!$B$6*'Small Signal'!$B$27*'Small Signal'!$B$7*'Small Signal'!$B$8),'Small Signal'!$B$33*'Small Signal'!$B$6*'Small Signal'!$B$27),IMSUM(IMSUM(IMPRODUCT(H181,('Small Signal'!$B$5+'Small Signal'!$B$6)*('Small Signal'!$B$32*'Small Signal'!$B$33)+'Small Signal'!$B$5*'Small Signal'!$B$33*('Small Signal'!$B$8+'Small Signal'!$B$9)+'Small Signal'!$B$6*'Small Signal'!$B$33*('Small Signal'!$B$8+'Small Signal'!$B$9)+'Small Signal'!$B$7*'Small Signal'!$B$8*('Small Signal'!$B$5+'Small Signal'!$B$6)),'Small Signal'!$B$6+'Small Signal'!$B$5),IMPRODUCT(IMPOWER(H181,2),'Small Signal'!$B$32*'Small Signal'!$B$33*'Small Signal'!$B$8*'Small Signal'!$B$7*('Small Signal'!$B$5+'Small Signal'!$B$6)+('Small Signal'!$B$5+'Small Signal'!$B$6)*('Small Signal'!$B$9*'Small Signal'!$B$8*'Small Signal'!$B$33*'Small Signal'!$B$7)))),-1)</f>
        <v>-0.019679956066306+0.0737258343785596i</v>
      </c>
      <c r="T181" s="85">
        <f t="shared" si="32"/>
        <v>-22.348681769694586</v>
      </c>
      <c r="U181" s="85">
        <f t="shared" si="33"/>
        <v>104.94573394726476</v>
      </c>
      <c r="V181" s="85" t="str">
        <f t="shared" si="34"/>
        <v>0.000929840459132005-0.000826842915790459i</v>
      </c>
      <c r="W181" s="80">
        <f t="shared" si="35"/>
        <v>-58.10152603657485</v>
      </c>
      <c r="X181" s="85">
        <f t="shared" si="36"/>
        <v>-41.64448572634775</v>
      </c>
      <c r="Y181" s="85" t="str">
        <f t="shared" si="37"/>
        <v>0.000557795490797351-0.000594459709713267i</v>
      </c>
      <c r="Z181" s="80">
        <f t="shared" si="38"/>
        <v>-61.77493148725327</v>
      </c>
      <c r="AA181" s="85">
        <f t="shared" si="39"/>
        <v>-46.8225098544162</v>
      </c>
    </row>
    <row r="182" spans="6:27" ht="12.75">
      <c r="F182" s="84">
        <v>180</v>
      </c>
      <c r="G182" s="85">
        <f>10^('Small Signal'!F182/30)</f>
        <v>1000000</v>
      </c>
      <c r="H182" s="85" t="str">
        <f t="shared" si="27"/>
        <v>6283185.30717959i</v>
      </c>
      <c r="I182" s="85">
        <f>IF('Small Signal'!$B$37&gt;=1,Q182+0,N182+0)</f>
        <v>-36.939183163490384</v>
      </c>
      <c r="J182" s="85">
        <f>IF('Small Signal'!$B$37&gt;=1,R182,O182)</f>
        <v>-145.33933172097414</v>
      </c>
      <c r="K182" s="85">
        <f>IF('Small Signal'!$B$37&gt;=1,Z182+0,W182+0)</f>
        <v>-59.91178938463115</v>
      </c>
      <c r="L182" s="85">
        <f>IF('Small Signal'!$B$37&gt;=1,AA182,X182)</f>
        <v>-41.451092633322574</v>
      </c>
      <c r="M182" s="85" t="str">
        <f>IMDIV(IMSUM('Small Signal'!$B$2*'Small Signal'!$B$16*'Small Signal'!$B$38,IMPRODUCT(H182,'Small Signal'!$B$2*'Small Signal'!$B$16*'Small Signal'!$B$38*'Small Signal'!$B$13*'Small Signal'!$B$14)),IMSUM(IMPRODUCT('Small Signal'!$B$11*'Small Signal'!$B$13*('Small Signal'!$B$14+'Small Signal'!$B$16),IMPOWER(H182,2)),IMSUM(IMPRODUCT(H182,('Small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-0.0117002472217164-0.00808975809658959i</v>
      </c>
      <c r="N182" s="85">
        <f t="shared" si="28"/>
        <v>-36.939183163490384</v>
      </c>
      <c r="O182" s="85">
        <f t="shared" si="29"/>
        <v>-145.33933172097414</v>
      </c>
      <c r="P182" s="85" t="str">
        <f>IMDIV(IMSUM('Small Signal'!$B$48,IMPRODUCT(H182,'Small Signal'!$B$49)),IMSUM(IMPRODUCT('Small Signal'!$B$52,IMPOWER(H182,2)),IMSUM(IMPRODUCT(H182,'Small Signal'!$B$51),'Small Signal'!$B$50)))</f>
        <v>-0.00807389034085931-0.00463534702835147i</v>
      </c>
      <c r="Q182" s="85">
        <f t="shared" si="30"/>
        <v>-40.62110422190912</v>
      </c>
      <c r="R182" s="85">
        <f t="shared" si="31"/>
        <v>-150.13919099137422</v>
      </c>
      <c r="S182" s="85" t="str">
        <f>IMPRODUCT(IMDIV(IMSUM(IMPRODUCT(H182,'Small Signal'!$B$33*'Small Signal'!$B$6*'Small Signal'!$B$27*'Small Signal'!$B$7*'Small Signal'!$B$8),'Small Signal'!$B$33*'Small Signal'!$B$6*'Small Signal'!$B$27),IMSUM(IMSUM(IMPRODUCT(H182,('Small Signal'!$B$5+'Small Signal'!$B$6)*('Small Signal'!$B$32*'Small Signal'!$B$33)+'Small Signal'!$B$5*'Small Signal'!$B$33*('Small Signal'!$B$8+'Small Signal'!$B$9)+'Small Signal'!$B$6*'Small Signal'!$B$33*('Small Signal'!$B$8+'Small Signal'!$B$9)+'Small Signal'!$B$7*'Small Signal'!$B$8*('Small Signal'!$B$5+'Small Signal'!$B$6)),'Small Signal'!$B$6+'Small Signal'!$B$5),IMPRODUCT(IMPOWER(H182,2),'Small Signal'!$B$32*'Small Signal'!$B$33*'Small Signal'!$B$8*'Small Signal'!$B$7*('Small Signal'!$B$5+'Small Signal'!$B$6)+('Small Signal'!$B$5+'Small Signal'!$B$6)*('Small Signal'!$B$9*'Small Signal'!$B$8*'Small Signal'!$B$33*'Small Signal'!$B$7)))),-1)</f>
        <v>-0.0170464131355474+0.068942042236491i</v>
      </c>
      <c r="T182" s="85">
        <f t="shared" si="32"/>
        <v>-22.972606221140765</v>
      </c>
      <c r="U182" s="85">
        <f t="shared" si="33"/>
        <v>103.88823908765158</v>
      </c>
      <c r="V182" s="85" t="str">
        <f t="shared" si="34"/>
        <v>0.000757171692307493-0.000668737579455853i</v>
      </c>
      <c r="W182" s="80">
        <f t="shared" si="35"/>
        <v>-59.91178938463115</v>
      </c>
      <c r="X182" s="85">
        <f t="shared" si="36"/>
        <v>-41.451092633322574</v>
      </c>
      <c r="Y182" s="85" t="str">
        <f t="shared" si="37"/>
        <v>0.000457201160970794-0.000477614448420408i</v>
      </c>
      <c r="Z182" s="80">
        <f t="shared" si="38"/>
        <v>-63.593710443049886</v>
      </c>
      <c r="AA182" s="85">
        <f t="shared" si="39"/>
        <v>-46.250951903722594</v>
      </c>
    </row>
    <row r="183" spans="6:27" ht="12.75">
      <c r="F183" s="84">
        <v>181</v>
      </c>
      <c r="G183" s="85">
        <f>10^('Small Signal'!F183/30)</f>
        <v>1079775.1623277115</v>
      </c>
      <c r="H183" s="85" t="str">
        <f t="shared" si="27"/>
        <v>6784427.43499493i</v>
      </c>
      <c r="I183" s="85">
        <f>IF('Small Signal'!$B$37&gt;=1,Q183+0,N183+0)</f>
        <v>-38.109246716498404</v>
      </c>
      <c r="J183" s="85">
        <f>IF('Small Signal'!$B$37&gt;=1,R183,O183)</f>
        <v>-143.9719554062555</v>
      </c>
      <c r="K183" s="85">
        <f>IF('Small Signal'!$B$37&gt;=1,Z183+0,W183+0)</f>
        <v>-61.71152142973658</v>
      </c>
      <c r="L183" s="85">
        <f>IF('Small Signal'!$B$37&gt;=1,AA183,X183)</f>
        <v>-41.07227738001939</v>
      </c>
      <c r="M183" s="85" t="str">
        <f>IMDIV(IMSUM('Small Signal'!$B$2*'Small Signal'!$B$16*'Small Signal'!$B$38,IMPRODUCT(H183,'Small Signal'!$B$2*'Small Signal'!$B$16*'Small Signal'!$B$38*'Small Signal'!$B$13*'Small Signal'!$B$14)),IMSUM(IMPRODUCT('Small Signal'!$B$11*'Small Signal'!$B$13*('Small Signal'!$B$14+'Small Signal'!$B$16),IMPOWER(H183,2)),IMSUM(IMPRODUCT(H183,('Small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-0.0100540440796365-0.00731221213802843i</v>
      </c>
      <c r="N183" s="85">
        <f t="shared" si="28"/>
        <v>-38.109246716498404</v>
      </c>
      <c r="O183" s="85">
        <f t="shared" si="29"/>
        <v>-143.9719554062555</v>
      </c>
      <c r="P183" s="85" t="str">
        <f>IMDIV(IMSUM('Small Signal'!$B$48,IMPRODUCT(H183,'Small Signal'!$B$49)),IMSUM(IMPRODUCT('Small Signal'!$B$52,IMPOWER(H183,2)),IMSUM(IMPRODUCT(H183,'Small Signal'!$B$51),'Small Signal'!$B$50)))</f>
        <v>-0.00692584100118046-0.0042573584440237i</v>
      </c>
      <c r="Q183" s="85">
        <f t="shared" si="30"/>
        <v>-41.79848644992212</v>
      </c>
      <c r="R183" s="85">
        <f t="shared" si="31"/>
        <v>-148.4206935520579</v>
      </c>
      <c r="S183" s="85" t="str">
        <f>IMPRODUCT(IMDIV(IMSUM(IMPRODUCT(H183,'Small Signal'!$B$33*'Small Signal'!$B$6*'Small Signal'!$B$27*'Small Signal'!$B$7*'Small Signal'!$B$8),'Small Signal'!$B$33*'Small Signal'!$B$6*'Small Signal'!$B$27),IMSUM(IMSUM(IMPRODUCT(H183,('Small Signal'!$B$5+'Small Signal'!$B$6)*('Small Signal'!$B$32*'Small Signal'!$B$33)+'Small Signal'!$B$5*'Small Signal'!$B$33*('Small Signal'!$B$8+'Small Signal'!$B$9)+'Small Signal'!$B$6*'Small Signal'!$B$33*('Small Signal'!$B$8+'Small Signal'!$B$9)+'Small Signal'!$B$7*'Small Signal'!$B$8*('Small Signal'!$B$5+'Small Signal'!$B$6)),'Small Signal'!$B$6+'Small Signal'!$B$5),IMPRODUCT(IMPOWER(H183,2),'Small Signal'!$B$32*'Small Signal'!$B$33*'Small Signal'!$B$8*'Small Signal'!$B$7*('Small Signal'!$B$5+'Small Signal'!$B$6)+('Small Signal'!$B$5+'Small Signal'!$B$6)*('Small Signal'!$B$9*'Small Signal'!$B$8*'Small Signal'!$B$33*'Small Signal'!$B$7)))),-1)</f>
        <v>-0.0147457647694088+0.0643850525694746i</v>
      </c>
      <c r="T183" s="85">
        <f t="shared" si="32"/>
        <v>-23.602274713238177</v>
      </c>
      <c r="U183" s="85">
        <f t="shared" si="33"/>
        <v>102.89967802623606</v>
      </c>
      <c r="V183" s="85" t="str">
        <f t="shared" si="34"/>
        <v>0.000619051731885698-0.000539505996471828i</v>
      </c>
      <c r="W183" s="80">
        <f t="shared" si="35"/>
        <v>-61.71152142973658</v>
      </c>
      <c r="X183" s="85">
        <f t="shared" si="36"/>
        <v>-41.07227738001939</v>
      </c>
      <c r="Y183" s="85" t="str">
        <f t="shared" si="37"/>
        <v>0.000376237069459296-0.000383142630794197i</v>
      </c>
      <c r="Z183" s="80">
        <f t="shared" si="38"/>
        <v>-65.4007611631603</v>
      </c>
      <c r="AA183" s="85">
        <f t="shared" si="39"/>
        <v>-45.52101552582187</v>
      </c>
    </row>
    <row r="184" spans="6:27" ht="12.75">
      <c r="F184" s="84">
        <v>182</v>
      </c>
      <c r="G184" s="85">
        <f>10^('Small Signal'!F184/30)</f>
        <v>1165914.4011798317</v>
      </c>
      <c r="H184" s="85" t="str">
        <f t="shared" si="27"/>
        <v>7325656.2349222i</v>
      </c>
      <c r="I184" s="85">
        <f>IF('Small Signal'!$B$37&gt;=1,Q184+0,N184+0)</f>
        <v>-39.261364257675396</v>
      </c>
      <c r="J184" s="85">
        <f>IF('Small Signal'!$B$37&gt;=1,R184,O184)</f>
        <v>-142.49545769122614</v>
      </c>
      <c r="K184" s="85">
        <f>IF('Small Signal'!$B$37&gt;=1,Z184+0,W184+0)</f>
        <v>-63.49831924108915</v>
      </c>
      <c r="L184" s="85">
        <f>IF('Small Signal'!$B$37&gt;=1,AA184,X184)</f>
        <v>-40.51873493723247</v>
      </c>
      <c r="M184" s="85" t="str">
        <f>IMDIV(IMSUM('Small Signal'!$B$2*'Small Signal'!$B$16*'Small Signal'!$B$38,IMPRODUCT(H184,'Small Signal'!$B$2*'Small Signal'!$B$16*'Small Signal'!$B$38*'Small Signal'!$B$13*'Small Signal'!$B$14)),IMSUM(IMPRODUCT('Small Signal'!$B$11*'Small Signal'!$B$13*('Small Signal'!$B$14+'Small Signal'!$B$16),IMPOWER(H184,2)),IMSUM(IMPRODUCT(H184,('Small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-0.00863718099360107-0.00662863005204186i</v>
      </c>
      <c r="N184" s="85">
        <f t="shared" si="28"/>
        <v>-39.261364257675396</v>
      </c>
      <c r="O184" s="85">
        <f t="shared" si="29"/>
        <v>-142.49545769122614</v>
      </c>
      <c r="P184" s="85" t="str">
        <f>IMDIV(IMSUM('Small Signal'!$B$48,IMPRODUCT(H184,'Small Signal'!$B$49)),IMSUM(IMPRODUCT('Small Signal'!$B$52,IMPOWER(H184,2)),IMSUM(IMPRODUCT(H184,'Small Signal'!$B$51),'Small Signal'!$B$50)))</f>
        <v>-0.0059409264161131-0.0039145969792658i</v>
      </c>
      <c r="Q184" s="85">
        <f t="shared" si="30"/>
        <v>-42.95689216944201</v>
      </c>
      <c r="R184" s="85">
        <f t="shared" si="31"/>
        <v>-146.61830202592935</v>
      </c>
      <c r="S184" s="85" t="str">
        <f>IMPRODUCT(IMDIV(IMSUM(IMPRODUCT(H184,'Small Signal'!$B$33*'Small Signal'!$B$6*'Small Signal'!$B$27*'Small Signal'!$B$7*'Small Signal'!$B$8),'Small Signal'!$B$33*'Small Signal'!$B$6*'Small Signal'!$B$27),IMSUM(IMSUM(IMPRODUCT(H184,('Small Signal'!$B$5+'Small Signal'!$B$6)*('Small Signal'!$B$32*'Small Signal'!$B$33)+'Small Signal'!$B$5*'Small Signal'!$B$33*('Small Signal'!$B$8+'Small Signal'!$B$9)+'Small Signal'!$B$6*'Small Signal'!$B$33*('Small Signal'!$B$8+'Small Signal'!$B$9)+'Small Signal'!$B$7*'Small Signal'!$B$8*('Small Signal'!$B$5+'Small Signal'!$B$6)),'Small Signal'!$B$6+'Small Signal'!$B$5),IMPRODUCT(IMPOWER(H184,2),'Small Signal'!$B$32*'Small Signal'!$B$33*'Small Signal'!$B$8*'Small Signal'!$B$7*('Small Signal'!$B$5+'Small Signal'!$B$6)+('Small Signal'!$B$5+'Small Signal'!$B$6)*('Small Signal'!$B$9*'Small Signal'!$B$8*'Small Signal'!$B$33*'Small Signal'!$B$7)))),-1)</f>
        <v>-0.0127409042876695+0.060061214595037i</v>
      </c>
      <c r="T184" s="85">
        <f t="shared" si="32"/>
        <v>-24.236954983413757</v>
      </c>
      <c r="U184" s="85">
        <f t="shared" si="33"/>
        <v>101.97672275399366</v>
      </c>
      <c r="V184" s="85" t="str">
        <f t="shared" si="34"/>
        <v>0.000508169068381547-0.000434304840101414i</v>
      </c>
      <c r="W184" s="80">
        <f t="shared" si="35"/>
        <v>-63.49831924108915</v>
      </c>
      <c r="X184" s="85">
        <f t="shared" si="36"/>
        <v>-40.51873493723247</v>
      </c>
      <c r="Y184" s="85" t="str">
        <f t="shared" si="37"/>
        <v>0.000310808224072551-0.000306943750933867i</v>
      </c>
      <c r="Z184" s="80">
        <f t="shared" si="38"/>
        <v>-67.19384715285577</v>
      </c>
      <c r="AA184" s="85">
        <f t="shared" si="39"/>
        <v>-44.64157927193568</v>
      </c>
    </row>
    <row r="185" spans="6:27" ht="12.75">
      <c r="F185" s="84">
        <v>183</v>
      </c>
      <c r="G185" s="85">
        <f>10^('Small Signal'!F185/30)</f>
        <v>1258925.4117941677</v>
      </c>
      <c r="H185" s="85" t="str">
        <f t="shared" si="27"/>
        <v>7910061.65022012i</v>
      </c>
      <c r="I185" s="85">
        <f>IF('Small Signal'!$B$37&gt;=1,Q185+0,N185+0)</f>
        <v>-40.39394227098043</v>
      </c>
      <c r="J185" s="85">
        <f>IF('Small Signal'!$B$37&gt;=1,R185,O185)</f>
        <v>-140.91854075514956</v>
      </c>
      <c r="K185" s="85">
        <f>IF('Small Signal'!$B$37&gt;=1,Z185+0,W185+0)</f>
        <v>-65.2699402607393</v>
      </c>
      <c r="L185" s="85">
        <f>IF('Small Signal'!$B$37&gt;=1,AA185,X185)</f>
        <v>-39.80257444999208</v>
      </c>
      <c r="M185" s="85" t="str">
        <f>IMDIV(IMSUM('Small Signal'!$B$2*'Small Signal'!$B$16*'Small Signal'!$B$38,IMPRODUCT(H185,'Small Signal'!$B$2*'Small Signal'!$B$16*'Small Signal'!$B$38*'Small Signal'!$B$13*'Small Signal'!$B$14)),IMSUM(IMPRODUCT('Small Signal'!$B$11*'Small Signal'!$B$13*('Small Signal'!$B$14+'Small Signal'!$B$16),IMPOWER(H185,2)),IMSUM(IMPRODUCT(H185,('Small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-0.00741830614447307-0.00602470894705952i</v>
      </c>
      <c r="N185" s="85">
        <f t="shared" si="28"/>
        <v>-40.39394227098043</v>
      </c>
      <c r="O185" s="85">
        <f t="shared" si="29"/>
        <v>-140.91854075514956</v>
      </c>
      <c r="P185" s="85" t="str">
        <f>IMDIV(IMSUM('Small Signal'!$B$48,IMPRODUCT(H185,'Small Signal'!$B$49)),IMSUM(IMPRODUCT('Small Signal'!$B$52,IMPOWER(H185,2)),IMSUM(IMPRODUCT(H185,'Small Signal'!$B$51),'Small Signal'!$B$50)))</f>
        <v>-0.00509599455011047-0.00360296011684223i</v>
      </c>
      <c r="Q185" s="85">
        <f t="shared" si="30"/>
        <v>-44.094871630499775</v>
      </c>
      <c r="R185" s="85">
        <f t="shared" si="31"/>
        <v>-144.7389998365392</v>
      </c>
      <c r="S185" s="85" t="str">
        <f>IMPRODUCT(IMDIV(IMSUM(IMPRODUCT(H185,'Small Signal'!$B$33*'Small Signal'!$B$6*'Small Signal'!$B$27*'Small Signal'!$B$7*'Small Signal'!$B$8),'Small Signal'!$B$33*'Small Signal'!$B$6*'Small Signal'!$B$27),IMSUM(IMSUM(IMPRODUCT(H185,('Small Signal'!$B$5+'Small Signal'!$B$6)*('Small Signal'!$B$32*'Small Signal'!$B$33)+'Small Signal'!$B$5*'Small Signal'!$B$33*('Small Signal'!$B$8+'Small Signal'!$B$9)+'Small Signal'!$B$6*'Small Signal'!$B$33*('Small Signal'!$B$8+'Small Signal'!$B$9)+'Small Signal'!$B$7*'Small Signal'!$B$8*('Small Signal'!$B$5+'Small Signal'!$B$6)),'Small Signal'!$B$6+'Small Signal'!$B$5),IMPRODUCT(IMPOWER(H185,2),'Small Signal'!$B$32*'Small Signal'!$B$33*'Small Signal'!$B$8*'Small Signal'!$B$7*('Small Signal'!$B$5+'Small Signal'!$B$6)+('Small Signal'!$B$5+'Small Signal'!$B$6)*('Small Signal'!$B$9*'Small Signal'!$B$8*'Small Signal'!$B$33*'Small Signal'!$B$7)))),-1)</f>
        <v>-0.0109975714435535+0.0559725240299218i</v>
      </c>
      <c r="T185" s="85">
        <f t="shared" si="32"/>
        <v>-24.875997989758854</v>
      </c>
      <c r="U185" s="85">
        <f t="shared" si="33"/>
        <v>101.11596630515747</v>
      </c>
      <c r="V185" s="85" t="str">
        <f t="shared" si="34"/>
        <v>0.000418801518126568-0.000348964151860932i</v>
      </c>
      <c r="W185" s="80">
        <f t="shared" si="35"/>
        <v>-65.2699402607393</v>
      </c>
      <c r="X185" s="85">
        <f t="shared" si="36"/>
        <v>-39.80257444999208</v>
      </c>
      <c r="Y185" s="85" t="str">
        <f t="shared" si="37"/>
        <v>0.000257710335859601-0.000245611866119162i</v>
      </c>
      <c r="Z185" s="80">
        <f t="shared" si="38"/>
        <v>-68.97086962025864</v>
      </c>
      <c r="AA185" s="85">
        <f t="shared" si="39"/>
        <v>-43.62303353138164</v>
      </c>
    </row>
    <row r="186" spans="6:27" ht="12.75">
      <c r="F186" s="84">
        <v>184</v>
      </c>
      <c r="G186" s="85">
        <f>10^('Small Signal'!F186/30)</f>
        <v>1359356.3908785288</v>
      </c>
      <c r="H186" s="85" t="str">
        <f t="shared" si="27"/>
        <v>8541088.10238864i</v>
      </c>
      <c r="I186" s="85">
        <f>IF('Small Signal'!$B$37&gt;=1,Q186+0,N186+0)</f>
        <v>-41.50550569805955</v>
      </c>
      <c r="J186" s="85">
        <f>IF('Small Signal'!$B$37&gt;=1,R186,O186)</f>
        <v>-139.25125202569112</v>
      </c>
      <c r="K186" s="85">
        <f>IF('Small Signal'!$B$37&gt;=1,Z186+0,W186+0)</f>
        <v>-67.02433678058077</v>
      </c>
      <c r="L186" s="85">
        <f>IF('Small Signal'!$B$37&gt;=1,AA186,X186)</f>
        <v>-38.93726795335682</v>
      </c>
      <c r="M186" s="85" t="str">
        <f>IMDIV(IMSUM('Small Signal'!$B$2*'Small Signal'!$B$16*'Small Signal'!$B$38,IMPRODUCT(H186,'Small Signal'!$B$2*'Small Signal'!$B$16*'Small Signal'!$B$38*'Small Signal'!$B$13*'Small Signal'!$B$14)),IMSUM(IMPRODUCT('Small Signal'!$B$11*'Small Signal'!$B$13*('Small Signal'!$B$14+'Small Signal'!$B$16),IMPOWER(H186,2)),IMSUM(IMPRODUCT(H186,('Small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-0.00637019585283668-0.00548866936676727i</v>
      </c>
      <c r="N186" s="85">
        <f t="shared" si="28"/>
        <v>-41.50550569805955</v>
      </c>
      <c r="O186" s="85">
        <f t="shared" si="29"/>
        <v>-139.25125202569112</v>
      </c>
      <c r="P186" s="85" t="str">
        <f>IMDIV(IMSUM('Small Signal'!$B$48,IMPRODUCT(H186,'Small Signal'!$B$49)),IMSUM(IMPRODUCT('Small Signal'!$B$52,IMPOWER(H186,2)),IMSUM(IMPRODUCT(H186,'Small Signal'!$B$51),'Small Signal'!$B$50)))</f>
        <v>-0.00437117143539183-0.00331895638788697i</v>
      </c>
      <c r="Q186" s="85">
        <f t="shared" si="30"/>
        <v>-45.211073833918746</v>
      </c>
      <c r="R186" s="85">
        <f t="shared" si="31"/>
        <v>-142.79121336219876</v>
      </c>
      <c r="S186" s="85" t="str">
        <f>IMPRODUCT(IMDIV(IMSUM(IMPRODUCT(H186,'Small Signal'!$B$33*'Small Signal'!$B$6*'Small Signal'!$B$27*'Small Signal'!$B$7*'Small Signal'!$B$8),'Small Signal'!$B$33*'Small Signal'!$B$6*'Small Signal'!$B$27),IMSUM(IMSUM(IMPRODUCT(H186,('Small Signal'!$B$5+'Small Signal'!$B$6)*('Small Signal'!$B$32*'Small Signal'!$B$33)+'Small Signal'!$B$5*'Small Signal'!$B$33*('Small Signal'!$B$8+'Small Signal'!$B$9)+'Small Signal'!$B$6*'Small Signal'!$B$33*('Small Signal'!$B$8+'Small Signal'!$B$9)+'Small Signal'!$B$7*'Small Signal'!$B$8*('Small Signal'!$B$5+'Small Signal'!$B$6)),'Small Signal'!$B$6+'Small Signal'!$B$5),IMPRODUCT(IMPOWER(H186,2),'Small Signal'!$B$32*'Small Signal'!$B$33*'Small Signal'!$B$8*'Small Signal'!$B$7*('Small Signal'!$B$5+'Small Signal'!$B$6)+('Small Signal'!$B$5+'Small Signal'!$B$6)*('Small Signal'!$B$9*'Small Signal'!$B$8*'Small Signal'!$B$33*'Small Signal'!$B$7)))),-1)</f>
        <v>-0.00948449479718127+0.0521174940826108i</v>
      </c>
      <c r="T186" s="85">
        <f t="shared" si="32"/>
        <v>-25.51883108252122</v>
      </c>
      <c r="U186" s="85">
        <f t="shared" si="33"/>
        <v>100.31398407233425</v>
      </c>
      <c r="V186" s="85" t="str">
        <f t="shared" si="34"/>
        <v>0.000346473782667156-0.000279941388612735i</v>
      </c>
      <c r="W186" s="80">
        <f t="shared" si="35"/>
        <v>-67.02433678058077</v>
      </c>
      <c r="X186" s="85">
        <f t="shared" si="36"/>
        <v>-38.93726795335682</v>
      </c>
      <c r="Y186" s="85" t="str">
        <f t="shared" si="37"/>
        <v>0.000214434042642704-0.000196335876825126i</v>
      </c>
      <c r="Z186" s="80">
        <f t="shared" si="38"/>
        <v>-70.72990491643995</v>
      </c>
      <c r="AA186" s="85">
        <f t="shared" si="39"/>
        <v>-42.47722928986452</v>
      </c>
    </row>
    <row r="187" spans="6:27" ht="12.75">
      <c r="F187" s="84">
        <v>185</v>
      </c>
      <c r="G187" s="85">
        <f>10^('Small Signal'!F187/30)</f>
        <v>1467799.2676220734</v>
      </c>
      <c r="H187" s="85" t="str">
        <f t="shared" si="27"/>
        <v>9222454.79221197i</v>
      </c>
      <c r="I187" s="85">
        <f>IF('Small Signal'!$B$37&gt;=1,Q187+0,N187+0)</f>
        <v>-42.594741687274855</v>
      </c>
      <c r="J187" s="85">
        <f>IF('Small Signal'!$B$37&gt;=1,R187,O187)</f>
        <v>-137.50492650217615</v>
      </c>
      <c r="K187" s="85">
        <f>IF('Small Signal'!$B$37&gt;=1,Z187+0,W187+0)</f>
        <v>-68.75969269288252</v>
      </c>
      <c r="L187" s="85">
        <f>IF('Small Signal'!$B$37&gt;=1,AA187,X187)</f>
        <v>-37.93754403993128</v>
      </c>
      <c r="M187" s="85" t="str">
        <f>IMDIV(IMSUM('Small Signal'!$B$2*'Small Signal'!$B$16*'Small Signal'!$B$38,IMPRODUCT(H187,'Small Signal'!$B$2*'Small Signal'!$B$16*'Small Signal'!$B$38*'Small Signal'!$B$13*'Small Signal'!$B$14)),IMSUM(IMPRODUCT('Small Signal'!$B$11*'Small Signal'!$B$13*('Small Signal'!$B$14+'Small Signal'!$B$16),IMPOWER(H187,2)),IMSUM(IMPRODUCT(H187,('Small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-0.00546925301464922-0.00501078197223396i</v>
      </c>
      <c r="N187" s="85">
        <f t="shared" si="28"/>
        <v>-42.594741687274855</v>
      </c>
      <c r="O187" s="85">
        <f t="shared" si="29"/>
        <v>-137.50492650217615</v>
      </c>
      <c r="P187" s="85" t="str">
        <f>IMDIV(IMSUM('Small Signal'!$B$48,IMPRODUCT(H187,'Small Signal'!$B$49)),IMSUM(IMPRODUCT('Small Signal'!$B$52,IMPOWER(H187,2)),IMSUM(IMPRODUCT(H187,'Small Signal'!$B$51),'Small Signal'!$B$50)))</f>
        <v>-0.00374939906188315-0.00305959706123633i</v>
      </c>
      <c r="Q187" s="85">
        <f t="shared" si="30"/>
        <v>-46.30429288937519</v>
      </c>
      <c r="R187" s="85">
        <f t="shared" si="31"/>
        <v>-140.7847528860025</v>
      </c>
      <c r="S187" s="85" t="str">
        <f>IMPRODUCT(IMDIV(IMSUM(IMPRODUCT(H187,'Small Signal'!$B$33*'Small Signal'!$B$6*'Small Signal'!$B$27*'Small Signal'!$B$7*'Small Signal'!$B$8),'Small Signal'!$B$33*'Small Signal'!$B$6*'Small Signal'!$B$27),IMSUM(IMSUM(IMPRODUCT(H187,('Small Signal'!$B$5+'Small Signal'!$B$6)*('Small Signal'!$B$32*'Small Signal'!$B$33)+'Small Signal'!$B$5*'Small Signal'!$B$33*('Small Signal'!$B$8+'Small Signal'!$B$9)+'Small Signal'!$B$6*'Small Signal'!$B$33*('Small Signal'!$B$8+'Small Signal'!$B$9)+'Small Signal'!$B$7*'Small Signal'!$B$8*('Small Signal'!$B$5+'Small Signal'!$B$6)),'Small Signal'!$B$6+'Small Signal'!$B$5),IMPRODUCT(IMPOWER(H187,2),'Small Signal'!$B$32*'Small Signal'!$B$33*'Small Signal'!$B$8*'Small Signal'!$B$7*('Small Signal'!$B$5+'Small Signal'!$B$6)+('Small Signal'!$B$5+'Small Signal'!$B$6)*('Small Signal'!$B$9*'Small Signal'!$B$8*'Small Signal'!$B$33*'Small Signal'!$B$7)))),-1)</f>
        <v>-0.00817340139896452+0.0484919181799135i</v>
      </c>
      <c r="T187" s="85">
        <f t="shared" si="32"/>
        <v>-26.164951005607676</v>
      </c>
      <c r="U187" s="85">
        <f t="shared" si="33"/>
        <v>99.56738246224482</v>
      </c>
      <c r="V187" s="85" t="str">
        <f t="shared" si="34"/>
        <v>0.00028768482965618-0.000224259437309852i</v>
      </c>
      <c r="W187" s="80">
        <f t="shared" si="35"/>
        <v>-68.75969269288252</v>
      </c>
      <c r="X187" s="85">
        <f t="shared" si="36"/>
        <v>-37.93754403993128</v>
      </c>
      <c r="Y187" s="85" t="str">
        <f t="shared" si="37"/>
        <v>0.000179011073894648-0.000156808237632105i</v>
      </c>
      <c r="Z187" s="80">
        <f t="shared" si="38"/>
        <v>-72.46924389498288</v>
      </c>
      <c r="AA187" s="85">
        <f t="shared" si="39"/>
        <v>-41.21737042375758</v>
      </c>
    </row>
    <row r="188" spans="6:27" ht="12.75">
      <c r="F188" s="84">
        <v>186</v>
      </c>
      <c r="G188" s="85">
        <f>10^('Small Signal'!F188/30)</f>
        <v>1584893.1924611153</v>
      </c>
      <c r="H188" s="85" t="str">
        <f t="shared" si="27"/>
        <v>9958177.62032063i</v>
      </c>
      <c r="I188" s="85">
        <f>IF('Small Signal'!$B$37&gt;=1,Q188+0,N188+0)</f>
        <v>-43.660542824117464</v>
      </c>
      <c r="J188" s="85">
        <f>IF('Small Signal'!$B$37&gt;=1,R188,O188)</f>
        <v>-135.69205441338107</v>
      </c>
      <c r="K188" s="85">
        <f>IF('Small Signal'!$B$37&gt;=1,Z188+0,W188+0)</f>
        <v>-70.47445981600558</v>
      </c>
      <c r="L188" s="85">
        <f>IF('Small Signal'!$B$37&gt;=1,AA188,X188)</f>
        <v>-36.8192178319663</v>
      </c>
      <c r="M188" s="85" t="str">
        <f>IMDIV(IMSUM('Small Signal'!$B$2*'Small Signal'!$B$16*'Small Signal'!$B$38,IMPRODUCT(H188,'Small Signal'!$B$2*'Small Signal'!$B$16*'Small Signal'!$B$38*'Small Signal'!$B$13*'Small Signal'!$B$14)),IMSUM(IMPRODUCT('Small Signal'!$B$11*'Small Signal'!$B$13*('Small Signal'!$B$14+'Small Signal'!$B$16),IMPOWER(H188,2)),IMSUM(IMPRODUCT(H188,('Small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-0.00469505501976953-0.00458298359152532i</v>
      </c>
      <c r="N188" s="85">
        <f t="shared" si="28"/>
        <v>-43.660542824117464</v>
      </c>
      <c r="O188" s="85">
        <f t="shared" si="29"/>
        <v>-135.69205441338107</v>
      </c>
      <c r="P188" s="85" t="str">
        <f>IMDIV(IMSUM('Small Signal'!$B$48,IMPRODUCT(H188,'Small Signal'!$B$49)),IMSUM(IMPRODUCT('Small Signal'!$B$52,IMPOWER(H188,2)),IMSUM(IMPRODUCT(H188,'Small Signal'!$B$51),'Small Signal'!$B$50)))</f>
        <v>-0.00321603787357681-0.00282230877190185i</v>
      </c>
      <c r="Q188" s="85">
        <f t="shared" si="30"/>
        <v>-47.37351353398361</v>
      </c>
      <c r="R188" s="85">
        <f t="shared" si="31"/>
        <v>-138.73067783484402</v>
      </c>
      <c r="S188" s="85" t="str">
        <f>IMPRODUCT(IMDIV(IMSUM(IMPRODUCT(H188,'Small Signal'!$B$33*'Small Signal'!$B$6*'Small Signal'!$B$27*'Small Signal'!$B$7*'Small Signal'!$B$8),'Small Signal'!$B$33*'Small Signal'!$B$6*'Small Signal'!$B$27),IMSUM(IMSUM(IMPRODUCT(H188,('Small Signal'!$B$5+'Small Signal'!$B$6)*('Small Signal'!$B$32*'Small Signal'!$B$33)+'Small Signal'!$B$5*'Small Signal'!$B$33*('Small Signal'!$B$8+'Small Signal'!$B$9)+'Small Signal'!$B$6*'Small Signal'!$B$33*('Small Signal'!$B$8+'Small Signal'!$B$9)+'Small Signal'!$B$7*'Small Signal'!$B$8*('Small Signal'!$B$5+'Small Signal'!$B$6)),'Small Signal'!$B$6+'Small Signal'!$B$5),IMPRODUCT(IMPOWER(H188,2),'Small Signal'!$B$32*'Small Signal'!$B$33*'Small Signal'!$B$8*'Small Signal'!$B$7*('Small Signal'!$B$5+'Small Signal'!$B$6)+('Small Signal'!$B$5+'Small Signal'!$B$6)*('Small Signal'!$B$9*'Small Signal'!$B$8*'Small Signal'!$B$33*'Small Signal'!$B$7)))),-1)</f>
        <v>-0.00703893182352635+0.0450895234389151i</v>
      </c>
      <c r="T188" s="85">
        <f t="shared" si="32"/>
        <v>-26.81391699188811</v>
      </c>
      <c r="U188" s="85">
        <f t="shared" si="33"/>
        <v>98.87283658141486</v>
      </c>
      <c r="V188" s="85" t="str">
        <f t="shared" si="34"/>
        <v>0.000239692718262107-0.000179438484311808i</v>
      </c>
      <c r="W188" s="80">
        <f t="shared" si="35"/>
        <v>-70.47445981600558</v>
      </c>
      <c r="X188" s="85">
        <f t="shared" si="36"/>
        <v>-36.8192178319663</v>
      </c>
      <c r="Y188" s="85" t="str">
        <f t="shared" si="37"/>
        <v>0.00014989402885651-0.000125143576050723i</v>
      </c>
      <c r="Z188" s="80">
        <f t="shared" si="38"/>
        <v>-74.18743052587172</v>
      </c>
      <c r="AA188" s="85">
        <f t="shared" si="39"/>
        <v>-39.85784125342922</v>
      </c>
    </row>
    <row r="189" spans="6:27" ht="12.75">
      <c r="F189" s="84">
        <v>187</v>
      </c>
      <c r="G189" s="85">
        <f>10^('Small Signal'!F189/30)</f>
        <v>1711328.3041617833</v>
      </c>
      <c r="H189" s="85" t="str">
        <f t="shared" si="27"/>
        <v>10752592.8564699i</v>
      </c>
      <c r="I189" s="85">
        <f>IF('Small Signal'!$B$37&gt;=1,Q189+0,N189+0)</f>
        <v>-44.702046458433884</v>
      </c>
      <c r="J189" s="85">
        <f>IF('Small Signal'!$B$37&gt;=1,R189,O189)</f>
        <v>-133.82607367334919</v>
      </c>
      <c r="K189" s="85">
        <f>IF('Small Signal'!$B$37&gt;=1,Z189+0,W189+0)</f>
        <v>-72.16739059418478</v>
      </c>
      <c r="L189" s="85">
        <f>IF('Small Signal'!$B$37&gt;=1,AA189,X189)</f>
        <v>-35.59895506865606</v>
      </c>
      <c r="M189" s="85" t="str">
        <f>IMDIV(IMSUM('Small Signal'!$B$2*'Small Signal'!$B$16*'Small Signal'!$B$38,IMPRODUCT(H189,'Small Signal'!$B$2*'Small Signal'!$B$16*'Small Signal'!$B$38*'Small Signal'!$B$13*'Small Signal'!$B$14)),IMSUM(IMPRODUCT('Small Signal'!$B$11*'Small Signal'!$B$13*('Small Signal'!$B$14+'Small Signal'!$B$16),IMPOWER(H189,2)),IMSUM(IMPRODUCT(H189,('Small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-0.00402994960470088-0.00419856627099209i</v>
      </c>
      <c r="N189" s="85">
        <f t="shared" si="28"/>
        <v>-44.702046458433884</v>
      </c>
      <c r="O189" s="85">
        <f t="shared" si="29"/>
        <v>-133.82607367334919</v>
      </c>
      <c r="P189" s="85" t="str">
        <f>IMDIV(IMSUM('Small Signal'!$B$48,IMPRODUCT(H189,'Small Signal'!$B$49)),IMSUM(IMPRODUCT('Small Signal'!$B$52,IMPOWER(H189,2)),IMSUM(IMPRODUCT(H189,'Small Signal'!$B$51),'Small Signal'!$B$50)))</f>
        <v>-0.0027585249817599-0.00260486289819976i</v>
      </c>
      <c r="Q189" s="85">
        <f t="shared" si="30"/>
        <v>-48.41795245961257</v>
      </c>
      <c r="R189" s="85">
        <f t="shared" si="31"/>
        <v>-136.64108606682387</v>
      </c>
      <c r="S189" s="85" t="str">
        <f>IMPRODUCT(IMDIV(IMSUM(IMPRODUCT(H189,'Small Signal'!$B$33*'Small Signal'!$B$6*'Small Signal'!$B$27*'Small Signal'!$B$7*'Small Signal'!$B$8),'Small Signal'!$B$33*'Small Signal'!$B$6*'Small Signal'!$B$27),IMSUM(IMSUM(IMPRODUCT(H189,('Small Signal'!$B$5+'Small Signal'!$B$6)*('Small Signal'!$B$32*'Small Signal'!$B$33)+'Small Signal'!$B$5*'Small Signal'!$B$33*('Small Signal'!$B$8+'Small Signal'!$B$9)+'Small Signal'!$B$6*'Small Signal'!$B$33*('Small Signal'!$B$8+'Small Signal'!$B$9)+'Small Signal'!$B$7*'Small Signal'!$B$8*('Small Signal'!$B$5+'Small Signal'!$B$6)),'Small Signal'!$B$6+'Small Signal'!$B$5),IMPRODUCT(IMPOWER(H189,2),'Small Signal'!$B$32*'Small Signal'!$B$33*'Small Signal'!$B$8*'Small Signal'!$B$7*('Small Signal'!$B$5+'Small Signal'!$B$6)+('Small Signal'!$B$5+'Small Signal'!$B$6)*('Small Signal'!$B$9*'Small Signal'!$B$8*'Small Signal'!$B$33*'Small Signal'!$B$7)))),-1)</f>
        <v>-0.00605849144087372+0.0419025200682082i</v>
      </c>
      <c r="T189" s="85">
        <f t="shared" si="32"/>
        <v>-27.465344135750914</v>
      </c>
      <c r="U189" s="85">
        <f t="shared" si="33"/>
        <v>98.22711860469317</v>
      </c>
      <c r="V189" s="85" t="str">
        <f t="shared" si="34"/>
        <v>0.000200345922615181-0.0001434280663681i</v>
      </c>
      <c r="W189" s="80">
        <f t="shared" si="35"/>
        <v>-72.16739059418478</v>
      </c>
      <c r="X189" s="85">
        <f t="shared" si="36"/>
        <v>-35.59895506865606</v>
      </c>
      <c r="Y189" s="85" t="str">
        <f t="shared" si="37"/>
        <v>0.000125862819858175-0.0000998076088334551i</v>
      </c>
      <c r="Z189" s="80">
        <f t="shared" si="38"/>
        <v>-75.88329659536349</v>
      </c>
      <c r="AA189" s="85">
        <f t="shared" si="39"/>
        <v>-38.413967462130735</v>
      </c>
    </row>
    <row r="190" spans="6:27" ht="12.75">
      <c r="F190" s="84">
        <v>188</v>
      </c>
      <c r="G190" s="85">
        <f>10^('Small Signal'!F190/30)</f>
        <v>1847849.797422294</v>
      </c>
      <c r="H190" s="85" t="str">
        <f t="shared" si="27"/>
        <v>11610382.6970385i</v>
      </c>
      <c r="I190" s="85">
        <f>IF('Small Signal'!$B$37&gt;=1,Q190+0,N190+0)</f>
        <v>-45.71866669144249</v>
      </c>
      <c r="J190" s="85">
        <f>IF('Small Signal'!$B$37&gt;=1,R190,O190)</f>
        <v>-131.9210941864135</v>
      </c>
      <c r="K190" s="85">
        <f>IF('Small Signal'!$B$37&gt;=1,Z190+0,W190+0)</f>
        <v>-73.83756385366289</v>
      </c>
      <c r="L190" s="85">
        <f>IF('Small Signal'!$B$37&gt;=1,AA190,X190)</f>
        <v>-34.29397581796154</v>
      </c>
      <c r="M190" s="85" t="str">
        <f>IMDIV(IMSUM('Small Signal'!$B$2*'Small Signal'!$B$16*'Small Signal'!$B$38,IMPRODUCT(H190,'Small Signal'!$B$2*'Small Signal'!$B$16*'Small Signal'!$B$38*'Small Signal'!$B$13*'Small Signal'!$B$14)),IMSUM(IMPRODUCT('Small Signal'!$B$11*'Small Signal'!$B$13*('Small Signal'!$B$14+'Small Signal'!$B$16),IMPOWER(H190,2)),IMSUM(IMPRODUCT(H190,('Small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-0.00345869596517085-0.00385192574296384i</v>
      </c>
      <c r="N190" s="85">
        <f t="shared" si="28"/>
        <v>-45.71866669144249</v>
      </c>
      <c r="O190" s="85">
        <f t="shared" si="29"/>
        <v>-131.9210941864135</v>
      </c>
      <c r="P190" s="85" t="str">
        <f>IMDIV(IMSUM('Small Signal'!$B$48,IMPRODUCT(H190,'Small Signal'!$B$49)),IMSUM(IMPRODUCT('Small Signal'!$B$52,IMPOWER(H190,2)),IMSUM(IMPRODUCT(H190,'Small Signal'!$B$51),'Small Signal'!$B$50)))</f>
        <v>-0.00236608039045189-0.0024053183448359i</v>
      </c>
      <c r="Q190" s="85">
        <f t="shared" si="30"/>
        <v>-49.43709204326482</v>
      </c>
      <c r="R190" s="85">
        <f t="shared" si="31"/>
        <v>-134.5288344926521</v>
      </c>
      <c r="S190" s="85" t="str">
        <f>IMPRODUCT(IMDIV(IMSUM(IMPRODUCT(H190,'Small Signal'!$B$33*'Small Signal'!$B$6*'Small Signal'!$B$27*'Small Signal'!$B$7*'Small Signal'!$B$8),'Small Signal'!$B$33*'Small Signal'!$B$6*'Small Signal'!$B$27),IMSUM(IMSUM(IMPRODUCT(H190,('Small Signal'!$B$5+'Small Signal'!$B$6)*('Small Signal'!$B$32*'Small Signal'!$B$33)+'Small Signal'!$B$5*'Small Signal'!$B$33*('Small Signal'!$B$8+'Small Signal'!$B$9)+'Small Signal'!$B$6*'Small Signal'!$B$33*('Small Signal'!$B$8+'Small Signal'!$B$9)+'Small Signal'!$B$7*'Small Signal'!$B$8*('Small Signal'!$B$5+'Small Signal'!$B$6)),'Small Signal'!$B$6+'Small Signal'!$B$5),IMPRODUCT(IMPOWER(H190,2),'Small Signal'!$B$32*'Small Signal'!$B$33*'Small Signal'!$B$8*'Small Signal'!$B$7*('Small Signal'!$B$5+'Small Signal'!$B$6)+('Small Signal'!$B$5+'Small Signal'!$B$6)*('Small Signal'!$B$9*'Small Signal'!$B$8*'Small Signal'!$B$33*'Small Signal'!$B$7)))),-1)</f>
        <v>-0.00521206214915612+0.0389220555316673i</v>
      </c>
      <c r="T190" s="85">
        <f t="shared" si="32"/>
        <v>-28.118897162220378</v>
      </c>
      <c r="U190" s="85">
        <f t="shared" si="33"/>
        <v>97.62711836845214</v>
      </c>
      <c r="V190" s="85" t="str">
        <f t="shared" si="34"/>
        <v>0.000167951805997003-0.000114543080057272i</v>
      </c>
      <c r="W190" s="80">
        <f t="shared" si="35"/>
        <v>-73.83756385366289</v>
      </c>
      <c r="X190" s="85">
        <f t="shared" si="36"/>
        <v>-34.29397581796154</v>
      </c>
      <c r="Y190" s="85" t="str">
        <f t="shared" si="37"/>
        <v>0.000105952092233976-0.0000795560436477675i</v>
      </c>
      <c r="Z190" s="80">
        <f t="shared" si="38"/>
        <v>-77.55598920548519</v>
      </c>
      <c r="AA190" s="85">
        <f t="shared" si="39"/>
        <v>-36.901716124199915</v>
      </c>
    </row>
    <row r="191" spans="6:27" ht="12.75">
      <c r="F191" s="84">
        <v>189</v>
      </c>
      <c r="G191" s="85">
        <f>10^('Small Signal'!F191/30)</f>
        <v>1995262.31496888</v>
      </c>
      <c r="H191" s="85" t="str">
        <f t="shared" si="27"/>
        <v>12536602.8613816i</v>
      </c>
      <c r="I191" s="85">
        <f>IF('Small Signal'!$B$37&gt;=1,Q191+0,N191+0)</f>
        <v>-46.71011597912512</v>
      </c>
      <c r="J191" s="85">
        <f>IF('Small Signal'!$B$37&gt;=1,R191,O191)</f>
        <v>-129.99156873376526</v>
      </c>
      <c r="K191" s="85">
        <f>IF('Small Signal'!$B$37&gt;=1,Z191+0,W191+0)</f>
        <v>-75.4844006415549</v>
      </c>
      <c r="L191" s="85">
        <f>IF('Small Signal'!$B$37&gt;=1,AA191,X191)</f>
        <v>-32.92171115559752</v>
      </c>
      <c r="M191" s="85" t="str">
        <f>IMDIV(IMSUM('Small Signal'!$B$2*'Small Signal'!$B$16*'Small Signal'!$B$38,IMPRODUCT(H191,'Small Signal'!$B$2*'Small Signal'!$B$16*'Small Signal'!$B$38*'Small Signal'!$B$13*'Small Signal'!$B$14)),IMSUM(IMPRODUCT('Small Signal'!$B$11*'Small Signal'!$B$13*('Small Signal'!$B$14+'Small Signal'!$B$16),IMPOWER(H191,2)),IMSUM(IMPRODUCT(H191,('Small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-0.00296814780655489-0.00353835810850482i</v>
      </c>
      <c r="N191" s="85">
        <f t="shared" si="28"/>
        <v>-46.71011597912512</v>
      </c>
      <c r="O191" s="85">
        <f t="shared" si="29"/>
        <v>-129.99156873376526</v>
      </c>
      <c r="P191" s="85" t="str">
        <f>IMDIV(IMSUM('Small Signal'!$B$48,IMPRODUCT(H191,'Small Signal'!$B$49)),IMSUM(IMPRODUCT('Small Signal'!$B$52,IMPOWER(H191,2)),IMSUM(IMPRODUCT(H191,'Small Signal'!$B$51),'Small Signal'!$B$50)))</f>
        <v>-0.00202945456674385-0.00222197506545063i</v>
      </c>
      <c r="Q191" s="85">
        <f t="shared" si="30"/>
        <v>-50.43070346644565</v>
      </c>
      <c r="R191" s="85">
        <f t="shared" si="31"/>
        <v>-132.40720594736482</v>
      </c>
      <c r="S191" s="85" t="str">
        <f>IMPRODUCT(IMDIV(IMSUM(IMPRODUCT(H191,'Small Signal'!$B$33*'Small Signal'!$B$6*'Small Signal'!$B$27*'Small Signal'!$B$7*'Small Signal'!$B$8),'Small Signal'!$B$33*'Small Signal'!$B$6*'Small Signal'!$B$27),IMSUM(IMSUM(IMPRODUCT(H191,('Small Signal'!$B$5+'Small Signal'!$B$6)*('Small Signal'!$B$32*'Small Signal'!$B$33)+'Small Signal'!$B$5*'Small Signal'!$B$33*('Small Signal'!$B$8+'Small Signal'!$B$9)+'Small Signal'!$B$6*'Small Signal'!$B$33*('Small Signal'!$B$8+'Small Signal'!$B$9)+'Small Signal'!$B$7*'Small Signal'!$B$8*('Small Signal'!$B$5+'Small Signal'!$B$6)),'Small Signal'!$B$6+'Small Signal'!$B$5),IMPRODUCT(IMPOWER(H191,2),'Small Signal'!$B$32*'Small Signal'!$B$33*'Small Signal'!$B$8*'Small Signal'!$B$7*('Small Signal'!$B$5+'Small Signal'!$B$6)+('Small Signal'!$B$5+'Small Signal'!$B$6)*('Small Signal'!$B$9*'Small Signal'!$B$8*'Small Signal'!$B$33*'Small Signal'!$B$7)))),-1)</f>
        <v>-0.00448199295742932+0.0361385841151425i</v>
      </c>
      <c r="T191" s="85">
        <f t="shared" si="32"/>
        <v>-28.774284662429768</v>
      </c>
      <c r="U191" s="85">
        <f t="shared" si="33"/>
        <v>97.06985757816778</v>
      </c>
      <c r="V191" s="85" t="str">
        <f t="shared" si="34"/>
        <v>0.000141174469699286-0.0000914057630501781i</v>
      </c>
      <c r="W191" s="80">
        <f t="shared" si="35"/>
        <v>-75.4844006415549</v>
      </c>
      <c r="X191" s="85">
        <f t="shared" si="36"/>
        <v>-32.92171115559752</v>
      </c>
      <c r="Y191" s="85" t="str">
        <f t="shared" si="37"/>
        <v>0.0000893950338801056-0.0000633827379731994i</v>
      </c>
      <c r="Z191" s="80">
        <f t="shared" si="38"/>
        <v>-79.20498812887541</v>
      </c>
      <c r="AA191" s="85">
        <f t="shared" si="39"/>
        <v>-35.33734836919702</v>
      </c>
    </row>
    <row r="192" spans="6:27" ht="12.75">
      <c r="F192" s="84">
        <v>190</v>
      </c>
      <c r="G192" s="85">
        <f>10^('Small Signal'!F192/30)</f>
        <v>2154434.6900318847</v>
      </c>
      <c r="H192" s="85" t="str">
        <f t="shared" si="27"/>
        <v>13536712.3896863i</v>
      </c>
      <c r="I192" s="85">
        <f>IF('Small Signal'!$B$37&gt;=1,Q192+0,N192+0)</f>
        <v>-47.67641414299922</v>
      </c>
      <c r="J192" s="85">
        <f>IF('Small Signal'!$B$37&gt;=1,R192,O192)</f>
        <v>-128.05193166229193</v>
      </c>
      <c r="K192" s="85">
        <f>IF('Small Signal'!$B$37&gt;=1,Z192+0,W192+0)</f>
        <v>-77.10766797123063</v>
      </c>
      <c r="L192" s="85">
        <f>IF('Small Signal'!$B$37&gt;=1,AA192,X192)</f>
        <v>-31.499432811699545</v>
      </c>
      <c r="M192" s="85" t="str">
        <f>IMDIV(IMSUM('Small Signal'!$B$2*'Small Signal'!$B$16*'Small Signal'!$B$38,IMPRODUCT(H192,'Small Signal'!$B$2*'Small Signal'!$B$16*'Small Signal'!$B$38*'Small Signal'!$B$13*'Small Signal'!$B$14)),IMSUM(IMPRODUCT('Small Signal'!$B$11*'Small Signal'!$B$13*('Small Signal'!$B$14+'Small Signal'!$B$16),IMPOWER(H192,2)),IMSUM(IMPRODUCT(H192,('Small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-0.00254697470203385-0.00325389555064903i</v>
      </c>
      <c r="N192" s="85">
        <f t="shared" si="28"/>
        <v>-47.67641414299922</v>
      </c>
      <c r="O192" s="85">
        <f t="shared" si="29"/>
        <v>-128.05193166229193</v>
      </c>
      <c r="P192" s="85" t="str">
        <f>IMDIV(IMSUM('Small Signal'!$B$48,IMPRODUCT(H192,'Small Signal'!$B$49)),IMSUM(IMPRODUCT('Small Signal'!$B$52,IMPOWER(H192,2)),IMSUM(IMPRODUCT(H192,'Small Signal'!$B$51),'Small Signal'!$B$50)))</f>
        <v>-0.0017407115940083-0.00205333619728904i</v>
      </c>
      <c r="Q192" s="85">
        <f t="shared" si="30"/>
        <v>-51.398857041525815</v>
      </c>
      <c r="R192" s="85">
        <f t="shared" si="31"/>
        <v>-130.28954367601497</v>
      </c>
      <c r="S192" s="85" t="str">
        <f>IMPRODUCT(IMDIV(IMSUM(IMPRODUCT(H192,'Small Signal'!$B$33*'Small Signal'!$B$6*'Small Signal'!$B$27*'Small Signal'!$B$7*'Small Signal'!$B$8),'Small Signal'!$B$33*'Small Signal'!$B$6*'Small Signal'!$B$27),IMSUM(IMSUM(IMPRODUCT(H192,('Small Signal'!$B$5+'Small Signal'!$B$6)*('Small Signal'!$B$32*'Small Signal'!$B$33)+'Small Signal'!$B$5*'Small Signal'!$B$33*('Small Signal'!$B$8+'Small Signal'!$B$9)+'Small Signal'!$B$6*'Small Signal'!$B$33*('Small Signal'!$B$8+'Small Signal'!$B$9)+'Small Signal'!$B$7*'Small Signal'!$B$8*('Small Signal'!$B$5+'Small Signal'!$B$6)),'Small Signal'!$B$6+'Small Signal'!$B$5),IMPRODUCT(IMPOWER(H192,2),'Small Signal'!$B$32*'Small Signal'!$B$33*'Small Signal'!$B$8*'Small Signal'!$B$7*('Small Signal'!$B$5+'Small Signal'!$B$6)+('Small Signal'!$B$5+'Small Signal'!$B$6)*('Small Signal'!$B$9*'Small Signal'!$B$8*'Small Signal'!$B$33*'Small Signal'!$B$7)))),-1)</f>
        <v>-0.00385278291891364+0.0335421630709084i</v>
      </c>
      <c r="T192" s="85">
        <f t="shared" si="32"/>
        <v>-29.431253828231384</v>
      </c>
      <c r="U192" s="85">
        <f t="shared" si="33"/>
        <v>96.55249885059243</v>
      </c>
      <c r="V192" s="85" t="str">
        <f t="shared" si="34"/>
        <v>0.000118955635802474-0.000072894487595628i</v>
      </c>
      <c r="W192" s="80">
        <f t="shared" si="35"/>
        <v>-77.10766797123063</v>
      </c>
      <c r="X192" s="85">
        <f t="shared" si="36"/>
        <v>-31.499432811699545</v>
      </c>
      <c r="Y192" s="85" t="str">
        <f t="shared" si="37"/>
        <v>0.000075579921465018-0.000050476173517945i</v>
      </c>
      <c r="Z192" s="80">
        <f t="shared" si="38"/>
        <v>-80.83011086975719</v>
      </c>
      <c r="AA192" s="85">
        <f t="shared" si="39"/>
        <v>-33.737044825422565</v>
      </c>
    </row>
    <row r="193" spans="6:27" ht="12.75">
      <c r="F193" s="84">
        <v>191</v>
      </c>
      <c r="G193" s="85">
        <f>10^('Small Signal'!F193/30)</f>
        <v>2326305.067153628</v>
      </c>
      <c r="H193" s="85" t="str">
        <f t="shared" si="27"/>
        <v>14616605.8179571i</v>
      </c>
      <c r="I193" s="85">
        <f>IF('Small Signal'!$B$37&gt;=1,Q193+0,N193+0)</f>
        <v>-48.617883755580294</v>
      </c>
      <c r="J193" s="85">
        <f>IF('Small Signal'!$B$37&gt;=1,R193,O193)</f>
        <v>-126.1162306895523</v>
      </c>
      <c r="K193" s="85">
        <f>IF('Small Signal'!$B$37&gt;=1,Z193+0,W193+0)</f>
        <v>-78.70746944760027</v>
      </c>
      <c r="L193" s="85">
        <f>IF('Small Signal'!$B$37&gt;=1,AA193,X193)</f>
        <v>-30.043880049651577</v>
      </c>
      <c r="M193" s="85" t="str">
        <f>IMDIV(IMSUM('Small Signal'!$B$2*'Small Signal'!$B$16*'Small Signal'!$B$38,IMPRODUCT(H193,'Small Signal'!$B$2*'Small Signal'!$B$16*'Small Signal'!$B$38*'Small Signal'!$B$13*'Small Signal'!$B$14)),IMSUM(IMPRODUCT('Small Signal'!$B$11*'Small Signal'!$B$13*('Small Signal'!$B$14+'Small Signal'!$B$16),IMPOWER(H193,2)),IMSUM(IMPRODUCT(H193,('Small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-0.00218541805479092-0.00299517358167428i</v>
      </c>
      <c r="N193" s="85">
        <f t="shared" si="28"/>
        <v>-48.617883755580294</v>
      </c>
      <c r="O193" s="85">
        <f t="shared" si="29"/>
        <v>-126.1162306895523</v>
      </c>
      <c r="P193" s="85" t="str">
        <f>IMDIV(IMSUM('Small Signal'!$B$48,IMPRODUCT(H193,'Small Signal'!$B$49)),IMSUM(IMPRODUCT('Small Signal'!$B$52,IMPOWER(H193,2)),IMSUM(IMPRODUCT(H193,'Small Signal'!$B$51),'Small Signal'!$B$50)))</f>
        <v>-0.00149304293385673-0.00189807711042718i</v>
      </c>
      <c r="Q193" s="85">
        <f t="shared" si="30"/>
        <v>-52.34191873694129</v>
      </c>
      <c r="R193" s="85">
        <f t="shared" si="31"/>
        <v>-128.18887885698098</v>
      </c>
      <c r="S193" s="85" t="str">
        <f>IMPRODUCT(IMDIV(IMSUM(IMPRODUCT(H193,'Small Signal'!$B$33*'Small Signal'!$B$6*'Small Signal'!$B$27*'Small Signal'!$B$7*'Small Signal'!$B$8),'Small Signal'!$B$33*'Small Signal'!$B$6*'Small Signal'!$B$27),IMSUM(IMSUM(IMPRODUCT(H193,('Small Signal'!$B$5+'Small Signal'!$B$6)*('Small Signal'!$B$32*'Small Signal'!$B$33)+'Small Signal'!$B$5*'Small Signal'!$B$33*('Small Signal'!$B$8+'Small Signal'!$B$9)+'Small Signal'!$B$6*'Small Signal'!$B$33*('Small Signal'!$B$8+'Small Signal'!$B$9)+'Small Signal'!$B$7*'Small Signal'!$B$8*('Small Signal'!$B$5+'Small Signal'!$B$6)),'Small Signal'!$B$6+'Small Signal'!$B$5),IMPRODUCT(IMPOWER(H193,2),'Small Signal'!$B$32*'Small Signal'!$B$33*'Small Signal'!$B$8*'Small Signal'!$B$7*('Small Signal'!$B$5+'Small Signal'!$B$6)+('Small Signal'!$B$5+'Small Signal'!$B$6)*('Small Signal'!$B$9*'Small Signal'!$B$8*'Small Signal'!$B$33*'Small Signal'!$B$7)))),-1)</f>
        <v>-0.00331086596402603+0.0311226862233792i</v>
      </c>
      <c r="T193" s="85">
        <f t="shared" si="32"/>
        <v>-30.08958569202</v>
      </c>
      <c r="U193" s="85">
        <f t="shared" si="33"/>
        <v>96.07235063990062</v>
      </c>
      <c r="V193" s="85" t="str">
        <f t="shared" si="34"/>
        <v>0.000100453473821779-0.0000580994621182502i</v>
      </c>
      <c r="W193" s="80">
        <f t="shared" si="35"/>
        <v>-78.70746944760027</v>
      </c>
      <c r="X193" s="85">
        <f t="shared" si="36"/>
        <v>-30.043880049651577</v>
      </c>
      <c r="Y193" s="85" t="str">
        <f t="shared" si="37"/>
        <v>0.0000640165233681392-0.0000401832278464463i</v>
      </c>
      <c r="Z193" s="80">
        <f t="shared" si="38"/>
        <v>-82.43150442896129</v>
      </c>
      <c r="AA193" s="85">
        <f t="shared" si="39"/>
        <v>-32.11652821708037</v>
      </c>
    </row>
    <row r="194" spans="6:27" ht="12.75">
      <c r="F194" s="84">
        <v>192</v>
      </c>
      <c r="G194" s="85">
        <f>10^('Small Signal'!F194/30)</f>
        <v>2511886.431509587</v>
      </c>
      <c r="H194" s="85" t="str">
        <f aca="true" t="shared" si="40" ref="H194:H212">COMPLEX(0,G194*2*PI())</f>
        <v>15782647.9197648i</v>
      </c>
      <c r="I194" s="85">
        <f>IF('Small Signal'!$B$37&gt;=1,Q194+0,N194+0)</f>
        <v>-49.53513220772539</v>
      </c>
      <c r="J194" s="85">
        <f>IF('Small Signal'!$B$37&gt;=1,R194,O194)</f>
        <v>-124.19777803456765</v>
      </c>
      <c r="K194" s="85">
        <f>IF('Small Signal'!$B$37&gt;=1,Z194+0,W194+0)</f>
        <v>-80.28422306706207</v>
      </c>
      <c r="L194" s="85">
        <f>IF('Small Signal'!$B$37&gt;=1,AA194,X194)</f>
        <v>-28.57090909955666</v>
      </c>
      <c r="M194" s="85" t="str">
        <f>IMDIV(IMSUM('Small Signal'!$B$2*'Small Signal'!$B$16*'Small Signal'!$B$38,IMPRODUCT(H194,'Small Signal'!$B$2*'Small Signal'!$B$16*'Small Signal'!$B$38*'Small Signal'!$B$13*'Small Signal'!$B$14)),IMSUM(IMPRODUCT('Small Signal'!$B$11*'Small Signal'!$B$13*('Small Signal'!$B$14+'Small Signal'!$B$16),IMPOWER(H194,2)),IMSUM(IMPRODUCT(H194,('Small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-0.00187507804337279-0.00275932372905361i</v>
      </c>
      <c r="N194" s="85">
        <f aca="true" t="shared" si="41" ref="N194:N212">20*LOG(IMABS(M194))</f>
        <v>-49.53513220772539</v>
      </c>
      <c r="O194" s="85">
        <f aca="true" t="shared" si="42" ref="O194:O212">(180/PI())*IMARGUMENT(M194)</f>
        <v>-124.19777803456765</v>
      </c>
      <c r="P194" s="85" t="str">
        <f>IMDIV(IMSUM('Small Signal'!$B$48,IMPRODUCT(H194,'Small Signal'!$B$49)),IMSUM(IMPRODUCT('Small Signal'!$B$52,IMPOWER(H194,2)),IMSUM(IMPRODUCT(H194,'Small Signal'!$B$51),'Small Signal'!$B$50)))</f>
        <v>-0.00128060750695723-0.00175502001649348i</v>
      </c>
      <c r="Q194" s="85">
        <f aca="true" t="shared" si="43" ref="Q194:Q212">20*LOG(IMABS(P194))</f>
        <v>-53.26053323048761</v>
      </c>
      <c r="R194" s="85">
        <f aca="true" t="shared" si="44" ref="R194:R212">(180/PI())*IMARGUMENT(P194)</f>
        <v>-126.1175774557357</v>
      </c>
      <c r="S194" s="85" t="str">
        <f>IMPRODUCT(IMDIV(IMSUM(IMPRODUCT(H194,'Small Signal'!$B$33*'Small Signal'!$B$6*'Small Signal'!$B$27*'Small Signal'!$B$7*'Small Signal'!$B$8),'Small Signal'!$B$33*'Small Signal'!$B$6*'Small Signal'!$B$27),IMSUM(IMSUM(IMPRODUCT(H194,('Small Signal'!$B$5+'Small Signal'!$B$6)*('Small Signal'!$B$32*'Small Signal'!$B$33)+'Small Signal'!$B$5*'Small Signal'!$B$33*('Small Signal'!$B$8+'Small Signal'!$B$9)+'Small Signal'!$B$6*'Small Signal'!$B$33*('Small Signal'!$B$8+'Small Signal'!$B$9)+'Small Signal'!$B$7*'Small Signal'!$B$8*('Small Signal'!$B$5+'Small Signal'!$B$6)),'Small Signal'!$B$6+'Small Signal'!$B$5),IMPRODUCT(IMPOWER(H194,2),'Small Signal'!$B$32*'Small Signal'!$B$33*'Small Signal'!$B$8*'Small Signal'!$B$7*('Small Signal'!$B$5+'Small Signal'!$B$6)+('Small Signal'!$B$5+'Small Signal'!$B$6)*('Small Signal'!$B$9*'Small Signal'!$B$8*'Small Signal'!$B$33*'Small Signal'!$B$7)))),-1)</f>
        <v>-0.00284440408310596+0.0288700651357717i</v>
      </c>
      <c r="T194" s="85">
        <f aca="true" t="shared" si="45" ref="T194:T212">20*LOG(IMABS(S194))</f>
        <v>-30.749090859336704</v>
      </c>
      <c r="U194" s="85">
        <f aca="true" t="shared" si="46" ref="U194:U212">(180/PI())*IMARGUMENT(S194)</f>
        <v>95.626868935011</v>
      </c>
      <c r="V194" s="85" t="str">
        <f aca="true" t="shared" si="47" ref="V194:V212">IMPRODUCT(M194,S194)</f>
        <v>0.0000849953354311701-0.0000462849935652966i</v>
      </c>
      <c r="W194" s="80">
        <f aca="true" t="shared" si="48" ref="W194:W212">20*LOG(IMABS(V194))</f>
        <v>-80.28422306706207</v>
      </c>
      <c r="X194" s="85">
        <f aca="true" t="shared" si="49" ref="X194:X212">(180/PI())*IMARGUMENT(V194)</f>
        <v>-28.57090909955666</v>
      </c>
      <c r="Y194" s="85" t="str">
        <f aca="true" t="shared" si="50" ref="Y194:Y212">IMPRODUCT(P194,S194)</f>
        <v>0.0000543101074123952-0.0000319792360383667i</v>
      </c>
      <c r="Z194" s="80">
        <f aca="true" t="shared" si="51" ref="Z194:Z212">20*LOG(IMABS(Y194))</f>
        <v>-84.00962408982431</v>
      </c>
      <c r="AA194" s="85">
        <f aca="true" t="shared" si="52" ref="AA194:AA212">(180/PI())*IMARGUMENT(Y194)</f>
        <v>-30.49070852072468</v>
      </c>
    </row>
    <row r="195" spans="6:27" ht="12.75">
      <c r="F195" s="84">
        <v>193</v>
      </c>
      <c r="G195" s="85">
        <f>10^('Small Signal'!F195/30)</f>
        <v>2712272.579332032</v>
      </c>
      <c r="H195" s="85" t="str">
        <f t="shared" si="40"/>
        <v>17041711.2195251i</v>
      </c>
      <c r="I195" s="85">
        <f>IF('Small Signal'!$B$37&gt;=1,Q195+0,N195+0)</f>
        <v>-50.42902205060293</v>
      </c>
      <c r="J195" s="85">
        <f>IF('Small Signal'!$B$37&gt;=1,R195,O195)</f>
        <v>-122.30884460750484</v>
      </c>
      <c r="K195" s="85">
        <f>IF('Small Signal'!$B$37&gt;=1,Z195+0,W195+0)</f>
        <v>-81.83862776026176</v>
      </c>
      <c r="L195" s="85">
        <f>IF('Small Signal'!$B$37&gt;=1,AA195,X195)</f>
        <v>-27.095188140091967</v>
      </c>
      <c r="M195" s="85" t="str">
        <f>IMDIV(IMSUM('Small Signal'!$B$2*'Small Signal'!$B$16*'Small Signal'!$B$38,IMPRODUCT(H195,'Small Signal'!$B$2*'Small Signal'!$B$16*'Small Signal'!$B$38*'Small Signal'!$B$13*'Small Signal'!$B$14)),IMSUM(IMPRODUCT('Small Signal'!$B$11*'Small Signal'!$B$13*('Small Signal'!$B$14+'Small Signal'!$B$16),IMPOWER(H195,2)),IMSUM(IMPRODUCT(H195,('Small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-0.00160872811135308-0.00254388671949939i</v>
      </c>
      <c r="N195" s="85">
        <f t="shared" si="41"/>
        <v>-50.42902205060293</v>
      </c>
      <c r="O195" s="85">
        <f t="shared" si="42"/>
        <v>-122.30884460750484</v>
      </c>
      <c r="P195" s="85" t="str">
        <f>IMDIV(IMSUM('Small Signal'!$B$48,IMPRODUCT(H195,'Small Signal'!$B$49)),IMSUM(IMPRODUCT('Small Signal'!$B$52,IMPOWER(H195,2)),IMSUM(IMPRODUCT(H195,'Small Signal'!$B$51),'Small Signal'!$B$50)))</f>
        <v>-0.00109839439591005-0.00162311305475434i</v>
      </c>
      <c r="Q195" s="85">
        <f t="shared" si="43"/>
        <v>-54.15559510314732</v>
      </c>
      <c r="R195" s="85">
        <f t="shared" si="44"/>
        <v>-124.08703020409719</v>
      </c>
      <c r="S195" s="85" t="str">
        <f>IMPRODUCT(IMDIV(IMSUM(IMPRODUCT(H195,'Small Signal'!$B$33*'Small Signal'!$B$6*'Small Signal'!$B$27*'Small Signal'!$B$7*'Small Signal'!$B$8),'Small Signal'!$B$33*'Small Signal'!$B$6*'Small Signal'!$B$27),IMSUM(IMSUM(IMPRODUCT(H195,('Small Signal'!$B$5+'Small Signal'!$B$6)*('Small Signal'!$B$32*'Small Signal'!$B$33)+'Small Signal'!$B$5*'Small Signal'!$B$33*('Small Signal'!$B$8+'Small Signal'!$B$9)+'Small Signal'!$B$6*'Small Signal'!$B$33*('Small Signal'!$B$8+'Small Signal'!$B$9)+'Small Signal'!$B$7*'Small Signal'!$B$8*('Small Signal'!$B$5+'Small Signal'!$B$6)),'Small Signal'!$B$6+'Small Signal'!$B$5),IMPRODUCT(IMPOWER(H195,2),'Small Signal'!$B$32*'Small Signal'!$B$33*'Small Signal'!$B$8*'Small Signal'!$B$7*('Small Signal'!$B$5+'Small Signal'!$B$6)+('Small Signal'!$B$5+'Small Signal'!$B$6)*('Small Signal'!$B$9*'Small Signal'!$B$8*'Small Signal'!$B$33*'Small Signal'!$B$7)))),-1)</f>
        <v>-0.00244309294287002+0.0267743668980024i</v>
      </c>
      <c r="T195" s="85">
        <f t="shared" si="45"/>
        <v>-31.409605709658837</v>
      </c>
      <c r="U195" s="85">
        <f t="shared" si="46"/>
        <v>95.21365646741289</v>
      </c>
      <c r="V195" s="85" t="str">
        <f t="shared" si="47"/>
        <v>0.0000720412286706757-0.0000368577250006281i</v>
      </c>
      <c r="W195" s="80">
        <f t="shared" si="48"/>
        <v>-81.83862776026176</v>
      </c>
      <c r="X195" s="85">
        <f t="shared" si="49"/>
        <v>-27.095188140091967</v>
      </c>
      <c r="Y195" s="85" t="str">
        <f t="shared" si="50"/>
        <v>0.000046141304042066-0.0000254433985052549i</v>
      </c>
      <c r="Z195" s="80">
        <f t="shared" si="51"/>
        <v>-85.56520081280615</v>
      </c>
      <c r="AA195" s="85">
        <f t="shared" si="52"/>
        <v>-28.873373736684332</v>
      </c>
    </row>
    <row r="196" spans="6:27" ht="12.75">
      <c r="F196" s="84">
        <v>194</v>
      </c>
      <c r="G196" s="85">
        <f>10^('Small Signal'!F196/30)</f>
        <v>2928644.5646252413</v>
      </c>
      <c r="H196" s="85" t="str">
        <f t="shared" si="40"/>
        <v>18401216.4984047i</v>
      </c>
      <c r="I196" s="85">
        <f>IF('Small Signal'!$B$37&gt;=1,Q196+0,N196+0)</f>
        <v>-51.30063223161252</v>
      </c>
      <c r="J196" s="85">
        <f>IF('Small Signal'!$B$37&gt;=1,R196,O196)</f>
        <v>-120.46041564533274</v>
      </c>
      <c r="K196" s="85">
        <f>IF('Small Signal'!$B$37&gt;=1,Z196+0,W196+0)</f>
        <v>-83.37162126502471</v>
      </c>
      <c r="L196" s="85">
        <f>IF('Small Signal'!$B$37&gt;=1,AA196,X196)</f>
        <v>-25.629955607485158</v>
      </c>
      <c r="M196" s="85" t="str">
        <f>IMDIV(IMSUM('Small Signal'!$B$2*'Small Signal'!$B$16*'Small Signal'!$B$38,IMPRODUCT(H196,'Small Signal'!$B$2*'Small Signal'!$B$16*'Small Signal'!$B$38*'Small Signal'!$B$13*'Small Signal'!$B$14)),IMSUM(IMPRODUCT('Small Signal'!$B$11*'Small Signal'!$B$13*('Small Signal'!$B$14+'Small Signal'!$B$16),IMPOWER(H196,2)),IMSUM(IMPRODUCT(H196,('Small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-0.00138015380252849-0.00234674216689283i</v>
      </c>
      <c r="N196" s="85">
        <f t="shared" si="41"/>
        <v>-51.30063223161252</v>
      </c>
      <c r="O196" s="85">
        <f t="shared" si="42"/>
        <v>-120.46041564533274</v>
      </c>
      <c r="P196" s="85" t="str">
        <f>IMDIV(IMSUM('Small Signal'!$B$48,IMPRODUCT(H196,'Small Signal'!$B$49)),IMSUM(IMPRODUCT('Small Signal'!$B$52,IMPOWER(H196,2)),IMSUM(IMPRODUCT(H196,'Small Signal'!$B$51),'Small Signal'!$B$50)))</f>
        <v>-0.000942104986651949-0.00150141299091502i</v>
      </c>
      <c r="Q196" s="85">
        <f t="shared" si="43"/>
        <v>-55.02821081023238</v>
      </c>
      <c r="R196" s="85">
        <f t="shared" si="44"/>
        <v>-122.10740413717127</v>
      </c>
      <c r="S196" s="85" t="str">
        <f>IMPRODUCT(IMDIV(IMSUM(IMPRODUCT(H196,'Small Signal'!$B$33*'Small Signal'!$B$6*'Small Signal'!$B$27*'Small Signal'!$B$7*'Small Signal'!$B$8),'Small Signal'!$B$33*'Small Signal'!$B$6*'Small Signal'!$B$27),IMSUM(IMSUM(IMPRODUCT(H196,('Small Signal'!$B$5+'Small Signal'!$B$6)*('Small Signal'!$B$32*'Small Signal'!$B$33)+'Small Signal'!$B$5*'Small Signal'!$B$33*('Small Signal'!$B$8+'Small Signal'!$B$9)+'Small Signal'!$B$6*'Small Signal'!$B$33*('Small Signal'!$B$8+'Small Signal'!$B$9)+'Small Signal'!$B$7*'Small Signal'!$B$8*('Small Signal'!$B$5+'Small Signal'!$B$6)),'Small Signal'!$B$6+'Small Signal'!$B$5),IMPRODUCT(IMPOWER(H196,2),'Small Signal'!$B$32*'Small Signal'!$B$33*'Small Signal'!$B$8*'Small Signal'!$B$7*('Small Signal'!$B$5+'Small Signal'!$B$6)+('Small Signal'!$B$5+'Small Signal'!$B$6)*('Small Signal'!$B$9*'Small Signal'!$B$8*'Small Signal'!$B$33*'Small Signal'!$B$7)))),-1)</f>
        <v>-0.00209798226167084+0.0248259164617887i</v>
      </c>
      <c r="T196" s="85">
        <f t="shared" si="45"/>
        <v>-32.07098903341219</v>
      </c>
      <c r="U196" s="85">
        <f t="shared" si="46"/>
        <v>94.83046003784762</v>
      </c>
      <c r="V196" s="85" t="str">
        <f t="shared" si="47"/>
        <v>0.0000611555631887207-0.0000293401595671362i</v>
      </c>
      <c r="W196" s="80">
        <f t="shared" si="48"/>
        <v>-83.37162126502471</v>
      </c>
      <c r="X196" s="85">
        <f t="shared" si="49"/>
        <v>-25.629955607485158</v>
      </c>
      <c r="Y196" s="85" t="str">
        <f t="shared" si="50"/>
        <v>0.000039250473037728-0.000020238681874474i</v>
      </c>
      <c r="Z196" s="80">
        <f t="shared" si="51"/>
        <v>-87.09919984364458</v>
      </c>
      <c r="AA196" s="85">
        <f t="shared" si="52"/>
        <v>-27.27694409932372</v>
      </c>
    </row>
    <row r="197" spans="6:27" ht="12.75">
      <c r="F197" s="84">
        <v>195</v>
      </c>
      <c r="G197" s="85">
        <f>10^('Small Signal'!F197/30)</f>
        <v>3162277.660168385</v>
      </c>
      <c r="H197" s="85" t="str">
        <f t="shared" si="40"/>
        <v>19869176.5315922i</v>
      </c>
      <c r="I197" s="85">
        <f>IF('Small Signal'!$B$37&gt;=1,Q197+0,N197+0)</f>
        <v>-52.15121346832219</v>
      </c>
      <c r="J197" s="85">
        <f>IF('Small Signal'!$B$37&gt;=1,R197,O197)</f>
        <v>-118.66201900202336</v>
      </c>
      <c r="K197" s="85">
        <f>IF('Small Signal'!$B$37&gt;=1,Z197+0,W197+0)</f>
        <v>-84.88433253770188</v>
      </c>
      <c r="L197" s="85">
        <f>IF('Small Signal'!$B$37&gt;=1,AA197,X197)</f>
        <v>-24.186852545287312</v>
      </c>
      <c r="M197" s="85" t="str">
        <f>IMDIV(IMSUM('Small Signal'!$B$2*'Small Signal'!$B$16*'Small Signal'!$B$38,IMPRODUCT(H197,'Small Signal'!$B$2*'Small Signal'!$B$16*'Small Signal'!$B$38*'Small Signal'!$B$13*'Small Signal'!$B$14)),IMSUM(IMPRODUCT('Small Signal'!$B$11*'Small Signal'!$B$13*('Small Signal'!$B$14+'Small Signal'!$B$16),IMPOWER(H197,2)),IMSUM(IMPRODUCT(H197,('Small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-0.00118401301207542-0.00216605154184524i</v>
      </c>
      <c r="N197" s="85">
        <f t="shared" si="41"/>
        <v>-52.15121346832219</v>
      </c>
      <c r="O197" s="85">
        <f t="shared" si="42"/>
        <v>-118.66201900202336</v>
      </c>
      <c r="P197" s="85" t="str">
        <f>IMDIV(IMSUM('Small Signal'!$B$48,IMPRODUCT(H197,'Small Signal'!$B$49)),IMSUM(IMPRODUCT('Small Signal'!$B$52,IMPOWER(H197,2)),IMSUM(IMPRODUCT(H197,'Small Signal'!$B$51),'Small Signal'!$B$50)))</f>
        <v>-0.000808051808468355-0.0013890708372903i</v>
      </c>
      <c r="Q197" s="85">
        <f t="shared" si="43"/>
        <v>-55.879654689305134</v>
      </c>
      <c r="R197" s="85">
        <f t="shared" si="44"/>
        <v>-120.18746692845217</v>
      </c>
      <c r="S197" s="85" t="str">
        <f>IMPRODUCT(IMDIV(IMSUM(IMPRODUCT(H197,'Small Signal'!$B$33*'Small Signal'!$B$6*'Small Signal'!$B$27*'Small Signal'!$B$7*'Small Signal'!$B$8),'Small Signal'!$B$33*'Small Signal'!$B$6*'Small Signal'!$B$27),IMSUM(IMSUM(IMPRODUCT(H197,('Small Signal'!$B$5+'Small Signal'!$B$6)*('Small Signal'!$B$32*'Small Signal'!$B$33)+'Small Signal'!$B$5*'Small Signal'!$B$33*('Small Signal'!$B$8+'Small Signal'!$B$9)+'Small Signal'!$B$6*'Small Signal'!$B$33*('Small Signal'!$B$8+'Small Signal'!$B$9)+'Small Signal'!$B$7*'Small Signal'!$B$8*('Small Signal'!$B$5+'Small Signal'!$B$6)),'Small Signal'!$B$6+'Small Signal'!$B$5),IMPRODUCT(IMPOWER(H197,2),'Small Signal'!$B$32*'Small Signal'!$B$33*'Small Signal'!$B$8*'Small Signal'!$B$7*('Small Signal'!$B$5+'Small Signal'!$B$6)+('Small Signal'!$B$5+'Small Signal'!$B$6)*('Small Signal'!$B$9*'Small Signal'!$B$8*'Small Signal'!$B$33*'Small Signal'!$B$7)))),-1)</f>
        <v>-0.0018013119965123+0.0230153703228086i</v>
      </c>
      <c r="T197" s="85">
        <f t="shared" si="45"/>
        <v>-32.7331190693797</v>
      </c>
      <c r="U197" s="85">
        <f t="shared" si="46"/>
        <v>94.47516645673598</v>
      </c>
      <c r="V197" s="85" t="str">
        <f t="shared" si="47"/>
        <v>0.0000519852552165369-0.00002334876331255i</v>
      </c>
      <c r="W197" s="80">
        <f t="shared" si="48"/>
        <v>-84.88433253770188</v>
      </c>
      <c r="X197" s="85">
        <f t="shared" si="49"/>
        <v>-24.186852545287312</v>
      </c>
      <c r="Y197" s="85" t="str">
        <f t="shared" si="50"/>
        <v>0.0000334255331412476-0.000016095461648698i</v>
      </c>
      <c r="Z197" s="80">
        <f t="shared" si="51"/>
        <v>-88.61277375868482</v>
      </c>
      <c r="AA197" s="85">
        <f t="shared" si="52"/>
        <v>-25.712300471716176</v>
      </c>
    </row>
    <row r="198" spans="6:27" ht="12.75">
      <c r="F198" s="84">
        <v>196</v>
      </c>
      <c r="G198" s="85">
        <f>10^('Small Signal'!F198/30)</f>
        <v>3414548.8738336028</v>
      </c>
      <c r="H198" s="85" t="str">
        <f t="shared" si="40"/>
        <v>21454243.3147179i</v>
      </c>
      <c r="I198" s="85">
        <f>IF('Small Signal'!$B$37&gt;=1,Q198+0,N198+0)</f>
        <v>-52.98214117451117</v>
      </c>
      <c r="J198" s="85">
        <f>IF('Small Signal'!$B$37&gt;=1,R198,O198)</f>
        <v>-116.92162957747932</v>
      </c>
      <c r="K198" s="85">
        <f>IF('Small Signal'!$B$37&gt;=1,Z198+0,W198+0)</f>
        <v>-86.37803207983822</v>
      </c>
      <c r="L198" s="85">
        <f>IF('Small Signal'!$B$37&gt;=1,AA198,X198)</f>
        <v>-22.775832080838573</v>
      </c>
      <c r="M198" s="85" t="str">
        <f>IMDIV(IMSUM('Small Signal'!$B$2*'Small Signal'!$B$16*'Small Signal'!$B$38,IMPRODUCT(H198,'Small Signal'!$B$2*'Small Signal'!$B$16*'Small Signal'!$B$38*'Small Signal'!$B$13*'Small Signal'!$B$14)),IMSUM(IMPRODUCT('Small Signal'!$B$11*'Small Signal'!$B$13*('Small Signal'!$B$14+'Small Signal'!$B$16),IMPOWER(H198,2)),IMSUM(IMPRODUCT(H198,('Small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-0.00101571500248359-0.00200021182787195i</v>
      </c>
      <c r="N198" s="85">
        <f t="shared" si="41"/>
        <v>-52.98214117451117</v>
      </c>
      <c r="O198" s="85">
        <f t="shared" si="42"/>
        <v>-116.92162957747932</v>
      </c>
      <c r="P198" s="85" t="str">
        <f>IMDIV(IMSUM('Small Signal'!$B$48,IMPRODUCT(H198,'Small Signal'!$B$49)),IMSUM(IMPRODUCT('Small Signal'!$B$52,IMPOWER(H198,2)),IMSUM(IMPRODUCT(H198,'Small Signal'!$B$51),'Small Signal'!$B$50)))</f>
        <v>-0.000693071715658866-0.00128531984111357i</v>
      </c>
      <c r="Q198" s="85">
        <f t="shared" si="43"/>
        <v>-56.71132243248592</v>
      </c>
      <c r="R198" s="85">
        <f t="shared" si="44"/>
        <v>-118.33448752881426</v>
      </c>
      <c r="S198" s="85" t="str">
        <f>IMPRODUCT(IMDIV(IMSUM(IMPRODUCT(H198,'Small Signal'!$B$33*'Small Signal'!$B$6*'Small Signal'!$B$27*'Small Signal'!$B$7*'Small Signal'!$B$8),'Small Signal'!$B$33*'Small Signal'!$B$6*'Small Signal'!$B$27),IMSUM(IMSUM(IMPRODUCT(H198,('Small Signal'!$B$5+'Small Signal'!$B$6)*('Small Signal'!$B$32*'Small Signal'!$B$33)+'Small Signal'!$B$5*'Small Signal'!$B$33*('Small Signal'!$B$8+'Small Signal'!$B$9)+'Small Signal'!$B$6*'Small Signal'!$B$33*('Small Signal'!$B$8+'Small Signal'!$B$9)+'Small Signal'!$B$7*'Small Signal'!$B$8*('Small Signal'!$B$5+'Small Signal'!$B$6)),'Small Signal'!$B$6+'Small Signal'!$B$5),IMPRODUCT(IMPOWER(H198,2),'Small Signal'!$B$32*'Small Signal'!$B$33*'Small Signal'!$B$8*'Small Signal'!$B$7*('Small Signal'!$B$5+'Small Signal'!$B$6)+('Small Signal'!$B$5+'Small Signal'!$B$6)*('Small Signal'!$B$9*'Small Signal'!$B$8*'Small Signal'!$B$33*'Small Signal'!$B$7)))),-1)</f>
        <v>-0.00154636450312941+0.021333767293251i</v>
      </c>
      <c r="T198" s="85">
        <f t="shared" si="45"/>
        <v>-33.39589090532705</v>
      </c>
      <c r="U198" s="85">
        <f t="shared" si="46"/>
        <v>94.14579749664077</v>
      </c>
      <c r="V198" s="85" t="str">
        <f t="shared" si="47"/>
        <v>0.000044242719298165-0.000018575970929888i</v>
      </c>
      <c r="W198" s="80">
        <f t="shared" si="48"/>
        <v>-86.37803207983822</v>
      </c>
      <c r="X198" s="85">
        <f t="shared" si="49"/>
        <v>-22.775832080838573</v>
      </c>
      <c r="Y198" s="85" t="str">
        <f t="shared" si="50"/>
        <v>0.0000284924558869331-0.0000127982577219345i</v>
      </c>
      <c r="Z198" s="80">
        <f t="shared" si="51"/>
        <v>-90.10721333781298</v>
      </c>
      <c r="AA198" s="85">
        <f t="shared" si="52"/>
        <v>-24.18869003217349</v>
      </c>
    </row>
    <row r="199" spans="6:27" ht="12.75">
      <c r="F199" s="84">
        <v>197</v>
      </c>
      <c r="G199" s="85">
        <f>10^('Small Signal'!F199/30)</f>
        <v>3686945.0645195777</v>
      </c>
      <c r="H199" s="85" t="str">
        <f t="shared" si="40"/>
        <v>23165759.0577677i</v>
      </c>
      <c r="I199" s="85">
        <f>IF('Small Signal'!$B$37&gt;=1,Q199+0,N199+0)</f>
        <v>-53.794869105590905</v>
      </c>
      <c r="J199" s="85">
        <f>IF('Small Signal'!$B$37&gt;=1,R199,O199)</f>
        <v>-115.24564631521456</v>
      </c>
      <c r="K199" s="85">
        <f>IF('Small Signal'!$B$37&gt;=1,Z199+0,W199+0)</f>
        <v>-87.85408331062476</v>
      </c>
      <c r="L199" s="85">
        <f>IF('Small Signal'!$B$37&gt;=1,AA199,X199)</f>
        <v>-21.405142141247698</v>
      </c>
      <c r="M199" s="85" t="str">
        <f>IMDIV(IMSUM('Small Signal'!$B$2*'Small Signal'!$B$16*'Small Signal'!$B$38,IMPRODUCT(H199,'Small Signal'!$B$2*'Small Signal'!$B$16*'Small Signal'!$B$38*'Small Signal'!$B$13*'Small Signal'!$B$14)),IMSUM(IMPRODUCT('Small Signal'!$B$11*'Small Signal'!$B$13*('Small Signal'!$B$14+'Small Signal'!$B$16),IMPOWER(H199,2)),IMSUM(IMPRODUCT(H199,('Small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-0.000871315807408712-0.00184781777716465i</v>
      </c>
      <c r="N199" s="85">
        <f t="shared" si="41"/>
        <v>-53.794869105590905</v>
      </c>
      <c r="O199" s="85">
        <f t="shared" si="42"/>
        <v>-115.24564631521456</v>
      </c>
      <c r="P199" s="85" t="str">
        <f>IMDIV(IMSUM('Small Signal'!$B$48,IMPRODUCT(H199,'Small Signal'!$B$49)),IMSUM(IMPRODUCT('Small Signal'!$B$52,IMPOWER(H199,2)),IMSUM(IMPRODUCT(H199,'Small Signal'!$B$51),'Small Signal'!$B$50)))</f>
        <v>-0.000594451384202094-0.0011894653978446i</v>
      </c>
      <c r="Q199" s="85">
        <f t="shared" si="43"/>
        <v>-57.52468520224539</v>
      </c>
      <c r="R199" s="85">
        <f t="shared" si="44"/>
        <v>-116.55420955295087</v>
      </c>
      <c r="S199" s="85" t="str">
        <f>IMPRODUCT(IMDIV(IMSUM(IMPRODUCT(H199,'Small Signal'!$B$33*'Small Signal'!$B$6*'Small Signal'!$B$27*'Small Signal'!$B$7*'Small Signal'!$B$8),'Small Signal'!$B$33*'Small Signal'!$B$6*'Small Signal'!$B$27),IMSUM(IMSUM(IMPRODUCT(H199,('Small Signal'!$B$5+'Small Signal'!$B$6)*('Small Signal'!$B$32*'Small Signal'!$B$33)+'Small Signal'!$B$5*'Small Signal'!$B$33*('Small Signal'!$B$8+'Small Signal'!$B$9)+'Small Signal'!$B$6*'Small Signal'!$B$33*('Small Signal'!$B$8+'Small Signal'!$B$9)+'Small Signal'!$B$7*'Small Signal'!$B$8*('Small Signal'!$B$5+'Small Signal'!$B$6)),'Small Signal'!$B$6+'Small Signal'!$B$5),IMPRODUCT(IMPOWER(H199,2),'Small Signal'!$B$32*'Small Signal'!$B$33*'Small Signal'!$B$8*'Small Signal'!$B$7*('Small Signal'!$B$5+'Small Signal'!$B$6)+('Small Signal'!$B$5+'Small Signal'!$B$6)*('Small Signal'!$B$9*'Small Signal'!$B$8*'Small Signal'!$B$33*'Small Signal'!$B$7)))),-1)</f>
        <v>-0.00132733222942569+0.0197725611536566i</v>
      </c>
      <c r="T199" s="85">
        <f t="shared" si="45"/>
        <v>-34.05921420503387</v>
      </c>
      <c r="U199" s="85">
        <f t="shared" si="46"/>
        <v>93.8405041739669</v>
      </c>
      <c r="V199" s="85" t="str">
        <f t="shared" si="47"/>
        <v>0.0000376926155529835-0.0000147754769964001i</v>
      </c>
      <c r="W199" s="80">
        <f t="shared" si="48"/>
        <v>-87.85408331062476</v>
      </c>
      <c r="X199" s="85">
        <f t="shared" si="49"/>
        <v>-21.405142141247698</v>
      </c>
      <c r="Y199" s="85" t="str">
        <f t="shared" si="50"/>
        <v>0.000024307811800119-0.0000101750105886659i</v>
      </c>
      <c r="Z199" s="80">
        <f t="shared" si="51"/>
        <v>-91.58389940727926</v>
      </c>
      <c r="AA199" s="85">
        <f t="shared" si="52"/>
        <v>-22.713705378983878</v>
      </c>
    </row>
    <row r="200" spans="6:27" ht="12.75">
      <c r="F200" s="84">
        <v>198</v>
      </c>
      <c r="G200" s="85">
        <f>10^('Small Signal'!F200/30)</f>
        <v>3981071.705534976</v>
      </c>
      <c r="H200" s="85" t="str">
        <f t="shared" si="40"/>
        <v>25013811.2470457i</v>
      </c>
      <c r="I200" s="85">
        <f>IF('Small Signal'!$B$37&gt;=1,Q200+0,N200+0)</f>
        <v>-54.590886332705054</v>
      </c>
      <c r="J200" s="85">
        <f>IF('Small Signal'!$B$37&gt;=1,R200,O200)</f>
        <v>-113.6389327075848</v>
      </c>
      <c r="K200" s="85">
        <f>IF('Small Signal'!$B$37&gt;=1,Z200+0,W200+0)</f>
        <v>-89.31389755913246</v>
      </c>
      <c r="L200" s="85">
        <f>IF('Small Signal'!$B$37&gt;=1,AA200,X200)</f>
        <v>-20.08137209774959</v>
      </c>
      <c r="M200" s="85" t="str">
        <f>IMDIV(IMSUM('Small Signal'!$B$2*'Small Signal'!$B$16*'Small Signal'!$B$38,IMPRODUCT(H200,'Small Signal'!$B$2*'Small Signal'!$B$16*'Small Signal'!$B$38*'Small Signal'!$B$13*'Small Signal'!$B$14)),IMSUM(IMPRODUCT('Small Signal'!$B$11*'Small Signal'!$B$13*('Small Signal'!$B$14+'Small Signal'!$B$16),IMPOWER(H200,2)),IMSUM(IMPRODUCT(H200,('Small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-0.000747427908414343-0.00170763108928758i</v>
      </c>
      <c r="N200" s="85">
        <f t="shared" si="41"/>
        <v>-54.590886332705054</v>
      </c>
      <c r="O200" s="85">
        <f t="shared" si="42"/>
        <v>-113.6389327075848</v>
      </c>
      <c r="P200" s="85" t="str">
        <f>IMDIV(IMSUM('Small Signal'!$B$48,IMPRODUCT(H200,'Small Signal'!$B$49)),IMSUM(IMPRODUCT('Small Signal'!$B$52,IMPOWER(H200,2)),IMSUM(IMPRODUCT(H200,'Small Signal'!$B$51),'Small Signal'!$B$50)))</f>
        <v>-0.000509863381409793-0.00110087653411312i</v>
      </c>
      <c r="Q200" s="85">
        <f t="shared" si="43"/>
        <v>-58.32124701029954</v>
      </c>
      <c r="R200" s="85">
        <f t="shared" si="44"/>
        <v>-114.85088835941876</v>
      </c>
      <c r="S200" s="85" t="str">
        <f>IMPRODUCT(IMDIV(IMSUM(IMPRODUCT(H200,'Small Signal'!$B$33*'Small Signal'!$B$6*'Small Signal'!$B$27*'Small Signal'!$B$7*'Small Signal'!$B$8),'Small Signal'!$B$33*'Small Signal'!$B$6*'Small Signal'!$B$27),IMSUM(IMSUM(IMPRODUCT(H200,('Small Signal'!$B$5+'Small Signal'!$B$6)*('Small Signal'!$B$32*'Small Signal'!$B$33)+'Small Signal'!$B$5*'Small Signal'!$B$33*('Small Signal'!$B$8+'Small Signal'!$B$9)+'Small Signal'!$B$6*'Small Signal'!$B$33*('Small Signal'!$B$8+'Small Signal'!$B$9)+'Small Signal'!$B$7*'Small Signal'!$B$8*('Small Signal'!$B$5+'Small Signal'!$B$6)),'Small Signal'!$B$6+'Small Signal'!$B$5),IMPRODUCT(IMPOWER(H200,2),'Small Signal'!$B$32*'Small Signal'!$B$33*'Small Signal'!$B$8*'Small Signal'!$B$7*('Small Signal'!$B$5+'Small Signal'!$B$6)+('Small Signal'!$B$5+'Small Signal'!$B$6)*('Small Signal'!$B$9*'Small Signal'!$B$8*'Small Signal'!$B$33*'Small Signal'!$B$7)))),-1)</f>
        <v>-0.00113920011879572+0.0183236391337779i</v>
      </c>
      <c r="T200" s="85">
        <f t="shared" si="45"/>
        <v>-34.723011226427396</v>
      </c>
      <c r="U200" s="85">
        <f t="shared" si="46"/>
        <v>93.55756060983515</v>
      </c>
      <c r="V200" s="85" t="str">
        <f t="shared" si="47"/>
        <v>0.0000321414858157825-0.0000117502657325231i</v>
      </c>
      <c r="W200" s="80">
        <f t="shared" si="48"/>
        <v>-89.31389755913246</v>
      </c>
      <c r="X200" s="85">
        <f t="shared" si="49"/>
        <v>-20.08137209774959</v>
      </c>
      <c r="Y200" s="85" t="str">
        <f t="shared" si="50"/>
        <v>0.0000207529007666046-8.08843393003972E-06i</v>
      </c>
      <c r="Z200" s="80">
        <f t="shared" si="51"/>
        <v>-93.0442582367269</v>
      </c>
      <c r="AA200" s="85">
        <f t="shared" si="52"/>
        <v>-21.293327749583568</v>
      </c>
    </row>
    <row r="201" spans="6:27" ht="12.75">
      <c r="F201" s="84">
        <v>199</v>
      </c>
      <c r="G201" s="85">
        <f>10^('Small Signal'!F201/30)</f>
        <v>4298662.34708229</v>
      </c>
      <c r="H201" s="85" t="str">
        <f t="shared" si="40"/>
        <v>27009292.0997136i</v>
      </c>
      <c r="I201" s="85">
        <f>IF('Small Signal'!$B$37&gt;=1,Q201+0,N201+0)</f>
        <v>-55.371679423584375</v>
      </c>
      <c r="J201" s="85">
        <f>IF('Small Signal'!$B$37&gt;=1,R201,O201)</f>
        <v>-112.10490826574723</v>
      </c>
      <c r="K201" s="85">
        <f>IF('Small Signal'!$B$37&gt;=1,Z201+0,W201+0)</f>
        <v>-90.75889452130433</v>
      </c>
      <c r="L201" s="85">
        <f>IF('Small Signal'!$B$37&gt;=1,AA201,X201)</f>
        <v>-18.809550600925405</v>
      </c>
      <c r="M201" s="85" t="str">
        <f>IMDIV(IMSUM('Small Signal'!$B$2*'Small Signal'!$B$16*'Small Signal'!$B$38,IMPRODUCT(H201,'Small Signal'!$B$2*'Small Signal'!$B$16*'Small Signal'!$B$38*'Small Signal'!$B$13*'Small Signal'!$B$14)),IMSUM(IMPRODUCT('Small Signal'!$B$11*'Small Signal'!$B$13*('Small Signal'!$B$14+'Small Signal'!$B$16),IMPOWER(H201,2)),IMSUM(IMPRODUCT(H201,('Small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-0.000641142313913954-0.0015785551668389i</v>
      </c>
      <c r="N201" s="85">
        <f t="shared" si="41"/>
        <v>-55.371679423584375</v>
      </c>
      <c r="O201" s="85">
        <f t="shared" si="42"/>
        <v>-112.10490826574723</v>
      </c>
      <c r="P201" s="85" t="str">
        <f>IMDIV(IMSUM('Small Signal'!$B$48,IMPRODUCT(H201,'Small Signal'!$B$49)),IMSUM(IMPRODUCT('Small Signal'!$B$52,IMPOWER(H201,2)),IMSUM(IMPRODUCT(H201,'Small Signal'!$B$51),'Small Signal'!$B$50)))</f>
        <v>-0.000437311311691125-0.00101897867494599i</v>
      </c>
      <c r="Q201" s="85">
        <f t="shared" si="43"/>
        <v>-59.10250724665683</v>
      </c>
      <c r="R201" s="85">
        <f t="shared" si="44"/>
        <v>-113.22737928414307</v>
      </c>
      <c r="S201" s="85" t="str">
        <f>IMPRODUCT(IMDIV(IMSUM(IMPRODUCT(H201,'Small Signal'!$B$33*'Small Signal'!$B$6*'Small Signal'!$B$27*'Small Signal'!$B$7*'Small Signal'!$B$8),'Small Signal'!$B$33*'Small Signal'!$B$6*'Small Signal'!$B$27),IMSUM(IMSUM(IMPRODUCT(H201,('Small Signal'!$B$5+'Small Signal'!$B$6)*('Small Signal'!$B$32*'Small Signal'!$B$33)+'Small Signal'!$B$5*'Small Signal'!$B$33*('Small Signal'!$B$8+'Small Signal'!$B$9)+'Small Signal'!$B$6*'Small Signal'!$B$33*('Small Signal'!$B$8+'Small Signal'!$B$9)+'Small Signal'!$B$7*'Small Signal'!$B$8*('Small Signal'!$B$5+'Small Signal'!$B$6)),'Small Signal'!$B$6+'Small Signal'!$B$5),IMPRODUCT(IMPOWER(H201,2),'Small Signal'!$B$32*'Small Signal'!$B$33*'Small Signal'!$B$8*'Small Signal'!$B$7*('Small Signal'!$B$5+'Small Signal'!$B$6)+('Small Signal'!$B$5+'Small Signal'!$B$6)*('Small Signal'!$B$9*'Small Signal'!$B$8*'Small Signal'!$B$33*'Small Signal'!$B$7)))),-1)</f>
        <v>-0.000977641675018233+0.0169793294492532i</v>
      </c>
      <c r="T201" s="85">
        <f t="shared" si="45"/>
        <v>-35.387215097719945</v>
      </c>
      <c r="U201" s="85">
        <f t="shared" si="46"/>
        <v>93.29535766482185</v>
      </c>
      <c r="V201" s="85" t="str">
        <f t="shared" si="47"/>
        <v>0.0000274296156772784-9.34290525438447E-06i</v>
      </c>
      <c r="W201" s="80">
        <f t="shared" si="48"/>
        <v>-90.75889452130433</v>
      </c>
      <c r="X201" s="85">
        <f t="shared" si="49"/>
        <v>-18.809550600925405</v>
      </c>
      <c r="Y201" s="85" t="str">
        <f t="shared" si="50"/>
        <v>0.0000177291083869376-6.42905681450661E-06i</v>
      </c>
      <c r="Z201" s="80">
        <f t="shared" si="51"/>
        <v>-94.48972234437676</v>
      </c>
      <c r="AA201" s="85">
        <f t="shared" si="52"/>
        <v>-19.932021619321205</v>
      </c>
    </row>
    <row r="202" spans="6:27" ht="12.75">
      <c r="F202" s="84">
        <v>200</v>
      </c>
      <c r="G202" s="85">
        <f>10^('Small Signal'!F202/30)</f>
        <v>4641588.833612786</v>
      </c>
      <c r="H202" s="85" t="str">
        <f t="shared" si="40"/>
        <v>29163962.7613247i</v>
      </c>
      <c r="I202" s="85">
        <f>IF('Small Signal'!$B$37&gt;=1,Q202+0,N202+0)</f>
        <v>-56.13870093870207</v>
      </c>
      <c r="J202" s="85">
        <f>IF('Small Signal'!$B$37&gt;=1,R202,O202)</f>
        <v>-110.64567695317233</v>
      </c>
      <c r="K202" s="85">
        <f>IF('Small Signal'!$B$37&gt;=1,Z202+0,W202+0)</f>
        <v>-92.19046925974405</v>
      </c>
      <c r="L202" s="85">
        <f>IF('Small Signal'!$B$37&gt;=1,AA202,X202)</f>
        <v>-17.593280455877505</v>
      </c>
      <c r="M202" s="85" t="str">
        <f>IMDIV(IMSUM('Small Signal'!$B$2*'Small Signal'!$B$16*'Small Signal'!$B$38,IMPRODUCT(H202,'Small Signal'!$B$2*'Small Signal'!$B$16*'Small Signal'!$B$38*'Small Signal'!$B$13*'Small Signal'!$B$14)),IMSUM(IMPRODUCT('Small Signal'!$B$11*'Small Signal'!$B$13*('Small Signal'!$B$14+'Small Signal'!$B$16),IMPOWER(H202,2)),IMSUM(IMPRODUCT(H202,('Small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-0.000549961393894996-0.00145961436817446i</v>
      </c>
      <c r="N202" s="85">
        <f t="shared" si="41"/>
        <v>-56.13870093870207</v>
      </c>
      <c r="O202" s="85">
        <f t="shared" si="42"/>
        <v>-110.64567695317233</v>
      </c>
      <c r="P202" s="85" t="str">
        <f>IMDIV(IMSUM('Small Signal'!$B$48,IMPRODUCT(H202,'Small Signal'!$B$49)),IMSUM(IMPRODUCT('Small Signal'!$B$52,IMPOWER(H202,2)),IMSUM(IMPRODUCT(H202,'Small Signal'!$B$51),'Small Signal'!$B$50)))</f>
        <v>-0.000375082752525233-0.000943247465790422i</v>
      </c>
      <c r="Q202" s="85">
        <f t="shared" si="43"/>
        <v>-59.86992947515397</v>
      </c>
      <c r="R202" s="85">
        <f t="shared" si="44"/>
        <v>-111.6852630253635</v>
      </c>
      <c r="S202" s="85" t="str">
        <f>IMPRODUCT(IMDIV(IMSUM(IMPRODUCT(H202,'Small Signal'!$B$33*'Small Signal'!$B$6*'Small Signal'!$B$27*'Small Signal'!$B$7*'Small Signal'!$B$8),'Small Signal'!$B$33*'Small Signal'!$B$6*'Small Signal'!$B$27),IMSUM(IMSUM(IMPRODUCT(H202,('Small Signal'!$B$5+'Small Signal'!$B$6)*('Small Signal'!$B$32*'Small Signal'!$B$33)+'Small Signal'!$B$5*'Small Signal'!$B$33*('Small Signal'!$B$8+'Small Signal'!$B$9)+'Small Signal'!$B$6*'Small Signal'!$B$33*('Small Signal'!$B$8+'Small Signal'!$B$9)+'Small Signal'!$B$7*'Small Signal'!$B$8*('Small Signal'!$B$5+'Small Signal'!$B$6)),'Small Signal'!$B$6+'Small Signal'!$B$5),IMPRODUCT(IMPOWER(H202,2),'Small Signal'!$B$32*'Small Signal'!$B$33*'Small Signal'!$B$8*'Small Signal'!$B$7*('Small Signal'!$B$5+'Small Signal'!$B$6)+('Small Signal'!$B$5+'Small Signal'!$B$6)*('Small Signal'!$B$9*'Small Signal'!$B$8*'Small Signal'!$B$33*'Small Signal'!$B$7)))),-1)</f>
        <v>-0.000838927529137106+0.0157324005078862i</v>
      </c>
      <c r="T202" s="85">
        <f t="shared" si="45"/>
        <v>-36.05176832104198</v>
      </c>
      <c r="U202" s="85">
        <f t="shared" si="46"/>
        <v>93.05239649729482</v>
      </c>
      <c r="V202" s="85" t="str">
        <f t="shared" si="47"/>
        <v>0.000023424615580487-7.42770223724582E-06i</v>
      </c>
      <c r="W202" s="80">
        <f t="shared" si="48"/>
        <v>-92.19046925974405</v>
      </c>
      <c r="X202" s="85">
        <f t="shared" si="49"/>
        <v>-17.593280455877505</v>
      </c>
      <c r="Y202" s="85" t="str">
        <f t="shared" si="50"/>
        <v>0.0000151542141566615-5.10963582048693E-06i</v>
      </c>
      <c r="Z202" s="80">
        <f t="shared" si="51"/>
        <v>-95.92169779619597</v>
      </c>
      <c r="AA202" s="85">
        <f t="shared" si="52"/>
        <v>-18.632866528068707</v>
      </c>
    </row>
    <row r="203" spans="6:27" ht="12.75">
      <c r="F203" s="84">
        <v>201</v>
      </c>
      <c r="G203" s="85">
        <f>10^('Small Signal'!F203/30)</f>
        <v>5011872.336272731</v>
      </c>
      <c r="H203" s="85" t="str">
        <f t="shared" si="40"/>
        <v>31490522.6247287i</v>
      </c>
      <c r="I203" s="85">
        <f>IF('Small Signal'!$B$37&gt;=1,Q203+0,N203+0)</f>
        <v>-56.893344650173134</v>
      </c>
      <c r="J203" s="85">
        <f>IF('Small Signal'!$B$37&gt;=1,R203,O203)</f>
        <v>-109.26217883704345</v>
      </c>
      <c r="K203" s="85">
        <f>IF('Small Signal'!$B$37&gt;=1,Z203+0,W203+0)</f>
        <v>-93.60996612599158</v>
      </c>
      <c r="L203" s="85">
        <f>IF('Small Signal'!$B$37&gt;=1,AA203,X203)</f>
        <v>-16.434896678270665</v>
      </c>
      <c r="M203" s="85" t="str">
        <f>IMDIV(IMSUM('Small Signal'!$B$2*'Small Signal'!$B$16*'Small Signal'!$B$38,IMPRODUCT(H203,'Small Signal'!$B$2*'Small Signal'!$B$16*'Small Signal'!$B$38*'Small Signal'!$B$13*'Small Signal'!$B$14)),IMSUM(IMPRODUCT('Small Signal'!$B$11*'Small Signal'!$B$13*('Small Signal'!$B$14+'Small Signal'!$B$16),IMPOWER(H203,2)),IMSUM(IMPRODUCT(H203,('Small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-0.000471741027277401-0.00134993689100813i</v>
      </c>
      <c r="N203" s="85">
        <f t="shared" si="41"/>
        <v>-56.893344650173134</v>
      </c>
      <c r="O203" s="85">
        <f t="shared" si="42"/>
        <v>-109.26217883704345</v>
      </c>
      <c r="P203" s="85" t="str">
        <f>IMDIV(IMSUM('Small Signal'!$B$48,IMPRODUCT(H203,'Small Signal'!$B$49)),IMSUM(IMPRODUCT('Small Signal'!$B$52,IMPOWER(H203,2)),IMSUM(IMPRODUCT(H203,'Small Signal'!$B$51),'Small Signal'!$B$50)))</f>
        <v>-0.000321708876232306-0.0008732034644464i</v>
      </c>
      <c r="Q203" s="85">
        <f t="shared" si="43"/>
        <v>-60.624916909677104</v>
      </c>
      <c r="R203" s="85">
        <f t="shared" si="44"/>
        <v>-110.2249944309297</v>
      </c>
      <c r="S203" s="85" t="str">
        <f>IMPRODUCT(IMDIV(IMSUM(IMPRODUCT(H203,'Small Signal'!$B$33*'Small Signal'!$B$6*'Small Signal'!$B$27*'Small Signal'!$B$7*'Small Signal'!$B$8),'Small Signal'!$B$33*'Small Signal'!$B$6*'Small Signal'!$B$27),IMSUM(IMSUM(IMPRODUCT(H203,('Small Signal'!$B$5+'Small Signal'!$B$6)*('Small Signal'!$B$32*'Small Signal'!$B$33)+'Small Signal'!$B$5*'Small Signal'!$B$33*('Small Signal'!$B$8+'Small Signal'!$B$9)+'Small Signal'!$B$6*'Small Signal'!$B$33*('Small Signal'!$B$8+'Small Signal'!$B$9)+'Small Signal'!$B$7*'Small Signal'!$B$8*('Small Signal'!$B$5+'Small Signal'!$B$6)),'Small Signal'!$B$6+'Small Signal'!$B$5),IMPRODUCT(IMPOWER(H203,2),'Small Signal'!$B$32*'Small Signal'!$B$33*'Small Signal'!$B$8*'Small Signal'!$B$7*('Small Signal'!$B$5+'Small Signal'!$B$6)+('Small Signal'!$B$5+'Small Signal'!$B$6)*('Small Signal'!$B$9*'Small Signal'!$B$8*'Small Signal'!$B$33*'Small Signal'!$B$7)))),-1)</f>
        <v>-0.000719845316473603+0.014576053886099i</v>
      </c>
      <c r="T203" s="85">
        <f t="shared" si="45"/>
        <v>-36.71662147581842</v>
      </c>
      <c r="U203" s="85">
        <f t="shared" si="46"/>
        <v>92.82728215877282</v>
      </c>
      <c r="V203" s="85" t="str">
        <f t="shared" si="47"/>
        <v>0.0000200163334352415-5.90437688535196E-06i</v>
      </c>
      <c r="W203" s="80">
        <f t="shared" si="48"/>
        <v>-93.60996612599158</v>
      </c>
      <c r="X203" s="85">
        <f t="shared" si="49"/>
        <v>-16.434896678270665</v>
      </c>
      <c r="Y203" s="85" t="str">
        <f t="shared" si="50"/>
        <v>0.0000129594413791229-4.06067449138818E-06i</v>
      </c>
      <c r="Z203" s="80">
        <f t="shared" si="51"/>
        <v>-97.34153838549551</v>
      </c>
      <c r="AA203" s="85">
        <f t="shared" si="52"/>
        <v>-17.39771227215682</v>
      </c>
    </row>
    <row r="204" spans="6:27" ht="12.75">
      <c r="F204" s="84">
        <v>202</v>
      </c>
      <c r="G204" s="85">
        <f>10^('Small Signal'!F204/30)</f>
        <v>5411695.265464648</v>
      </c>
      <c r="H204" s="85" t="str">
        <f t="shared" si="40"/>
        <v>34002684.1789008i</v>
      </c>
      <c r="I204" s="85">
        <f>IF('Small Signal'!$B$37&gt;=1,Q204+0,N204+0)</f>
        <v>-57.6369273250173</v>
      </c>
      <c r="J204" s="85">
        <f>IF('Small Signal'!$B$37&gt;=1,R204,O204)</f>
        <v>-107.95435269818712</v>
      </c>
      <c r="K204" s="85">
        <f>IF('Small Signal'!$B$37&gt;=1,Z204+0,W204+0)</f>
        <v>-95.01865942190877</v>
      </c>
      <c r="L204" s="85">
        <f>IF('Small Signal'!$B$37&gt;=1,AA204,X204)</f>
        <v>-15.335635387540183</v>
      </c>
      <c r="M204" s="85" t="str">
        <f>IMDIV(IMSUM('Small Signal'!$B$2*'Small Signal'!$B$16*'Small Signal'!$B$38,IMPRODUCT(H204,'Small Signal'!$B$2*'Small Signal'!$B$16*'Small Signal'!$B$38*'Small Signal'!$B$13*'Small Signal'!$B$14)),IMSUM(IMPRODUCT('Small Signal'!$B$11*'Small Signal'!$B$13*('Small Signal'!$B$14+'Small Signal'!$B$16),IMPOWER(H204,2)),IMSUM(IMPRODUCT(H204,('Small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-0.000404640801195536-0.00124874059216993i</v>
      </c>
      <c r="N204" s="85">
        <f t="shared" si="41"/>
        <v>-57.6369273250173</v>
      </c>
      <c r="O204" s="85">
        <f t="shared" si="42"/>
        <v>-107.95435269818712</v>
      </c>
      <c r="P204" s="85" t="str">
        <f>IMDIV(IMSUM('Small Signal'!$B$48,IMPRODUCT(H204,'Small Signal'!$B$49)),IMSUM(IMPRODUCT('Small Signal'!$B$52,IMPOWER(H204,2)),IMSUM(IMPRODUCT(H204,'Small Signal'!$B$51),'Small Signal'!$B$50)))</f>
        <v>-0.000275929809193931-0.00080840755365404i</v>
      </c>
      <c r="Q204" s="85">
        <f t="shared" si="43"/>
        <v>-61.36879441852859</v>
      </c>
      <c r="R204" s="85">
        <f t="shared" si="44"/>
        <v>-108.84606242328181</v>
      </c>
      <c r="S204" s="85" t="str">
        <f>IMPRODUCT(IMDIV(IMSUM(IMPRODUCT(H204,'Small Signal'!$B$33*'Small Signal'!$B$6*'Small Signal'!$B$27*'Small Signal'!$B$7*'Small Signal'!$B$8),'Small Signal'!$B$33*'Small Signal'!$B$6*'Small Signal'!$B$27),IMSUM(IMSUM(IMPRODUCT(H204,('Small Signal'!$B$5+'Small Signal'!$B$6)*('Small Signal'!$B$32*'Small Signal'!$B$33)+'Small Signal'!$B$5*'Small Signal'!$B$33*('Small Signal'!$B$8+'Small Signal'!$B$9)+'Small Signal'!$B$6*'Small Signal'!$B$33*('Small Signal'!$B$8+'Small Signal'!$B$9)+'Small Signal'!$B$7*'Small Signal'!$B$8*('Small Signal'!$B$5+'Small Signal'!$B$6)),'Small Signal'!$B$6+'Small Signal'!$B$5),IMPRODUCT(IMPOWER(H204,2),'Small Signal'!$B$32*'Small Signal'!$B$33*'Small Signal'!$B$8*'Small Signal'!$B$7*('Small Signal'!$B$5+'Small Signal'!$B$6)+('Small Signal'!$B$5+'Small Signal'!$B$6)*('Small Signal'!$B$9*'Small Signal'!$B$8*'Small Signal'!$B$33*'Small Signal'!$B$7)))),-1)</f>
        <v>-0.000617629692733293+0.0135039127509267i</v>
      </c>
      <c r="T204" s="85">
        <f t="shared" si="45"/>
        <v>-37.38173209689147</v>
      </c>
      <c r="U204" s="85">
        <f t="shared" si="46"/>
        <v>92.61871731064696</v>
      </c>
      <c r="V204" s="85" t="str">
        <f t="shared" si="47"/>
        <v>0.000017112802178913-4.69297480656409E-06i</v>
      </c>
      <c r="W204" s="80">
        <f t="shared" si="48"/>
        <v>-95.01865942190877</v>
      </c>
      <c r="X204" s="85">
        <f t="shared" si="49"/>
        <v>-15.335635387540183</v>
      </c>
      <c r="Y204" s="85" t="str">
        <f t="shared" si="50"/>
        <v>0.0000110870875150027-3.22683555976808E-06i</v>
      </c>
      <c r="Z204" s="80">
        <f t="shared" si="51"/>
        <v>-98.75052651542003</v>
      </c>
      <c r="AA204" s="85">
        <f t="shared" si="52"/>
        <v>-16.227345112634787</v>
      </c>
    </row>
    <row r="205" spans="6:27" ht="12.75">
      <c r="F205" s="84">
        <v>203</v>
      </c>
      <c r="G205" s="85">
        <f>10^('Small Signal'!F205/30)</f>
        <v>5843414.133735179</v>
      </c>
      <c r="H205" s="85" t="str">
        <f t="shared" si="40"/>
        <v>36715253.8288504i</v>
      </c>
      <c r="I205" s="85">
        <f>IF('Small Signal'!$B$37&gt;=1,Q205+0,N205+0)</f>
        <v>-58.370676511337216</v>
      </c>
      <c r="J205" s="85">
        <f>IF('Small Signal'!$B$37&gt;=1,R205,O205)</f>
        <v>-106.72129953940846</v>
      </c>
      <c r="K205" s="85">
        <f>IF('Small Signal'!$B$37&gt;=1,Z205+0,W205+0)</f>
        <v>-96.41774021640863</v>
      </c>
      <c r="L205" s="85">
        <f>IF('Small Signal'!$B$37&gt;=1,AA205,X205)</f>
        <v>-14.2958034159406</v>
      </c>
      <c r="M205" s="85" t="str">
        <f>IMDIV(IMSUM('Small Signal'!$B$2*'Small Signal'!$B$16*'Small Signal'!$B$38,IMPRODUCT(H205,'Small Signal'!$B$2*'Small Signal'!$B$16*'Small Signal'!$B$38*'Small Signal'!$B$13*'Small Signal'!$B$14)),IMSUM(IMPRODUCT('Small Signal'!$B$11*'Small Signal'!$B$13*('Small Signal'!$B$14+'Small Signal'!$B$16),IMPOWER(H205,2)),IMSUM(IMPRODUCT(H205,('Small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-0.000347081163959959-0.00115532118624027i</v>
      </c>
      <c r="N205" s="85">
        <f t="shared" si="41"/>
        <v>-58.370676511337216</v>
      </c>
      <c r="O205" s="85">
        <f t="shared" si="42"/>
        <v>-106.72129953940846</v>
      </c>
      <c r="P205" s="85" t="str">
        <f>IMDIV(IMSUM('Small Signal'!$B$48,IMPRODUCT(H205,'Small Signal'!$B$49)),IMSUM(IMPRODUCT('Small Signal'!$B$52,IMPOWER(H205,2)),IMSUM(IMPRODUCT(H205,'Small Signal'!$B$51),'Small Signal'!$B$50)))</f>
        <v>-0.000236664914316736-0.000748456953569518i</v>
      </c>
      <c r="Q205" s="85">
        <f t="shared" si="43"/>
        <v>-62.102796500539625</v>
      </c>
      <c r="R205" s="85">
        <f t="shared" si="44"/>
        <v>-107.54715099538916</v>
      </c>
      <c r="S205" s="85" t="str">
        <f>IMPRODUCT(IMDIV(IMSUM(IMPRODUCT(H205,'Small Signal'!$B$33*'Small Signal'!$B$6*'Small Signal'!$B$27*'Small Signal'!$B$7*'Small Signal'!$B$8),'Small Signal'!$B$33*'Small Signal'!$B$6*'Small Signal'!$B$27),IMSUM(IMSUM(IMPRODUCT(H205,('Small Signal'!$B$5+'Small Signal'!$B$6)*('Small Signal'!$B$32*'Small Signal'!$B$33)+'Small Signal'!$B$5*'Small Signal'!$B$33*('Small Signal'!$B$8+'Small Signal'!$B$9)+'Small Signal'!$B$6*'Small Signal'!$B$33*('Small Signal'!$B$8+'Small Signal'!$B$9)+'Small Signal'!$B$7*'Small Signal'!$B$8*('Small Signal'!$B$5+'Small Signal'!$B$6)),'Small Signal'!$B$6+'Small Signal'!$B$5),IMPRODUCT(IMPOWER(H205,2),'Small Signal'!$B$32*'Small Signal'!$B$33*'Small Signal'!$B$8*'Small Signal'!$B$7*('Small Signal'!$B$5+'Small Signal'!$B$6)+('Small Signal'!$B$5+'Small Signal'!$B$6)*('Small Signal'!$B$9*'Small Signal'!$B$8*'Small Signal'!$B$33*'Small Signal'!$B$7)))),-1)</f>
        <v>-0.000529901373020977+0.0125100070536867i</v>
      </c>
      <c r="T205" s="85">
        <f t="shared" si="45"/>
        <v>-38.04706370507142</v>
      </c>
      <c r="U205" s="85">
        <f t="shared" si="46"/>
        <v>92.42549612346781</v>
      </c>
      <c r="V205" s="85" t="str">
        <f t="shared" si="47"/>
        <v>0.0000146369949744716-3.72978152647193E-06i</v>
      </c>
      <c r="W205" s="80">
        <f t="shared" si="48"/>
        <v>-96.41774021640863</v>
      </c>
      <c r="X205" s="85">
        <f t="shared" si="49"/>
        <v>-14.2958034159406</v>
      </c>
      <c r="Y205" s="85" t="str">
        <f t="shared" si="50"/>
        <v>9.48861083157786E-06-2.56407138011894E-06i</v>
      </c>
      <c r="Z205" s="80">
        <f t="shared" si="51"/>
        <v>-100.14986020561105</v>
      </c>
      <c r="AA205" s="85">
        <f t="shared" si="52"/>
        <v>-15.12165487192134</v>
      </c>
    </row>
    <row r="206" spans="6:27" ht="12.75">
      <c r="F206" s="84">
        <v>204</v>
      </c>
      <c r="G206" s="85">
        <f>10^('Small Signal'!F206/30)</f>
        <v>6309573.444801938</v>
      </c>
      <c r="H206" s="85" t="str">
        <f t="shared" si="40"/>
        <v>39644219.16295i</v>
      </c>
      <c r="I206" s="85">
        <f>IF('Small Signal'!$B$37&gt;=1,Q206+0,N206+0)</f>
        <v>-59.095723522012946</v>
      </c>
      <c r="J206" s="85">
        <f>IF('Small Signal'!$B$37&gt;=1,R206,O206)</f>
        <v>-105.5614393904111</v>
      </c>
      <c r="K206" s="85">
        <f>IF('Small Signal'!$B$37&gt;=1,Z206+0,W206+0)</f>
        <v>-97.80830849232052</v>
      </c>
      <c r="L206" s="85">
        <f>IF('Small Signal'!$B$37&gt;=1,AA206,X206)</f>
        <v>-13.314940988673454</v>
      </c>
      <c r="M206" s="85" t="str">
        <f>IMDIV(IMSUM('Small Signal'!$B$2*'Small Signal'!$B$16*'Small Signal'!$B$38,IMPRODUCT(H206,'Small Signal'!$B$2*'Small Signal'!$B$16*'Small Signal'!$B$38*'Small Signal'!$B$13*'Small Signal'!$B$14)),IMSUM(IMPRODUCT('Small Signal'!$B$11*'Small Signal'!$B$13*('Small Signal'!$B$14+'Small Signal'!$B$16),IMPOWER(H206,2)),IMSUM(IMPRODUCT(H206,('Small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-0.00029770657723724-0.00106904237585984i</v>
      </c>
      <c r="N206" s="85">
        <f t="shared" si="41"/>
        <v>-59.095723522012946</v>
      </c>
      <c r="O206" s="85">
        <f t="shared" si="42"/>
        <v>-105.5614393904111</v>
      </c>
      <c r="P206" s="85" t="str">
        <f>IMDIV(IMSUM('Small Signal'!$B$48,IMPRODUCT(H206,'Small Signal'!$B$49)),IMSUM(IMPRODUCT('Small Signal'!$B$52,IMPOWER(H206,2)),IMSUM(IMPRODUCT(H206,'Small Signal'!$B$51),'Small Signal'!$B$50)))</f>
        <v>-0.000202987297801988-0.000692981736161678i</v>
      </c>
      <c r="Q206" s="85">
        <f t="shared" si="43"/>
        <v>-62.82806043188805</v>
      </c>
      <c r="R206" s="85">
        <f t="shared" si="44"/>
        <v>-106.32629366836217</v>
      </c>
      <c r="S206" s="85" t="str">
        <f>IMPRODUCT(IMDIV(IMSUM(IMPRODUCT(H206,'Small Signal'!$B$33*'Small Signal'!$B$6*'Small Signal'!$B$27*'Small Signal'!$B$7*'Small Signal'!$B$8),'Small Signal'!$B$33*'Small Signal'!$B$6*'Small Signal'!$B$27),IMSUM(IMSUM(IMPRODUCT(H206,('Small Signal'!$B$5+'Small Signal'!$B$6)*('Small Signal'!$B$32*'Small Signal'!$B$33)+'Small Signal'!$B$5*'Small Signal'!$B$33*('Small Signal'!$B$8+'Small Signal'!$B$9)+'Small Signal'!$B$6*'Small Signal'!$B$33*('Small Signal'!$B$8+'Small Signal'!$B$9)+'Small Signal'!$B$7*'Small Signal'!$B$8*('Small Signal'!$B$5+'Small Signal'!$B$6)),'Small Signal'!$B$6+'Small Signal'!$B$5),IMPRODUCT(IMPOWER(H206,2),'Small Signal'!$B$32*'Small Signal'!$B$33*'Small Signal'!$B$8*'Small Signal'!$B$7*('Small Signal'!$B$5+'Small Signal'!$B$6)+('Small Signal'!$B$5+'Small Signal'!$B$6)*('Small Signal'!$B$9*'Small Signal'!$B$8*'Small Signal'!$B$33*'Small Signal'!$B$7)))),-1)</f>
        <v>-0.000454614152680571+0.0115887565368138i</v>
      </c>
      <c r="T206" s="85">
        <f t="shared" si="45"/>
        <v>-38.71258497030756</v>
      </c>
      <c r="U206" s="85">
        <f t="shared" si="46"/>
        <v>92.24649840173765</v>
      </c>
      <c r="V206" s="85" t="str">
        <f t="shared" si="47"/>
        <v>0.0000125242134447348-2.96404724912938E-06i</v>
      </c>
      <c r="W206" s="80">
        <f t="shared" si="48"/>
        <v>-97.80830849232052</v>
      </c>
      <c r="X206" s="85">
        <f t="shared" si="49"/>
        <v>-13.314940988673454</v>
      </c>
      <c r="Y206" s="85" t="str">
        <f t="shared" si="50"/>
        <v>8.12307752323139E-06-2.03733106948471E-06i</v>
      </c>
      <c r="Z206" s="80">
        <f t="shared" si="51"/>
        <v>-101.5406454021956</v>
      </c>
      <c r="AA206" s="85">
        <f t="shared" si="52"/>
        <v>-14.079795266624545</v>
      </c>
    </row>
    <row r="207" spans="6:27" ht="12.75">
      <c r="F207" s="84">
        <v>205</v>
      </c>
      <c r="G207" s="85">
        <f>10^('Small Signal'!F207/30)</f>
        <v>6812920.69057962</v>
      </c>
      <c r="H207" s="85" t="str">
        <f t="shared" si="40"/>
        <v>42806843.1820297i</v>
      </c>
      <c r="I207" s="85">
        <f>IF('Small Signal'!$B$37&gt;=1,Q207+0,N207+0)</f>
        <v>-59.81310070229342</v>
      </c>
      <c r="J207" s="85">
        <f>IF('Small Signal'!$B$37&gt;=1,R207,O207)</f>
        <v>-104.47265618593124</v>
      </c>
      <c r="K207" s="85">
        <f>IF('Small Signal'!$B$37&gt;=1,Z207+0,W207+0)</f>
        <v>-99.19136969229717</v>
      </c>
      <c r="L207" s="85">
        <f>IF('Small Signal'!$B$37&gt;=1,AA207,X207)</f>
        <v>-12.391972223089104</v>
      </c>
      <c r="M207" s="85" t="str">
        <f>IMDIV(IMSUM('Small Signal'!$B$2*'Small Signal'!$B$16*'Small Signal'!$B$38,IMPRODUCT(H207,'Small Signal'!$B$2*'Small Signal'!$B$16*'Small Signal'!$B$38*'Small Signal'!$B$13*'Small Signal'!$B$14)),IMSUM(IMPRODUCT('Small Signal'!$B$11*'Small Signal'!$B$13*('Small Signal'!$B$14+'Small Signal'!$B$16),IMPOWER(H207,2)),IMSUM(IMPRODUCT(H207,('Small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-0.000255353839584659-0.000989327554636333i</v>
      </c>
      <c r="N207" s="85">
        <f t="shared" si="41"/>
        <v>-59.81310070229342</v>
      </c>
      <c r="O207" s="85">
        <f t="shared" si="42"/>
        <v>-104.47265618593124</v>
      </c>
      <c r="P207" s="85" t="str">
        <f>IMDIV(IMSUM('Small Signal'!$B$48,IMPRODUCT(H207,'Small Signal'!$B$49)),IMSUM(IMPRODUCT('Small Signal'!$B$52,IMPOWER(H207,2)),IMSUM(IMPRODUCT(H207,'Small Signal'!$B$51),'Small Signal'!$B$50)))</f>
        <v>-0.00017410194030654-0.000641641761824782i</v>
      </c>
      <c r="Q207" s="85">
        <f t="shared" si="43"/>
        <v>-63.54562367375973</v>
      </c>
      <c r="R207" s="85">
        <f t="shared" si="44"/>
        <v>-105.18101617937144</v>
      </c>
      <c r="S207" s="85" t="str">
        <f>IMPRODUCT(IMDIV(IMSUM(IMPRODUCT(H207,'Small Signal'!$B$33*'Small Signal'!$B$6*'Small Signal'!$B$27*'Small Signal'!$B$7*'Small Signal'!$B$8),'Small Signal'!$B$33*'Small Signal'!$B$6*'Small Signal'!$B$27),IMSUM(IMSUM(IMPRODUCT(H207,('Small Signal'!$B$5+'Small Signal'!$B$6)*('Small Signal'!$B$32*'Small Signal'!$B$33)+'Small Signal'!$B$5*'Small Signal'!$B$33*('Small Signal'!$B$8+'Small Signal'!$B$9)+'Small Signal'!$B$6*'Small Signal'!$B$33*('Small Signal'!$B$8+'Small Signal'!$B$9)+'Small Signal'!$B$7*'Small Signal'!$B$8*('Small Signal'!$B$5+'Small Signal'!$B$6)),'Small Signal'!$B$6+'Small Signal'!$B$5),IMPRODUCT(IMPOWER(H207,2),'Small Signal'!$B$32*'Small Signal'!$B$33*'Small Signal'!$B$8*'Small Signal'!$B$7*('Small Signal'!$B$5+'Small Signal'!$B$6)+('Small Signal'!$B$5+'Small Signal'!$B$6)*('Small Signal'!$B$9*'Small Signal'!$B$8*'Small Signal'!$B$33*'Small Signal'!$B$7)))),-1)</f>
        <v>-0.000390008954474668+0.0107349523648547i</v>
      </c>
      <c r="T207" s="85">
        <f t="shared" si="45"/>
        <v>-39.37826899000372</v>
      </c>
      <c r="U207" s="85">
        <f t="shared" si="46"/>
        <v>92.08068396284219</v>
      </c>
      <c r="V207" s="85" t="str">
        <f t="shared" si="47"/>
        <v>0.0000107199744562567-2.35536469890737E-06i</v>
      </c>
      <c r="W207" s="80">
        <f t="shared" si="48"/>
        <v>-99.19136969229717</v>
      </c>
      <c r="X207" s="85">
        <f t="shared" si="49"/>
        <v>-12.391972223089104</v>
      </c>
      <c r="Y207" s="85" t="str">
        <f t="shared" si="50"/>
        <v>6.95589506420144E-06-1.61873000314292E-06i</v>
      </c>
      <c r="Z207" s="80">
        <f t="shared" si="51"/>
        <v>-102.92389266376345</v>
      </c>
      <c r="AA207" s="85">
        <f t="shared" si="52"/>
        <v>-13.10033221652929</v>
      </c>
    </row>
    <row r="208" spans="6:27" ht="12.75">
      <c r="F208" s="84">
        <v>206</v>
      </c>
      <c r="G208" s="85">
        <f>10^('Small Signal'!F208/30)</f>
        <v>7356422.544596422</v>
      </c>
      <c r="H208" s="85" t="str">
        <f t="shared" si="40"/>
        <v>46221766.0456129i</v>
      </c>
      <c r="I208" s="85">
        <f>IF('Small Signal'!$B$37&gt;=1,Q208+0,N208+0)</f>
        <v>-60.523742062692904</v>
      </c>
      <c r="J208" s="85">
        <f>IF('Small Signal'!$B$37&gt;=1,R208,O208)</f>
        <v>-103.45242757897256</v>
      </c>
      <c r="K208" s="85">
        <f>IF('Small Signal'!$B$37&gt;=1,Z208+0,W208+0)</f>
        <v>-100.5678347298185</v>
      </c>
      <c r="L208" s="85">
        <f>IF('Small Signal'!$B$37&gt;=1,AA208,X208)</f>
        <v>-11.5253402913224</v>
      </c>
      <c r="M208" s="85" t="str">
        <f>IMDIV(IMSUM('Small Signal'!$B$2*'Small Signal'!$B$16*'Small Signal'!$B$38,IMPRODUCT(H208,'Small Signal'!$B$2*'Small Signal'!$B$16*'Small Signal'!$B$38*'Small Signal'!$B$13*'Small Signal'!$B$14)),IMSUM(IMPRODUCT('Small Signal'!$B$11*'Small Signal'!$B$13*('Small Signal'!$B$14+'Small Signal'!$B$16),IMPOWER(H208,2)),IMSUM(IMPRODUCT(H208,('Small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-0.000219024864481071-0.000915652794089285i</v>
      </c>
      <c r="N208" s="85">
        <f t="shared" si="41"/>
        <v>-60.523742062692904</v>
      </c>
      <c r="O208" s="85">
        <f t="shared" si="42"/>
        <v>-103.45242757897256</v>
      </c>
      <c r="P208" s="85" t="str">
        <f>IMDIV(IMSUM('Small Signal'!$B$48,IMPRODUCT(H208,'Small Signal'!$B$49)),IMSUM(IMPRODUCT('Small Signal'!$B$52,IMPOWER(H208,2)),IMSUM(IMPRODUCT(H208,'Small Signal'!$B$51),'Small Signal'!$B$50)))</f>
        <v>-0.000149326937628027-0.000594123973152197i</v>
      </c>
      <c r="Q208" s="85">
        <f t="shared" si="43"/>
        <v>-64.25642462550046</v>
      </c>
      <c r="R208" s="85">
        <f t="shared" si="44"/>
        <v>-104.10846425350108</v>
      </c>
      <c r="S208" s="85" t="str">
        <f>IMPRODUCT(IMDIV(IMSUM(IMPRODUCT(H208,'Small Signal'!$B$33*'Small Signal'!$B$6*'Small Signal'!$B$27*'Small Signal'!$B$7*'Small Signal'!$B$8),'Small Signal'!$B$33*'Small Signal'!$B$6*'Small Signal'!$B$27),IMSUM(IMSUM(IMPRODUCT(H208,('Small Signal'!$B$5+'Small Signal'!$B$6)*('Small Signal'!$B$32*'Small Signal'!$B$33)+'Small Signal'!$B$5*'Small Signal'!$B$33*('Small Signal'!$B$8+'Small Signal'!$B$9)+'Small Signal'!$B$6*'Small Signal'!$B$33*('Small Signal'!$B$8+'Small Signal'!$B$9)+'Small Signal'!$B$7*'Small Signal'!$B$8*('Small Signal'!$B$5+'Small Signal'!$B$6)),'Small Signal'!$B$6+'Small Signal'!$B$5),IMPRODUCT(IMPOWER(H208,2),'Small Signal'!$B$32*'Small Signal'!$B$33*'Small Signal'!$B$8*'Small Signal'!$B$7*('Small Signal'!$B$5+'Small Signal'!$B$6)+('Small Signal'!$B$5+'Small Signal'!$B$6)*('Small Signal'!$B$9*'Small Signal'!$B$8*'Small Signal'!$B$33*'Small Signal'!$B$7)))),-1)</f>
        <v>-0.000334574035964784+0.00994373800510674i</v>
      </c>
      <c r="T208" s="85">
        <f t="shared" si="45"/>
        <v>-40.044092667125604</v>
      </c>
      <c r="U208" s="85">
        <f t="shared" si="46"/>
        <v>91.92708728765018</v>
      </c>
      <c r="V208" s="85" t="str">
        <f t="shared" si="47"/>
        <v>9.17829152095387E-06-0.0000018715722181429i</v>
      </c>
      <c r="W208" s="80">
        <f t="shared" si="48"/>
        <v>-100.5678347298185</v>
      </c>
      <c r="X208" s="85">
        <f t="shared" si="49"/>
        <v>-11.5253402913224</v>
      </c>
      <c r="Y208" s="85" t="str">
        <f t="shared" si="50"/>
        <v>5.95777404777899E-06-1.28608948931705E-06i</v>
      </c>
      <c r="Z208" s="80">
        <f t="shared" si="51"/>
        <v>-104.30051729262604</v>
      </c>
      <c r="AA208" s="85">
        <f t="shared" si="52"/>
        <v>-12.181376965850864</v>
      </c>
    </row>
    <row r="209" spans="6:27" ht="12.75">
      <c r="F209" s="84">
        <v>207</v>
      </c>
      <c r="G209" s="85">
        <f>10^('Small Signal'!F209/30)</f>
        <v>7943282.3472428275</v>
      </c>
      <c r="H209" s="85" t="str">
        <f t="shared" si="40"/>
        <v>49909114.9349751i</v>
      </c>
      <c r="I209" s="85">
        <f>IF('Small Signal'!$B$37&gt;=1,Q209+0,N209+0)</f>
        <v>-61.228486423464126</v>
      </c>
      <c r="J209" s="85">
        <f>IF('Small Signal'!$B$37&gt;=1,R209,O209)</f>
        <v>-102.49793823984555</v>
      </c>
      <c r="K209" s="85">
        <f>IF('Small Signal'!$B$37&gt;=1,Z209+0,W209+0)</f>
        <v>-101.93852259812397</v>
      </c>
      <c r="L209" s="85">
        <f>IF('Small Signal'!$B$37&gt;=1,AA209,X209)</f>
        <v>-10.713125788077207</v>
      </c>
      <c r="M209" s="85" t="str">
        <f>IMDIV(IMSUM('Small Signal'!$B$2*'Small Signal'!$B$16*'Small Signal'!$B$38,IMPRODUCT(H209,'Small Signal'!$B$2*'Small Signal'!$B$16*'Small Signal'!$B$38*'Small Signal'!$B$13*'Small Signal'!$B$14)),IMSUM(IMPRODUCT('Small Signal'!$B$11*'Small Signal'!$B$13*('Small Signal'!$B$14+'Small Signal'!$B$16),IMPOWER(H209,2)),IMSUM(IMPRODUCT(H209,('Small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-0.000187863292991023-0.000847540882498172i</v>
      </c>
      <c r="N209" s="85">
        <f t="shared" si="41"/>
        <v>-61.228486423464126</v>
      </c>
      <c r="O209" s="85">
        <f t="shared" si="42"/>
        <v>-102.49793823984555</v>
      </c>
      <c r="P209" s="85" t="str">
        <f>IMDIV(IMSUM('Small Signal'!$B$48,IMPRODUCT(H209,'Small Signal'!$B$49)),IMSUM(IMPRODUCT('Small Signal'!$B$52,IMPOWER(H209,2)),IMSUM(IMPRODUCT(H209,'Small Signal'!$B$51),'Small Signal'!$B$50)))</f>
        <v>-0.000128077409077432-0.000550139992582839i</v>
      </c>
      <c r="Q209" s="85">
        <f t="shared" si="43"/>
        <v>-64.96130587231745</v>
      </c>
      <c r="R209" s="85">
        <f t="shared" si="44"/>
        <v>-103.10551500190526</v>
      </c>
      <c r="S209" s="85" t="str">
        <f>IMPRODUCT(IMDIV(IMSUM(IMPRODUCT(H209,'Small Signal'!$B$33*'Small Signal'!$B$6*'Small Signal'!$B$27*'Small Signal'!$B$7*'Small Signal'!$B$8),'Small Signal'!$B$33*'Small Signal'!$B$6*'Small Signal'!$B$27),IMSUM(IMSUM(IMPRODUCT(H209,('Small Signal'!$B$5+'Small Signal'!$B$6)*('Small Signal'!$B$32*'Small Signal'!$B$33)+'Small Signal'!$B$5*'Small Signal'!$B$33*('Small Signal'!$B$8+'Small Signal'!$B$9)+'Small Signal'!$B$6*'Small Signal'!$B$33*('Small Signal'!$B$8+'Small Signal'!$B$9)+'Small Signal'!$B$7*'Small Signal'!$B$8*('Small Signal'!$B$5+'Small Signal'!$B$6)),'Small Signal'!$B$6+'Small Signal'!$B$5),IMPRODUCT(IMPOWER(H209,2),'Small Signal'!$B$32*'Small Signal'!$B$33*'Small Signal'!$B$8*'Small Signal'!$B$7*('Small Signal'!$B$5+'Small Signal'!$B$6)+('Small Signal'!$B$5+'Small Signal'!$B$6)*('Small Signal'!$B$9*'Small Signal'!$B$8*'Small Signal'!$B$33*'Small Signal'!$B$7)))),-1)</f>
        <v>-0.00028701057952388+0.0092105898349111i</v>
      </c>
      <c r="T209" s="85">
        <f t="shared" si="45"/>
        <v>-40.710036174659834</v>
      </c>
      <c r="U209" s="85">
        <f t="shared" si="46"/>
        <v>91.78481245176833</v>
      </c>
      <c r="V209" s="85" t="str">
        <f t="shared" si="47"/>
        <v>7.86027018960186E-06-1.48707853692006E-06i</v>
      </c>
      <c r="W209" s="80">
        <f t="shared" si="48"/>
        <v>-101.93852259812397</v>
      </c>
      <c r="X209" s="85">
        <f t="shared" si="49"/>
        <v>-10.713125788077207</v>
      </c>
      <c r="Y209" s="85" t="str">
        <f t="shared" si="50"/>
        <v>0.0000051038733948648-1.02177248403988E-06i</v>
      </c>
      <c r="Z209" s="80">
        <f t="shared" si="51"/>
        <v>-105.67134204697729</v>
      </c>
      <c r="AA209" s="85">
        <f t="shared" si="52"/>
        <v>-11.320702550136884</v>
      </c>
    </row>
    <row r="210" spans="6:27" ht="12.75">
      <c r="F210" s="84">
        <v>208</v>
      </c>
      <c r="G210" s="85">
        <f>10^('Small Signal'!F210/30)</f>
        <v>8576958.985908957</v>
      </c>
      <c r="H210" s="85" t="str">
        <f t="shared" si="40"/>
        <v>53890622.6805451i</v>
      </c>
      <c r="I210" s="85">
        <f>IF('Small Signal'!$B$37&gt;=1,Q210+0,N210+0)</f>
        <v>-61.92808232227759</v>
      </c>
      <c r="J210" s="85">
        <f>IF('Small Signal'!$B$37&gt;=1,R210,O210)</f>
        <v>-101.6061764631958</v>
      </c>
      <c r="K210" s="85">
        <f>IF('Small Signal'!$B$37&gt;=1,Z210+0,W210+0)</f>
        <v>-103.30416481698008</v>
      </c>
      <c r="L210" s="85">
        <f>IF('Small Signal'!$B$37&gt;=1,AA210,X210)</f>
        <v>-9.95314812324423</v>
      </c>
      <c r="M210" s="85" t="str">
        <f>IMDIV(IMSUM('Small Signal'!$B$2*'Small Signal'!$B$16*'Small Signal'!$B$38,IMPRODUCT(H210,'Small Signal'!$B$2*'Small Signal'!$B$16*'Small Signal'!$B$38*'Small Signal'!$B$13*'Small Signal'!$B$14)),IMSUM(IMPRODUCT('Small Signal'!$B$11*'Small Signal'!$B$13*('Small Signal'!$B$14+'Small Signal'!$B$16),IMPOWER(H210,2)),IMSUM(IMPRODUCT(H210,('Small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-0.000161134405711156-0.000784556228664504i</v>
      </c>
      <c r="N210" s="85">
        <f t="shared" si="41"/>
        <v>-61.92808232227759</v>
      </c>
      <c r="O210" s="85">
        <f t="shared" si="42"/>
        <v>-101.6061764631958</v>
      </c>
      <c r="P210" s="85" t="str">
        <f>IMDIV(IMSUM('Small Signal'!$B$48,IMPRODUCT(H210,'Small Signal'!$B$49)),IMSUM(IMPRODUCT('Small Signal'!$B$52,IMPOWER(H210,2)),IMSUM(IMPRODUCT(H210,'Small Signal'!$B$51),'Small Signal'!$B$50)))</f>
        <v>-0.000109851694402527-0.000509423980099128i</v>
      </c>
      <c r="Q210" s="85">
        <f t="shared" si="43"/>
        <v>-65.66101918156166</v>
      </c>
      <c r="R210" s="85">
        <f t="shared" si="44"/>
        <v>-102.16887176018889</v>
      </c>
      <c r="S210" s="85" t="str">
        <f>IMPRODUCT(IMDIV(IMSUM(IMPRODUCT(H210,'Small Signal'!$B$33*'Small Signal'!$B$6*'Small Signal'!$B$27*'Small Signal'!$B$7*'Small Signal'!$B$8),'Small Signal'!$B$33*'Small Signal'!$B$6*'Small Signal'!$B$27),IMSUM(IMSUM(IMPRODUCT(H210,('Small Signal'!$B$5+'Small Signal'!$B$6)*('Small Signal'!$B$32*'Small Signal'!$B$33)+'Small Signal'!$B$5*'Small Signal'!$B$33*('Small Signal'!$B$8+'Small Signal'!$B$9)+'Small Signal'!$B$6*'Small Signal'!$B$33*('Small Signal'!$B$8+'Small Signal'!$B$9)+'Small Signal'!$B$7*'Small Signal'!$B$8*('Small Signal'!$B$5+'Small Signal'!$B$6)),'Small Signal'!$B$6+'Small Signal'!$B$5),IMPRODUCT(IMPOWER(H210,2),'Small Signal'!$B$32*'Small Signal'!$B$33*'Small Signal'!$B$8*'Small Signal'!$B$7*('Small Signal'!$B$5+'Small Signal'!$B$6)+('Small Signal'!$B$5+'Small Signal'!$B$6)*('Small Signal'!$B$9*'Small Signal'!$B$8*'Small Signal'!$B$33*'Small Signal'!$B$7)))),-1)</f>
        <v>-0.000246202972303315+0.00853129783441032i</v>
      </c>
      <c r="T210" s="85">
        <f t="shared" si="45"/>
        <v>-41.37608249470249</v>
      </c>
      <c r="U210" s="85">
        <f t="shared" si="46"/>
        <v>91.65302833995156</v>
      </c>
      <c r="V210" s="85" t="str">
        <f t="shared" si="47"/>
        <v>6.73295462420503E-06-0.0000011815255310563i</v>
      </c>
      <c r="W210" s="80">
        <f t="shared" si="48"/>
        <v>-103.30416481698008</v>
      </c>
      <c r="X210" s="85">
        <f t="shared" si="49"/>
        <v>-9.95314812324423</v>
      </c>
      <c r="Y210" s="85" t="str">
        <f t="shared" si="50"/>
        <v>4.37309351189083E-06-8.11755824499593E-07i</v>
      </c>
      <c r="Z210" s="80">
        <f t="shared" si="51"/>
        <v>-107.03710167626414</v>
      </c>
      <c r="AA210" s="85">
        <f t="shared" si="52"/>
        <v>-10.515843420237351</v>
      </c>
    </row>
    <row r="211" spans="6:27" ht="12.75">
      <c r="F211" s="84">
        <v>209</v>
      </c>
      <c r="G211" s="85">
        <f>10^('Small Signal'!F211/30)</f>
        <v>9261187.281287955</v>
      </c>
      <c r="H211" s="85" t="str">
        <f t="shared" si="40"/>
        <v>58189755.8528269i</v>
      </c>
      <c r="I211" s="85">
        <f>IF('Small Signal'!$B$37&gt;=1,Q211+0,N211+0)</f>
        <v>-62.6231940596186</v>
      </c>
      <c r="J211" s="85">
        <f>IF('Small Signal'!$B$37&gt;=1,R211,O211)</f>
        <v>-100.77401479142732</v>
      </c>
      <c r="K211" s="85">
        <f>IF('Small Signal'!$B$37&gt;=1,Z211+0,W211+0)</f>
        <v>-104.6654110815891</v>
      </c>
      <c r="L211" s="85">
        <f>IF('Small Signal'!$B$37&gt;=1,AA211,X211)</f>
        <v>-9.24305065011889</v>
      </c>
      <c r="M211" s="85" t="str">
        <f>IMDIV(IMSUM('Small Signal'!$B$2*'Small Signal'!$B$16*'Small Signal'!$B$38,IMPRODUCT(H211,'Small Signal'!$B$2*'Small Signal'!$B$16*'Small Signal'!$B$38*'Small Signal'!$B$13*'Small Signal'!$B$14)),IMSUM(IMPRODUCT('Small Signal'!$B$11*'Small Signal'!$B$13*('Small Signal'!$B$14+'Small Signal'!$B$16),IMPOWER(H211,2)),IMSUM(IMPRODUCT(H211,('Small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-0.000138207872106434-0.000726300479726387i</v>
      </c>
      <c r="N211" s="85">
        <f t="shared" si="41"/>
        <v>-62.6231940596186</v>
      </c>
      <c r="O211" s="85">
        <f t="shared" si="42"/>
        <v>-100.77401479142732</v>
      </c>
      <c r="P211" s="85" t="str">
        <f>IMDIV(IMSUM('Small Signal'!$B$48,IMPRODUCT(H211,'Small Signal'!$B$49)),IMSUM(IMPRODUCT('Small Signal'!$B$52,IMPOWER(H211,2)),IMSUM(IMPRODUCT(H211,'Small Signal'!$B$51),'Small Signal'!$B$50)))</f>
        <v>-0.0000942195139498572-0.000471730714786542i</v>
      </c>
      <c r="Q211" s="85">
        <f t="shared" si="43"/>
        <v>-66.3562316241657</v>
      </c>
      <c r="R211" s="85">
        <f t="shared" si="44"/>
        <v>-101.29514306733303</v>
      </c>
      <c r="S211" s="85" t="str">
        <f>IMPRODUCT(IMDIV(IMSUM(IMPRODUCT(H211,'Small Signal'!$B$33*'Small Signal'!$B$6*'Small Signal'!$B$27*'Small Signal'!$B$7*'Small Signal'!$B$8),'Small Signal'!$B$33*'Small Signal'!$B$6*'Small Signal'!$B$27),IMSUM(IMSUM(IMPRODUCT(H211,('Small Signal'!$B$5+'Small Signal'!$B$6)*('Small Signal'!$B$32*'Small Signal'!$B$33)+'Small Signal'!$B$5*'Small Signal'!$B$33*('Small Signal'!$B$8+'Small Signal'!$B$9)+'Small Signal'!$B$6*'Small Signal'!$B$33*('Small Signal'!$B$8+'Small Signal'!$B$9)+'Small Signal'!$B$7*'Small Signal'!$B$8*('Small Signal'!$B$5+'Small Signal'!$B$6)),'Small Signal'!$B$6+'Small Signal'!$B$5),IMPRODUCT(IMPOWER(H211,2),'Small Signal'!$B$32*'Small Signal'!$B$33*'Small Signal'!$B$8*'Small Signal'!$B$7*('Small Signal'!$B$5+'Small Signal'!$B$6)+('Small Signal'!$B$5+'Small Signal'!$B$6)*('Small Signal'!$B$9*'Small Signal'!$B$8*'Small Signal'!$B$33*'Small Signal'!$B$7)))),-1)</f>
        <v>-0.000211193162940967+0.00790194663000295i</v>
      </c>
      <c r="T211" s="85">
        <f t="shared" si="45"/>
        <v>-42.042217021970515</v>
      </c>
      <c r="U211" s="85">
        <f t="shared" si="46"/>
        <v>91.53096414130843</v>
      </c>
      <c r="V211" s="85" t="str">
        <f t="shared" si="47"/>
        <v>5.76837618579695E-06-9.38721533672358E-07i</v>
      </c>
      <c r="W211" s="80">
        <f t="shared" si="48"/>
        <v>-104.6654110815891</v>
      </c>
      <c r="X211" s="85">
        <f t="shared" si="49"/>
        <v>-9.24305065011889</v>
      </c>
      <c r="Y211" s="85" t="str">
        <f t="shared" si="50"/>
        <v>3.74748944913823E-06-6.44891269024417E-07i</v>
      </c>
      <c r="Z211" s="80">
        <f t="shared" si="51"/>
        <v>-108.39844864613622</v>
      </c>
      <c r="AA211" s="85">
        <f t="shared" si="52"/>
        <v>-9.764178926024599</v>
      </c>
    </row>
    <row r="212" spans="6:27" ht="12.75">
      <c r="F212" s="84">
        <v>210</v>
      </c>
      <c r="G212" s="85">
        <f>10^('Small Signal'!F212/30)</f>
        <v>10000000</v>
      </c>
      <c r="H212" s="85" t="str">
        <f t="shared" si="40"/>
        <v>62831853.0717959i</v>
      </c>
      <c r="I212" s="85">
        <f>IF('Small Signal'!$B$37&gt;=1,Q212+0,N212+0)</f>
        <v>-63.31440838060053</v>
      </c>
      <c r="J212" s="85">
        <f>IF('Small Signal'!$B$37&gt;=1,R212,O212)</f>
        <v>-99.99827592384028</v>
      </c>
      <c r="K212" s="85">
        <f>IF('Small Signal'!$B$37&gt;=1,Z212+0,W212+0)</f>
        <v>-106.02283560347679</v>
      </c>
      <c r="L212" s="85">
        <f>IF('Small Signal'!$B$37&gt;=1,AA212,X212)</f>
        <v>-8.580370804470013</v>
      </c>
      <c r="M212" s="85" t="str">
        <f>IMDIV(IMSUM('Small Signal'!$B$2*'Small Signal'!$B$16*'Small Signal'!$B$38,IMPRODUCT(H212,'Small Signal'!$B$2*'Small Signal'!$B$16*'Small Signal'!$B$38*'Small Signal'!$B$13*'Small Signal'!$B$14)),IMSUM(IMPRODUCT('Small Signal'!$B$11*'Small Signal'!$B$13*('Small Signal'!$B$14+'Small Signal'!$B$16),IMPOWER(H212,2)),IMSUM(IMPRODUCT(H212,('Small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-0.000118542939066241-0.000672408731084962i</v>
      </c>
      <c r="N212" s="85">
        <f t="shared" si="41"/>
        <v>-63.31440838060053</v>
      </c>
      <c r="O212" s="85">
        <f t="shared" si="42"/>
        <v>-99.99827592384028</v>
      </c>
      <c r="P212" s="85" t="str">
        <f>IMDIV(IMSUM('Small Signal'!$B$48,IMPRODUCT(H212,'Small Signal'!$B$49)),IMSUM(IMPRODUCT('Small Signal'!$B$52,IMPOWER(H212,2)),IMSUM(IMPRODUCT(H212,'Small Signal'!$B$51),'Small Signal'!$B$50)))</f>
        <v>-0.0000808118129516089-0.000436833870228987i</v>
      </c>
      <c r="Q212" s="85">
        <f t="shared" si="43"/>
        <v>-67.04753232171203</v>
      </c>
      <c r="R212" s="85">
        <f t="shared" si="44"/>
        <v>-100.48090704664882</v>
      </c>
      <c r="S212" s="85" t="str">
        <f>IMPRODUCT(IMDIV(IMSUM(IMPRODUCT(H212,'Small Signal'!$B$33*'Small Signal'!$B$6*'Small Signal'!$B$27*'Small Signal'!$B$7*'Small Signal'!$B$8),'Small Signal'!$B$33*'Small Signal'!$B$6*'Small Signal'!$B$27),IMSUM(IMSUM(IMPRODUCT(H212,('Small Signal'!$B$5+'Small Signal'!$B$6)*('Small Signal'!$B$32*'Small Signal'!$B$33)+'Small Signal'!$B$5*'Small Signal'!$B$33*('Small Signal'!$B$8+'Small Signal'!$B$9)+'Small Signal'!$B$6*'Small Signal'!$B$33*('Small Signal'!$B$8+'Small Signal'!$B$9)+'Small Signal'!$B$7*'Small Signal'!$B$8*('Small Signal'!$B$5+'Small Signal'!$B$6)),'Small Signal'!$B$6+'Small Signal'!$B$5),IMPRODUCT(IMPOWER(H212,2),'Small Signal'!$B$32*'Small Signal'!$B$33*'Small Signal'!$B$8*'Small Signal'!$B$7*('Small Signal'!$B$5+'Small Signal'!$B$6)+('Small Signal'!$B$5+'Small Signal'!$B$6)*('Small Signal'!$B$9*'Small Signal'!$B$8*'Small Signal'!$B$33*'Small Signal'!$B$7)))),-1)</f>
        <v>-0.000181158554905762+0.00731889708003821i</v>
      </c>
      <c r="T212" s="85">
        <f t="shared" si="45"/>
        <v>-42.70842722287627</v>
      </c>
      <c r="U212" s="85">
        <f t="shared" si="46"/>
        <v>91.41790511937027</v>
      </c>
      <c r="V212" s="85" t="str">
        <f t="shared" si="47"/>
        <v>4.94276536606545E-06-7.4579097656169E-07i</v>
      </c>
      <c r="W212" s="80">
        <f t="shared" si="48"/>
        <v>-106.02283560347679</v>
      </c>
      <c r="X212" s="85">
        <f t="shared" si="49"/>
        <v>-8.580370804470013</v>
      </c>
      <c r="Y212" s="85" t="str">
        <f t="shared" si="50"/>
        <v>3.21178188853435E-06-5.1231714917955E-07i</v>
      </c>
      <c r="Z212" s="80">
        <f t="shared" si="51"/>
        <v>-109.75595954458831</v>
      </c>
      <c r="AA212" s="85">
        <f t="shared" si="52"/>
        <v>-9.063001927278552</v>
      </c>
    </row>
  </sheetData>
  <sheetProtection sheet="1"/>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2:W22"/>
  <sheetViews>
    <sheetView workbookViewId="0" topLeftCell="A1">
      <selection activeCell="A3" sqref="A3"/>
    </sheetView>
  </sheetViews>
  <sheetFormatPr defaultColWidth="9.140625" defaultRowHeight="12.75"/>
  <cols>
    <col min="1" max="1" width="11.421875" style="0" bestFit="1" customWidth="1"/>
    <col min="2" max="2" width="12.140625" style="0" bestFit="1" customWidth="1"/>
    <col min="3" max="3" width="14.57421875" style="0" bestFit="1" customWidth="1"/>
    <col min="4" max="4" width="14.140625" style="0" bestFit="1" customWidth="1"/>
    <col min="5" max="6" width="11.421875" style="0" customWidth="1"/>
    <col min="14" max="14" width="8.421875" style="0" bestFit="1" customWidth="1"/>
    <col min="15" max="15" width="7.8515625" style="0" bestFit="1" customWidth="1"/>
    <col min="16" max="16" width="12.421875" style="0" bestFit="1" customWidth="1"/>
    <col min="17" max="17" width="11.7109375" style="0" bestFit="1" customWidth="1"/>
  </cols>
  <sheetData>
    <row r="2" spans="1:23" ht="12.75">
      <c r="A2" s="60" t="s">
        <v>298</v>
      </c>
      <c r="B2" s="60" t="s">
        <v>299</v>
      </c>
      <c r="C2" s="60" t="s">
        <v>300</v>
      </c>
      <c r="D2" s="60" t="s">
        <v>301</v>
      </c>
      <c r="E2" s="60" t="s">
        <v>302</v>
      </c>
      <c r="F2" s="60" t="s">
        <v>303</v>
      </c>
      <c r="G2" s="61" t="s">
        <v>227</v>
      </c>
      <c r="H2" s="61" t="s">
        <v>229</v>
      </c>
      <c r="I2" s="66" t="s">
        <v>231</v>
      </c>
      <c r="J2" s="61" t="s">
        <v>232</v>
      </c>
      <c r="K2" s="67" t="s">
        <v>304</v>
      </c>
      <c r="L2" s="60" t="s">
        <v>305</v>
      </c>
      <c r="M2" t="s">
        <v>235</v>
      </c>
      <c r="N2" s="60" t="s">
        <v>306</v>
      </c>
      <c r="O2" s="60" t="s">
        <v>307</v>
      </c>
      <c r="P2" t="s">
        <v>238</v>
      </c>
      <c r="Q2" s="60" t="s">
        <v>239</v>
      </c>
      <c r="R2" t="s">
        <v>240</v>
      </c>
      <c r="S2" t="s">
        <v>241</v>
      </c>
      <c r="T2" t="s">
        <v>308</v>
      </c>
      <c r="U2" s="60" t="s">
        <v>309</v>
      </c>
      <c r="V2" s="60" t="s">
        <v>243</v>
      </c>
      <c r="W2" s="60" t="s">
        <v>245</v>
      </c>
    </row>
    <row r="3" spans="1:23" ht="12.75">
      <c r="A3" s="60" t="s">
        <v>25</v>
      </c>
      <c r="B3" s="60">
        <v>182</v>
      </c>
      <c r="C3" s="62" t="s">
        <v>310</v>
      </c>
      <c r="D3" s="62" t="s">
        <v>311</v>
      </c>
      <c r="E3" s="63">
        <v>4.5</v>
      </c>
      <c r="F3" s="63">
        <v>42</v>
      </c>
      <c r="G3" s="64">
        <v>350</v>
      </c>
      <c r="H3" s="65">
        <v>12</v>
      </c>
      <c r="I3" s="68">
        <v>1</v>
      </c>
      <c r="J3" s="69">
        <v>0.8</v>
      </c>
      <c r="K3" s="70">
        <v>1.2</v>
      </c>
      <c r="L3" s="63">
        <v>3.4</v>
      </c>
      <c r="M3" s="63">
        <v>1.2</v>
      </c>
      <c r="N3" s="71">
        <f aca="true" t="shared" si="0" ref="N3:N10">G3/(2*3.14159*2700000)*10^6</f>
        <v>20.631213753167923</v>
      </c>
      <c r="O3" s="72">
        <v>2500</v>
      </c>
      <c r="P3" s="72">
        <v>100</v>
      </c>
      <c r="Q3" s="70">
        <v>4.7</v>
      </c>
      <c r="R3" s="64">
        <v>146</v>
      </c>
      <c r="S3" s="74">
        <v>135</v>
      </c>
      <c r="T3" s="64">
        <v>92</v>
      </c>
      <c r="U3" s="75">
        <f aca="true" t="shared" si="1" ref="U3:U10">92417/((fsw/1000)^(0.991))</f>
        <v>163.1563486216187</v>
      </c>
      <c r="V3" s="76" t="s">
        <v>312</v>
      </c>
      <c r="W3" s="71">
        <v>8.4</v>
      </c>
    </row>
    <row r="4" spans="1:23" ht="12.75">
      <c r="A4" s="60" t="s">
        <v>28</v>
      </c>
      <c r="B4" s="60">
        <v>555</v>
      </c>
      <c r="C4" s="62" t="s">
        <v>310</v>
      </c>
      <c r="D4" s="62" t="s">
        <v>311</v>
      </c>
      <c r="E4" s="63">
        <v>4.5</v>
      </c>
      <c r="F4" s="63">
        <v>42</v>
      </c>
      <c r="G4" s="64">
        <v>350</v>
      </c>
      <c r="H4" s="65">
        <v>12</v>
      </c>
      <c r="I4" s="68">
        <v>1</v>
      </c>
      <c r="J4" s="69">
        <v>0.8</v>
      </c>
      <c r="K4" s="70">
        <v>1.2</v>
      </c>
      <c r="L4" s="63">
        <v>3.4</v>
      </c>
      <c r="M4" s="63">
        <v>1.2</v>
      </c>
      <c r="N4" s="71">
        <f t="shared" si="0"/>
        <v>20.631213753167923</v>
      </c>
      <c r="O4" s="72">
        <v>2500</v>
      </c>
      <c r="P4" s="72">
        <v>100</v>
      </c>
      <c r="Q4" s="70">
        <v>4.7</v>
      </c>
      <c r="R4" s="64">
        <v>152</v>
      </c>
      <c r="S4" s="74">
        <v>135</v>
      </c>
      <c r="T4" s="64">
        <v>87</v>
      </c>
      <c r="U4" s="75">
        <f t="shared" si="1"/>
        <v>163.1563486216187</v>
      </c>
      <c r="V4" s="76">
        <v>1.7</v>
      </c>
      <c r="W4" s="71">
        <v>8.4</v>
      </c>
    </row>
    <row r="5" spans="1:23" ht="12.75">
      <c r="A5" s="60" t="s">
        <v>13</v>
      </c>
      <c r="B5" s="60">
        <v>182</v>
      </c>
      <c r="C5" s="62" t="s">
        <v>310</v>
      </c>
      <c r="D5" s="62" t="s">
        <v>311</v>
      </c>
      <c r="E5" s="63">
        <v>4.5</v>
      </c>
      <c r="F5" s="63">
        <v>60</v>
      </c>
      <c r="G5" s="64">
        <v>350</v>
      </c>
      <c r="H5" s="65">
        <v>12</v>
      </c>
      <c r="I5" s="68">
        <v>1</v>
      </c>
      <c r="J5" s="69">
        <v>0.8</v>
      </c>
      <c r="K5" s="70">
        <v>1.2</v>
      </c>
      <c r="L5" s="63">
        <v>3.4</v>
      </c>
      <c r="M5" s="63">
        <v>1.2</v>
      </c>
      <c r="N5" s="71">
        <f t="shared" si="0"/>
        <v>20.631213753167923</v>
      </c>
      <c r="O5" s="72">
        <v>2500</v>
      </c>
      <c r="P5" s="72">
        <v>100</v>
      </c>
      <c r="Q5" s="70">
        <v>4.7</v>
      </c>
      <c r="R5" s="64">
        <v>146</v>
      </c>
      <c r="S5" s="74">
        <v>135</v>
      </c>
      <c r="T5" s="64">
        <v>92</v>
      </c>
      <c r="U5" s="75">
        <f t="shared" si="1"/>
        <v>163.1563486216187</v>
      </c>
      <c r="V5" s="76" t="s">
        <v>312</v>
      </c>
      <c r="W5" s="71">
        <v>8.4</v>
      </c>
    </row>
    <row r="6" spans="1:23" ht="12.75">
      <c r="A6" s="60" t="s">
        <v>34</v>
      </c>
      <c r="B6" s="60">
        <v>555</v>
      </c>
      <c r="C6" s="62" t="s">
        <v>310</v>
      </c>
      <c r="D6" s="62" t="s">
        <v>311</v>
      </c>
      <c r="E6" s="63">
        <v>4.5</v>
      </c>
      <c r="F6" s="63">
        <v>60</v>
      </c>
      <c r="G6" s="64">
        <v>350</v>
      </c>
      <c r="H6" s="65">
        <v>12</v>
      </c>
      <c r="I6" s="68">
        <v>1</v>
      </c>
      <c r="J6" s="69">
        <v>0.8</v>
      </c>
      <c r="K6" s="70">
        <v>1.2</v>
      </c>
      <c r="L6" s="63">
        <v>3.4</v>
      </c>
      <c r="M6" s="63">
        <v>1.2</v>
      </c>
      <c r="N6" s="71">
        <f t="shared" si="0"/>
        <v>20.631213753167923</v>
      </c>
      <c r="O6" s="72">
        <v>2500</v>
      </c>
      <c r="P6" s="72">
        <v>100</v>
      </c>
      <c r="Q6" s="70">
        <v>4.7</v>
      </c>
      <c r="R6" s="64">
        <v>152</v>
      </c>
      <c r="S6" s="74">
        <v>135</v>
      </c>
      <c r="T6" s="64">
        <v>87</v>
      </c>
      <c r="U6" s="75">
        <f t="shared" si="1"/>
        <v>163.1563486216187</v>
      </c>
      <c r="V6" s="76">
        <v>1.7</v>
      </c>
      <c r="W6" s="71">
        <v>8.4</v>
      </c>
    </row>
    <row r="7" spans="1:23" ht="12.75">
      <c r="A7" s="60" t="s">
        <v>37</v>
      </c>
      <c r="B7" s="60">
        <v>515</v>
      </c>
      <c r="C7" s="62" t="s">
        <v>313</v>
      </c>
      <c r="D7" s="62" t="s">
        <v>314</v>
      </c>
      <c r="E7" s="63">
        <v>4.5</v>
      </c>
      <c r="F7" s="63">
        <v>42</v>
      </c>
      <c r="G7" s="64">
        <v>350</v>
      </c>
      <c r="H7" s="65">
        <v>17</v>
      </c>
      <c r="I7" s="68">
        <v>1</v>
      </c>
      <c r="J7" s="69">
        <v>0.8</v>
      </c>
      <c r="K7" s="70">
        <v>1.2</v>
      </c>
      <c r="L7" s="63">
        <v>3.4</v>
      </c>
      <c r="M7" s="63">
        <v>1.2</v>
      </c>
      <c r="N7" s="71">
        <f t="shared" si="0"/>
        <v>20.631213753167923</v>
      </c>
      <c r="O7" s="72">
        <v>2500</v>
      </c>
      <c r="P7" s="72">
        <v>100</v>
      </c>
      <c r="Q7" s="70">
        <v>6</v>
      </c>
      <c r="R7" s="64">
        <v>146</v>
      </c>
      <c r="S7" s="74">
        <v>135</v>
      </c>
      <c r="T7" s="64">
        <v>92</v>
      </c>
      <c r="U7" s="75">
        <f t="shared" si="1"/>
        <v>163.1563486216187</v>
      </c>
      <c r="V7" s="76" t="s">
        <v>312</v>
      </c>
      <c r="W7" s="71">
        <v>8.4</v>
      </c>
    </row>
    <row r="8" spans="1:23" ht="12.75">
      <c r="A8" s="60" t="s">
        <v>41</v>
      </c>
      <c r="B8" s="60">
        <v>555</v>
      </c>
      <c r="C8" s="62" t="s">
        <v>313</v>
      </c>
      <c r="D8" s="62" t="s">
        <v>314</v>
      </c>
      <c r="E8" s="63">
        <v>4.5</v>
      </c>
      <c r="F8" s="63">
        <v>42</v>
      </c>
      <c r="G8" s="64">
        <v>350</v>
      </c>
      <c r="H8" s="65">
        <v>17</v>
      </c>
      <c r="I8" s="68">
        <v>1</v>
      </c>
      <c r="J8" s="69">
        <v>0.8</v>
      </c>
      <c r="K8" s="70">
        <v>1.2</v>
      </c>
      <c r="L8" s="63">
        <v>3.4</v>
      </c>
      <c r="M8" s="63">
        <v>1.2</v>
      </c>
      <c r="N8" s="71">
        <f t="shared" si="0"/>
        <v>20.631213753167923</v>
      </c>
      <c r="O8" s="72">
        <v>2500</v>
      </c>
      <c r="P8" s="72">
        <v>100</v>
      </c>
      <c r="Q8" s="70">
        <v>6</v>
      </c>
      <c r="R8" s="64">
        <v>152</v>
      </c>
      <c r="S8" s="74">
        <v>135</v>
      </c>
      <c r="T8" s="64">
        <v>87</v>
      </c>
      <c r="U8" s="75">
        <f t="shared" si="1"/>
        <v>163.1563486216187</v>
      </c>
      <c r="V8" s="76">
        <v>1.7</v>
      </c>
      <c r="W8" s="71">
        <v>8.4</v>
      </c>
    </row>
    <row r="9" spans="1:23" ht="12.75">
      <c r="A9" s="60" t="s">
        <v>44</v>
      </c>
      <c r="B9" s="60">
        <v>558</v>
      </c>
      <c r="C9" s="62" t="s">
        <v>313</v>
      </c>
      <c r="D9" s="62" t="s">
        <v>314</v>
      </c>
      <c r="E9" s="63">
        <v>4.5</v>
      </c>
      <c r="F9" s="63">
        <v>60</v>
      </c>
      <c r="G9" s="64">
        <v>350</v>
      </c>
      <c r="H9" s="65">
        <v>17</v>
      </c>
      <c r="I9" s="68">
        <v>1</v>
      </c>
      <c r="J9" s="69">
        <v>0.8</v>
      </c>
      <c r="K9" s="70">
        <v>1.2</v>
      </c>
      <c r="L9" s="63">
        <v>3.4</v>
      </c>
      <c r="M9" s="63">
        <v>1.2</v>
      </c>
      <c r="N9" s="71">
        <f t="shared" si="0"/>
        <v>20.631213753167923</v>
      </c>
      <c r="O9" s="72">
        <v>2500</v>
      </c>
      <c r="P9" s="72">
        <v>100</v>
      </c>
      <c r="Q9" s="70">
        <v>6</v>
      </c>
      <c r="R9" s="64">
        <v>146</v>
      </c>
      <c r="S9" s="74">
        <v>135</v>
      </c>
      <c r="T9" s="64">
        <v>92</v>
      </c>
      <c r="U9" s="75">
        <f t="shared" si="1"/>
        <v>163.1563486216187</v>
      </c>
      <c r="V9" s="76" t="s">
        <v>312</v>
      </c>
      <c r="W9" s="71">
        <v>8.4</v>
      </c>
    </row>
    <row r="10" spans="1:23" ht="12.75">
      <c r="A10" s="60" t="s">
        <v>47</v>
      </c>
      <c r="B10" s="60">
        <v>555</v>
      </c>
      <c r="C10" s="62" t="s">
        <v>313</v>
      </c>
      <c r="D10" s="62" t="s">
        <v>314</v>
      </c>
      <c r="E10" s="63">
        <v>4.5</v>
      </c>
      <c r="F10" s="63">
        <v>60</v>
      </c>
      <c r="G10" s="64">
        <v>350</v>
      </c>
      <c r="H10" s="65">
        <v>17</v>
      </c>
      <c r="I10" s="68">
        <v>1</v>
      </c>
      <c r="J10" s="69">
        <v>0.8</v>
      </c>
      <c r="K10" s="70">
        <v>1.2</v>
      </c>
      <c r="L10" s="63">
        <v>3.4</v>
      </c>
      <c r="M10" s="63">
        <v>1.2</v>
      </c>
      <c r="N10" s="71">
        <f t="shared" si="0"/>
        <v>20.631213753167923</v>
      </c>
      <c r="O10" s="72">
        <v>2500</v>
      </c>
      <c r="P10" s="72">
        <v>100</v>
      </c>
      <c r="Q10" s="70">
        <v>6</v>
      </c>
      <c r="R10" s="64">
        <v>152</v>
      </c>
      <c r="S10" s="74">
        <v>135</v>
      </c>
      <c r="T10" s="64">
        <v>87</v>
      </c>
      <c r="U10" s="75">
        <f t="shared" si="1"/>
        <v>163.1563486216187</v>
      </c>
      <c r="V10" s="76">
        <v>1.7</v>
      </c>
      <c r="W10" s="71">
        <v>8.4</v>
      </c>
    </row>
    <row r="11" ht="12.75">
      <c r="I11" s="73"/>
    </row>
    <row r="12" ht="12.75">
      <c r="I12" s="73"/>
    </row>
    <row r="13" ht="12.75">
      <c r="I13" s="73"/>
    </row>
    <row r="14" ht="12.75">
      <c r="I14" s="73"/>
    </row>
    <row r="15" ht="12.75">
      <c r="I15" s="73"/>
    </row>
    <row r="16" ht="12.75">
      <c r="I16" s="73"/>
    </row>
    <row r="17" ht="12.75">
      <c r="I17" s="73"/>
    </row>
    <row r="18" ht="12.75">
      <c r="I18" s="73"/>
    </row>
    <row r="19" ht="12.75">
      <c r="I19" s="73"/>
    </row>
    <row r="20" ht="12.75">
      <c r="I20" s="73"/>
    </row>
    <row r="21" ht="12.75">
      <c r="I21" s="73"/>
    </row>
    <row r="22" ht="12.75">
      <c r="I22" s="73"/>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46"/>
  <sheetViews>
    <sheetView workbookViewId="0" topLeftCell="A1">
      <selection activeCell="F35" sqref="F35"/>
    </sheetView>
  </sheetViews>
  <sheetFormatPr defaultColWidth="9.140625" defaultRowHeight="12.75"/>
  <cols>
    <col min="1" max="1" width="9.140625" style="2" customWidth="1"/>
    <col min="2" max="2" width="19.28125" style="2" bestFit="1" customWidth="1"/>
    <col min="3" max="3" width="12.421875" style="2" bestFit="1" customWidth="1"/>
    <col min="4" max="4" width="7.7109375" style="2" customWidth="1"/>
    <col min="5" max="5" width="8.7109375" style="3" customWidth="1"/>
    <col min="6" max="8" width="8.7109375" style="4" customWidth="1"/>
    <col min="9" max="9" width="8.7109375" style="5" customWidth="1"/>
    <col min="10" max="11" width="9.140625" style="6" customWidth="1"/>
    <col min="12" max="12" width="8.57421875" style="6" bestFit="1" customWidth="1"/>
    <col min="13" max="17" width="9.140625" style="3" customWidth="1"/>
    <col min="18" max="16384" width="9.140625" style="7" customWidth="1"/>
  </cols>
  <sheetData>
    <row r="1" spans="1:13" ht="18">
      <c r="A1" s="8" t="s">
        <v>315</v>
      </c>
      <c r="J1" s="43"/>
      <c r="K1" s="43"/>
      <c r="L1" s="43"/>
      <c r="M1" s="4"/>
    </row>
    <row r="2" spans="1:17" ht="18.75">
      <c r="A2" s="9"/>
      <c r="B2" s="3"/>
      <c r="C2" s="3"/>
      <c r="D2" s="3"/>
      <c r="E2" s="10" t="s">
        <v>316</v>
      </c>
      <c r="J2" s="10" t="s">
        <v>317</v>
      </c>
      <c r="K2" s="25"/>
      <c r="L2" s="25"/>
      <c r="N2" s="7"/>
      <c r="O2" s="7"/>
      <c r="P2" s="7"/>
      <c r="Q2" s="7"/>
    </row>
    <row r="3" spans="1:17" ht="13.5">
      <c r="A3" s="3"/>
      <c r="B3" s="11" t="s">
        <v>318</v>
      </c>
      <c r="C3" s="12">
        <v>100</v>
      </c>
      <c r="D3" s="3"/>
      <c r="E3" s="13" t="s">
        <v>319</v>
      </c>
      <c r="F3" s="14"/>
      <c r="G3" s="15" t="s">
        <v>320</v>
      </c>
      <c r="H3" s="16"/>
      <c r="J3" s="44" t="s">
        <v>321</v>
      </c>
      <c r="K3" s="45">
        <v>39</v>
      </c>
      <c r="L3" s="46" t="s">
        <v>145</v>
      </c>
      <c r="N3" s="7"/>
      <c r="O3" s="7"/>
      <c r="P3" s="7"/>
      <c r="Q3" s="7"/>
    </row>
    <row r="4" spans="2:17" ht="13.5">
      <c r="B4" s="3"/>
      <c r="E4" s="17">
        <v>100</v>
      </c>
      <c r="F4" s="18">
        <v>150</v>
      </c>
      <c r="G4" s="19">
        <v>100</v>
      </c>
      <c r="H4" s="20">
        <v>102</v>
      </c>
      <c r="K4" s="47">
        <f ca="1">IF(K3*10^12&lt;10000,IF((10^(LOG(K3*10^12)-INT(LOG(K3*10^12))))-VLOOKUP((10^(LOG(K3*10^12)-INT(LOG(K3*10^12)))),c_s1:C_f1,1)&lt;VLOOKUP((10^(LOG(K3*10^12)-INT(LOG(K3*10^12)))),c_s1:C_f1,2)-(10^(LOG(K3*10^12)-INT(LOG(K3*10^12)))),VLOOKUP((10^(LOG(K3*10^12)-INT(LOG(K3*10^12)))),c_s1:C_f1,1),VLOOKUP((10^(LOG(K3*10^12)-INT(LOG(K3*10^12)))),c_s1:C_f1,2))*10^INT(LOG(K3*10^12)),IF((10^(LOG(K3*10^12)-INT(LOG(K3*10^12))))-VLOOKUP((10^(LOG(K3*10^12)-INT(LOG(K3*10^12)))),C_s2:C_f2,1)&lt;VLOOKUP((10^(LOG(K3*10^12)-INT(LOG(K3*10^12)))),C_s2:C_f2,2)-(10^(LOG(K3*10^12)-INT(LOG(K3*10^12)))),VLOOKUP((10^(LOG(K3*10^12)-INT(LOG(K3*10^12)))),C_s2:C_f2,1),VLOOKUP((10^(LOG(K3*10^12)-INT(LOG(K3*10^12)))),C_s2:C_f2,2))*10^INT(LOG(K3*10^12)))*10^-12</f>
        <v>33</v>
      </c>
      <c r="L4" s="48" t="s">
        <v>145</v>
      </c>
      <c r="P4" s="7"/>
      <c r="Q4" s="7"/>
    </row>
    <row r="5" spans="2:17" ht="13.5">
      <c r="B5" s="21" t="s">
        <v>322</v>
      </c>
      <c r="C5" s="22">
        <f ca="1">(IF((10^(LOG(C3)-INT(LOG(C3)))*100)-VLOOKUP((10^(LOG(C3)-INT(LOG(C3)))*100),E6_s:E6_f,1)&lt;VLOOKUP((10^(LOG(C3)-INT(LOG(C3)))*100),E6_s:E6_f,2)-(10^(LOG(C3)-INT(LOG(C3)))*100),VLOOKUP((10^(LOG(C3)-INT(LOG(C3)))*100),E6_s:E6_f,1),VLOOKUP((10^(LOG(C3)-INT(LOG(C3)))*100),E6_s:E6_f,2)))*10^INT(LOG(C3))/100</f>
        <v>100</v>
      </c>
      <c r="E5" s="18">
        <v>150</v>
      </c>
      <c r="F5" s="17">
        <v>220</v>
      </c>
      <c r="G5" s="20">
        <v>102</v>
      </c>
      <c r="H5" s="19">
        <v>105</v>
      </c>
      <c r="J5" s="49"/>
      <c r="K5" s="50"/>
      <c r="L5" s="51"/>
      <c r="M5" s="4"/>
      <c r="N5" s="7"/>
      <c r="O5" s="7"/>
      <c r="P5" s="7"/>
      <c r="Q5" s="7"/>
    </row>
    <row r="6" spans="2:17" ht="13.5">
      <c r="B6" s="23" t="s">
        <v>323</v>
      </c>
      <c r="C6" s="24">
        <f ca="1">(IF((10^(LOG(C3)-INT(LOG(C3)))*100)-VLOOKUP((10^(LOG(C3)-INT(LOG(C3)))*100),E12_s:E12_f,1)&lt;VLOOKUP((10^(LOG(C3)-INT(LOG(C3)))*100),E12_s:E12_f,2)-(10^(LOG(C3)-INT(LOG(C3)))*100),VLOOKUP((10^(LOG(C3)-INT(LOG(C3)))*100),E12_s:E12_f,1),VLOOKUP((10^(LOG(C3)-INT(LOG(C3)))*100),E12_s:E12_f,2)))*10^INT(LOG(C3))/100</f>
        <v>100</v>
      </c>
      <c r="E6" s="17">
        <v>220</v>
      </c>
      <c r="F6" s="18">
        <v>330</v>
      </c>
      <c r="G6" s="19">
        <v>105</v>
      </c>
      <c r="H6" s="20">
        <v>107</v>
      </c>
      <c r="J6" s="52" t="s">
        <v>324</v>
      </c>
      <c r="K6" s="53"/>
      <c r="L6" s="4"/>
      <c r="N6" s="7"/>
      <c r="O6" s="7"/>
      <c r="P6" s="7"/>
      <c r="Q6" s="7"/>
    </row>
    <row r="7" spans="2:17" ht="13.5">
      <c r="B7" s="23" t="s">
        <v>325</v>
      </c>
      <c r="C7" s="24">
        <f ca="1">(IF((10^(LOG(C3)-INT(LOG(C3)))*100)-VLOOKUP((10^(LOG(C3)-INT(LOG(C3)))*100),E24_s:E24_f,1)&lt;VLOOKUP((10^(LOG(C3)-INT(LOG(C3)))*100),E24_s:E24_f,2)-(10^(LOG(C3)-INT(LOG(C3)))*100),VLOOKUP((10^(LOG(C3)-INT(LOG(C3)))*100),E24_s:E24_f,1),VLOOKUP((10^(LOG(C3)-INT(LOG(C3)))*100),E24_s:E24_f,2)))*10^INT(LOG(C3))/100</f>
        <v>100</v>
      </c>
      <c r="E7" s="18">
        <v>330</v>
      </c>
      <c r="F7" s="17">
        <v>470</v>
      </c>
      <c r="G7" s="20">
        <v>107</v>
      </c>
      <c r="H7" s="19">
        <v>110</v>
      </c>
      <c r="J7" s="53">
        <v>1</v>
      </c>
      <c r="K7" s="53">
        <v>1.2</v>
      </c>
      <c r="L7" s="54">
        <f ca="1">IF((10^(LOG(K3)-INT(LOG(K3))))-VLOOKUP((10^(LOG(K3)-INT(LOG(K3)))),c_s1:C_f1,1)&lt;VLOOKUP((10^(LOG(K3)-INT(LOG(K3)))),c_s1:C_f1,2)-(10^(LOG(K3)-INT(LOG(K3)))),VLOOKUP((10^(LOG(K3)-INT(LOG(K3)))),c_s1:C_f1,1),VLOOKUP((10^(LOG(K3)-INT(LOG(K3)))),c_s1:C_f1,2))</f>
        <v>3.9</v>
      </c>
      <c r="N7" s="7"/>
      <c r="O7" s="7"/>
      <c r="P7" s="7"/>
      <c r="Q7" s="7"/>
    </row>
    <row r="8" spans="2:17" ht="13.5">
      <c r="B8" s="23" t="s">
        <v>326</v>
      </c>
      <c r="C8" s="24">
        <f ca="1">(IF((10^(LOG(C3)-INT(LOG(C3)))*100)-VLOOKUP((10^(LOG(C3)-INT(LOG(C3)))*100),E48_s:E48_f,1)&lt;VLOOKUP((10^(LOG(C3)-INT(LOG(C3)))*100),E48_s:E48_f,2)-(10^(LOG(C3)-INT(LOG(C3)))*100),VLOOKUP((10^(LOG(C3)-INT(LOG(C3)))*100),E48_s:E48_f,1),VLOOKUP((10^(LOG(C3)-INT(LOG(C3)))*100),E48_s:E48_f,2)))*10^INT(LOG(C3))/100</f>
        <v>100</v>
      </c>
      <c r="D8" s="25"/>
      <c r="E8" s="17">
        <v>470</v>
      </c>
      <c r="F8" s="18">
        <v>680</v>
      </c>
      <c r="G8" s="19">
        <v>110</v>
      </c>
      <c r="H8" s="20">
        <v>113</v>
      </c>
      <c r="J8" s="53">
        <v>1.2</v>
      </c>
      <c r="K8" s="53">
        <v>1.5</v>
      </c>
      <c r="L8" s="55"/>
      <c r="M8" s="7"/>
      <c r="N8" s="7"/>
      <c r="O8" s="7"/>
      <c r="P8" s="7"/>
      <c r="Q8" s="7"/>
    </row>
    <row r="9" spans="2:17" ht="13.5">
      <c r="B9" s="26" t="s">
        <v>327</v>
      </c>
      <c r="C9" s="27">
        <f ca="1">(IF((10^(LOG(C3)-INT(LOG(C3)))*100)-VLOOKUP((10^(LOG(C3)-INT(LOG(C3)))*100),E96_s:E96_f,1)&lt;VLOOKUP((10^(LOG(C3)-INT(LOG(C3)))*100),E96_s:E96_f,2)-(10^(LOG(C3)-INT(LOG(C3)))*100),VLOOKUP((10^(LOG(C3)-INT(LOG(C3)))*100),E96_s:E96_f,1),VLOOKUP((10^(LOG(C3)-INT(LOG(C3)))*100),E96_s:E96_f,2)))*10^INT(LOG(C3))/100</f>
        <v>100</v>
      </c>
      <c r="D9" s="4"/>
      <c r="E9" s="18">
        <v>680</v>
      </c>
      <c r="F9" s="18">
        <v>1000</v>
      </c>
      <c r="G9" s="20">
        <v>113</v>
      </c>
      <c r="H9" s="19">
        <v>115</v>
      </c>
      <c r="J9" s="53">
        <v>1.5</v>
      </c>
      <c r="K9" s="53">
        <v>1.8</v>
      </c>
      <c r="L9" s="55"/>
      <c r="N9" s="7"/>
      <c r="O9" s="7"/>
      <c r="P9" s="7"/>
      <c r="Q9" s="7"/>
    </row>
    <row r="10" spans="2:17" ht="13.5">
      <c r="B10" s="25"/>
      <c r="C10" s="25"/>
      <c r="D10" s="25"/>
      <c r="E10" s="28" t="s">
        <v>328</v>
      </c>
      <c r="F10" s="29"/>
      <c r="G10" s="19">
        <v>115</v>
      </c>
      <c r="H10" s="20">
        <v>118</v>
      </c>
      <c r="J10" s="53">
        <v>1.8</v>
      </c>
      <c r="K10" s="53">
        <v>2.2</v>
      </c>
      <c r="L10" s="4"/>
      <c r="N10" s="7"/>
      <c r="O10" s="7"/>
      <c r="P10" s="7"/>
      <c r="Q10" s="7"/>
    </row>
    <row r="11" spans="5:17" ht="13.5">
      <c r="E11" s="30">
        <v>100</v>
      </c>
      <c r="F11" s="31">
        <v>120</v>
      </c>
      <c r="G11" s="20">
        <v>118</v>
      </c>
      <c r="H11" s="19">
        <v>121</v>
      </c>
      <c r="J11" s="53">
        <v>2.2</v>
      </c>
      <c r="K11" s="53">
        <v>2.7</v>
      </c>
      <c r="L11" s="4"/>
      <c r="N11" s="7"/>
      <c r="O11" s="7"/>
      <c r="P11" s="7"/>
      <c r="Q11" s="7"/>
    </row>
    <row r="12" spans="5:17" ht="13.5">
      <c r="E12" s="31">
        <v>120</v>
      </c>
      <c r="F12" s="31">
        <v>150</v>
      </c>
      <c r="G12" s="19">
        <v>121</v>
      </c>
      <c r="H12" s="20">
        <v>124</v>
      </c>
      <c r="J12" s="53">
        <v>2.7</v>
      </c>
      <c r="K12" s="53">
        <v>3.3</v>
      </c>
      <c r="L12" s="4"/>
      <c r="N12" s="7"/>
      <c r="O12" s="7"/>
      <c r="P12" s="7"/>
      <c r="Q12" s="7"/>
    </row>
    <row r="13" spans="5:17" ht="13.5">
      <c r="E13" s="31">
        <v>150</v>
      </c>
      <c r="F13" s="31">
        <v>180</v>
      </c>
      <c r="G13" s="20">
        <v>124</v>
      </c>
      <c r="H13" s="19">
        <v>127</v>
      </c>
      <c r="J13" s="53">
        <v>3.3</v>
      </c>
      <c r="K13" s="53">
        <v>3.9</v>
      </c>
      <c r="L13" s="4"/>
      <c r="N13" s="7"/>
      <c r="O13" s="7"/>
      <c r="P13" s="7"/>
      <c r="Q13" s="7"/>
    </row>
    <row r="14" spans="1:17" ht="13.5">
      <c r="A14" s="25"/>
      <c r="B14" s="25"/>
      <c r="C14" s="25"/>
      <c r="D14" s="25"/>
      <c r="E14" s="31">
        <v>180</v>
      </c>
      <c r="F14" s="30">
        <v>220</v>
      </c>
      <c r="G14" s="19">
        <v>127</v>
      </c>
      <c r="H14" s="20">
        <v>130</v>
      </c>
      <c r="J14" s="53">
        <v>3.9</v>
      </c>
      <c r="K14" s="53">
        <v>4.7</v>
      </c>
      <c r="L14" s="4"/>
      <c r="N14" s="7"/>
      <c r="O14" s="7"/>
      <c r="P14" s="7"/>
      <c r="Q14" s="7"/>
    </row>
    <row r="15" spans="1:17" ht="13.5">
      <c r="A15" s="25"/>
      <c r="B15" s="25"/>
      <c r="C15" s="25"/>
      <c r="D15" s="32"/>
      <c r="E15" s="30">
        <v>220</v>
      </c>
      <c r="F15" s="31">
        <v>270</v>
      </c>
      <c r="G15" s="20">
        <v>130</v>
      </c>
      <c r="H15" s="19">
        <v>133</v>
      </c>
      <c r="J15" s="53">
        <v>4.7</v>
      </c>
      <c r="K15" s="53">
        <v>5.6</v>
      </c>
      <c r="L15" s="4"/>
      <c r="N15" s="7"/>
      <c r="O15" s="7"/>
      <c r="P15" s="7"/>
      <c r="Q15" s="7"/>
    </row>
    <row r="16" spans="1:17" ht="13.5">
      <c r="A16" s="33"/>
      <c r="B16" s="34"/>
      <c r="C16" s="25"/>
      <c r="D16" s="35"/>
      <c r="E16" s="31">
        <v>270</v>
      </c>
      <c r="F16" s="31">
        <v>330</v>
      </c>
      <c r="G16" s="19">
        <v>133</v>
      </c>
      <c r="H16" s="20">
        <v>137</v>
      </c>
      <c r="J16" s="53">
        <v>5.6</v>
      </c>
      <c r="K16" s="53">
        <v>6.8</v>
      </c>
      <c r="L16" s="4"/>
      <c r="N16" s="7"/>
      <c r="O16" s="7"/>
      <c r="P16" s="7"/>
      <c r="Q16" s="7"/>
    </row>
    <row r="17" spans="1:17" ht="13.5">
      <c r="A17" s="33"/>
      <c r="B17" s="34"/>
      <c r="C17" s="25"/>
      <c r="D17" s="35"/>
      <c r="E17" s="31">
        <v>330</v>
      </c>
      <c r="F17" s="31">
        <v>390</v>
      </c>
      <c r="G17" s="20">
        <v>137</v>
      </c>
      <c r="H17" s="19">
        <v>140</v>
      </c>
      <c r="J17" s="53">
        <v>6.8</v>
      </c>
      <c r="K17" s="53">
        <v>8.2</v>
      </c>
      <c r="L17" s="4"/>
      <c r="N17" s="7"/>
      <c r="O17" s="7"/>
      <c r="P17" s="7"/>
      <c r="Q17" s="7"/>
    </row>
    <row r="18" spans="1:17" ht="13.5">
      <c r="A18" s="33"/>
      <c r="B18" s="34"/>
      <c r="C18" s="25"/>
      <c r="D18" s="35"/>
      <c r="E18" s="31">
        <v>390</v>
      </c>
      <c r="F18" s="30">
        <v>470</v>
      </c>
      <c r="G18" s="19">
        <v>140</v>
      </c>
      <c r="H18" s="20">
        <v>143</v>
      </c>
      <c r="J18" s="53">
        <v>8.2</v>
      </c>
      <c r="K18" s="53">
        <v>10</v>
      </c>
      <c r="L18" s="4"/>
      <c r="M18" s="7"/>
      <c r="N18" s="7"/>
      <c r="O18" s="7"/>
      <c r="P18" s="7"/>
      <c r="Q18" s="7"/>
    </row>
    <row r="19" spans="1:17" ht="13.5">
      <c r="A19" s="33"/>
      <c r="B19" s="34"/>
      <c r="C19" s="25"/>
      <c r="D19" s="35"/>
      <c r="E19" s="30">
        <v>470</v>
      </c>
      <c r="F19" s="31">
        <v>560</v>
      </c>
      <c r="G19" s="20">
        <v>143</v>
      </c>
      <c r="H19" s="19">
        <v>147</v>
      </c>
      <c r="J19" s="52" t="s">
        <v>329</v>
      </c>
      <c r="K19" s="53"/>
      <c r="L19" s="53"/>
      <c r="M19" s="7"/>
      <c r="N19" s="7"/>
      <c r="O19" s="7"/>
      <c r="P19" s="7"/>
      <c r="Q19" s="7"/>
    </row>
    <row r="20" spans="1:17" ht="13.5">
      <c r="A20" s="33"/>
      <c r="B20" s="34"/>
      <c r="C20" s="25"/>
      <c r="D20" s="35"/>
      <c r="E20" s="31">
        <v>560</v>
      </c>
      <c r="F20" s="31">
        <v>680</v>
      </c>
      <c r="G20" s="19">
        <v>147</v>
      </c>
      <c r="H20" s="20">
        <v>150</v>
      </c>
      <c r="J20" s="53">
        <v>1</v>
      </c>
      <c r="K20" s="53">
        <v>1.5</v>
      </c>
      <c r="L20" s="54">
        <f ca="1">IF((10^(LOG(K3)-INT(LOG(K3))))-VLOOKUP((10^(LOG(K3)-INT(LOG(K3)))),C_s2:C_f2,1)&lt;VLOOKUP((10^(LOG(K3)-INT(LOG(K3)))),C_s2:C_f2,2)-(10^(LOG(K3)-INT(LOG(K3)))),VLOOKUP((10^(LOG(K3)-INT(LOG(K3)))),C_s2:C_f2,1),VLOOKUP((10^(LOG(K3)-INT(LOG(K3)))),C_s2:C_f2,2))</f>
        <v>3.3</v>
      </c>
      <c r="M20" s="7"/>
      <c r="N20" s="7"/>
      <c r="O20" s="7"/>
      <c r="P20" s="7"/>
      <c r="Q20" s="7"/>
    </row>
    <row r="21" spans="1:17" ht="13.5">
      <c r="A21" s="33"/>
      <c r="B21" s="34"/>
      <c r="C21" s="25"/>
      <c r="D21" s="35"/>
      <c r="E21" s="29">
        <v>680</v>
      </c>
      <c r="F21" s="31">
        <v>820</v>
      </c>
      <c r="G21" s="20">
        <v>150</v>
      </c>
      <c r="H21" s="19">
        <v>154</v>
      </c>
      <c r="J21" s="53">
        <v>1.5</v>
      </c>
      <c r="K21" s="53">
        <v>2.2</v>
      </c>
      <c r="M21" s="7"/>
      <c r="N21" s="7"/>
      <c r="O21" s="7"/>
      <c r="P21" s="7"/>
      <c r="Q21" s="7"/>
    </row>
    <row r="22" spans="1:17" ht="13.5">
      <c r="A22" s="33"/>
      <c r="B22" s="34"/>
      <c r="C22" s="25"/>
      <c r="D22" s="35"/>
      <c r="E22" s="29">
        <v>820</v>
      </c>
      <c r="F22" s="31">
        <v>1000</v>
      </c>
      <c r="G22" s="19">
        <v>154</v>
      </c>
      <c r="H22" s="20">
        <v>158</v>
      </c>
      <c r="J22" s="53">
        <v>2.2</v>
      </c>
      <c r="K22" s="53">
        <v>3.3</v>
      </c>
      <c r="L22" s="54"/>
      <c r="M22" s="7"/>
      <c r="N22" s="7"/>
      <c r="O22" s="7"/>
      <c r="P22" s="7"/>
      <c r="Q22" s="7"/>
    </row>
    <row r="23" spans="1:17" ht="13.5">
      <c r="A23" s="33"/>
      <c r="B23" s="34"/>
      <c r="C23" s="25"/>
      <c r="D23" s="35"/>
      <c r="E23" s="36" t="s">
        <v>330</v>
      </c>
      <c r="F23" s="37"/>
      <c r="G23" s="20">
        <v>158</v>
      </c>
      <c r="H23" s="19">
        <v>162</v>
      </c>
      <c r="J23" s="53">
        <v>3.3</v>
      </c>
      <c r="K23" s="53">
        <v>4.7</v>
      </c>
      <c r="L23" s="54"/>
      <c r="M23" s="7"/>
      <c r="N23" s="7"/>
      <c r="O23" s="7"/>
      <c r="P23" s="7"/>
      <c r="Q23" s="7"/>
    </row>
    <row r="24" spans="1:17" ht="13.5">
      <c r="A24" s="33"/>
      <c r="B24" s="34"/>
      <c r="C24" s="25"/>
      <c r="D24" s="35"/>
      <c r="E24" s="38">
        <v>100</v>
      </c>
      <c r="F24" s="39">
        <v>110</v>
      </c>
      <c r="G24" s="19">
        <v>162</v>
      </c>
      <c r="H24" s="20">
        <v>165</v>
      </c>
      <c r="J24" s="53">
        <v>4.7</v>
      </c>
      <c r="K24" s="53">
        <v>6.8</v>
      </c>
      <c r="L24" s="4"/>
      <c r="M24" s="7"/>
      <c r="N24" s="7"/>
      <c r="O24" s="7"/>
      <c r="P24" s="7"/>
      <c r="Q24" s="7"/>
    </row>
    <row r="25" spans="1:17" ht="13.5">
      <c r="A25" s="33"/>
      <c r="B25" s="34"/>
      <c r="C25" s="25"/>
      <c r="D25" s="35"/>
      <c r="E25" s="39">
        <v>110</v>
      </c>
      <c r="F25" s="39">
        <v>120</v>
      </c>
      <c r="G25" s="20">
        <v>165</v>
      </c>
      <c r="H25" s="19">
        <v>169</v>
      </c>
      <c r="J25" s="53">
        <v>6.8</v>
      </c>
      <c r="K25" s="53">
        <v>10</v>
      </c>
      <c r="L25" s="4"/>
      <c r="M25" s="7"/>
      <c r="N25" s="7"/>
      <c r="O25" s="7"/>
      <c r="P25" s="7"/>
      <c r="Q25" s="7"/>
    </row>
    <row r="26" spans="1:17" ht="13.5">
      <c r="A26" s="33"/>
      <c r="B26" s="34"/>
      <c r="C26" s="25"/>
      <c r="D26" s="35"/>
      <c r="E26" s="39">
        <v>120</v>
      </c>
      <c r="F26" s="39">
        <v>130</v>
      </c>
      <c r="G26" s="19">
        <v>169</v>
      </c>
      <c r="H26" s="20">
        <v>174</v>
      </c>
      <c r="J26" s="56"/>
      <c r="K26" s="56"/>
      <c r="L26" s="56"/>
      <c r="M26" s="7"/>
      <c r="N26" s="7"/>
      <c r="O26" s="7"/>
      <c r="P26" s="7"/>
      <c r="Q26" s="7"/>
    </row>
    <row r="27" spans="1:17" ht="13.5">
      <c r="A27" s="33"/>
      <c r="B27" s="34"/>
      <c r="C27" s="25"/>
      <c r="D27" s="35"/>
      <c r="E27" s="39">
        <v>130</v>
      </c>
      <c r="F27" s="39">
        <v>150</v>
      </c>
      <c r="G27" s="20">
        <v>174</v>
      </c>
      <c r="H27" s="19">
        <v>178</v>
      </c>
      <c r="J27" s="56"/>
      <c r="K27" s="56"/>
      <c r="L27" s="56"/>
      <c r="M27" s="7"/>
      <c r="N27" s="7"/>
      <c r="O27" s="7"/>
      <c r="P27" s="7"/>
      <c r="Q27" s="7"/>
    </row>
    <row r="28" spans="1:17" ht="13.5">
      <c r="A28" s="33"/>
      <c r="B28" s="34"/>
      <c r="C28" s="25"/>
      <c r="D28" s="35"/>
      <c r="E28" s="39">
        <v>150</v>
      </c>
      <c r="F28" s="39">
        <v>160</v>
      </c>
      <c r="G28" s="19">
        <v>178</v>
      </c>
      <c r="H28" s="20">
        <v>182</v>
      </c>
      <c r="I28" s="57"/>
      <c r="J28" s="56"/>
      <c r="K28" s="56"/>
      <c r="L28" s="56"/>
      <c r="M28" s="7"/>
      <c r="N28" s="7"/>
      <c r="O28" s="7"/>
      <c r="P28" s="7"/>
      <c r="Q28" s="7"/>
    </row>
    <row r="29" spans="1:17" ht="13.5">
      <c r="A29" s="33"/>
      <c r="B29" s="34"/>
      <c r="C29" s="25"/>
      <c r="D29" s="35"/>
      <c r="E29" s="39">
        <v>160</v>
      </c>
      <c r="F29" s="39">
        <v>180</v>
      </c>
      <c r="G29" s="20">
        <v>182</v>
      </c>
      <c r="H29" s="19">
        <v>187</v>
      </c>
      <c r="I29" s="57"/>
      <c r="J29" s="56"/>
      <c r="K29" s="56"/>
      <c r="L29" s="56"/>
      <c r="M29" s="7"/>
      <c r="N29" s="7"/>
      <c r="O29" s="7"/>
      <c r="P29" s="7"/>
      <c r="Q29" s="7"/>
    </row>
    <row r="30" spans="1:17" ht="13.5">
      <c r="A30" s="33"/>
      <c r="B30" s="34"/>
      <c r="C30" s="25"/>
      <c r="D30" s="35"/>
      <c r="E30" s="39">
        <v>180</v>
      </c>
      <c r="F30" s="40">
        <v>200</v>
      </c>
      <c r="G30" s="19">
        <v>187</v>
      </c>
      <c r="H30" s="20">
        <v>191</v>
      </c>
      <c r="I30" s="57"/>
      <c r="J30" s="56"/>
      <c r="K30" s="56"/>
      <c r="L30" s="56"/>
      <c r="M30" s="7"/>
      <c r="N30" s="7"/>
      <c r="O30" s="7"/>
      <c r="P30" s="7"/>
      <c r="Q30" s="7"/>
    </row>
    <row r="31" spans="1:17" ht="13.5">
      <c r="A31" s="33"/>
      <c r="B31" s="34"/>
      <c r="C31" s="25"/>
      <c r="D31" s="35"/>
      <c r="E31" s="40">
        <v>200</v>
      </c>
      <c r="F31" s="38">
        <v>220</v>
      </c>
      <c r="G31" s="20">
        <v>191</v>
      </c>
      <c r="H31" s="19">
        <v>196</v>
      </c>
      <c r="I31" s="57"/>
      <c r="J31" s="56"/>
      <c r="K31" s="56"/>
      <c r="L31" s="56"/>
      <c r="M31" s="7"/>
      <c r="N31" s="7"/>
      <c r="O31" s="7"/>
      <c r="P31" s="7"/>
      <c r="Q31" s="7"/>
    </row>
    <row r="32" spans="1:17" ht="13.5">
      <c r="A32" s="33"/>
      <c r="B32" s="34"/>
      <c r="C32" s="25"/>
      <c r="D32" s="35"/>
      <c r="E32" s="38">
        <v>220</v>
      </c>
      <c r="F32" s="39">
        <v>240</v>
      </c>
      <c r="G32" s="19">
        <v>196</v>
      </c>
      <c r="H32" s="20">
        <v>200</v>
      </c>
      <c r="I32" s="57"/>
      <c r="J32" s="56"/>
      <c r="K32" s="56"/>
      <c r="L32" s="56"/>
      <c r="M32" s="7"/>
      <c r="N32" s="7"/>
      <c r="O32" s="7"/>
      <c r="P32" s="7"/>
      <c r="Q32" s="7"/>
    </row>
    <row r="33" spans="1:17" ht="13.5">
      <c r="A33" s="33"/>
      <c r="B33" s="34"/>
      <c r="C33" s="25"/>
      <c r="D33" s="35"/>
      <c r="E33" s="39">
        <v>240</v>
      </c>
      <c r="F33" s="39">
        <v>270</v>
      </c>
      <c r="G33" s="20">
        <v>200</v>
      </c>
      <c r="H33" s="19">
        <v>205</v>
      </c>
      <c r="I33" s="57"/>
      <c r="J33" s="56"/>
      <c r="K33" s="56"/>
      <c r="L33" s="56"/>
      <c r="M33" s="7"/>
      <c r="N33" s="7"/>
      <c r="O33" s="7"/>
      <c r="P33" s="7"/>
      <c r="Q33" s="7"/>
    </row>
    <row r="34" spans="1:12" s="1" customFormat="1" ht="13.5">
      <c r="A34" s="33"/>
      <c r="B34" s="34"/>
      <c r="C34" s="25"/>
      <c r="D34" s="35"/>
      <c r="E34" s="39">
        <v>270</v>
      </c>
      <c r="F34" s="39">
        <v>300</v>
      </c>
      <c r="G34" s="19">
        <v>205</v>
      </c>
      <c r="H34" s="20">
        <v>210</v>
      </c>
      <c r="I34" s="58"/>
      <c r="J34" s="56"/>
      <c r="K34" s="56"/>
      <c r="L34" s="56"/>
    </row>
    <row r="35" spans="1:12" s="1" customFormat="1" ht="13.5">
      <c r="A35" s="41"/>
      <c r="B35" s="41"/>
      <c r="C35" s="41"/>
      <c r="D35" s="41"/>
      <c r="E35" s="39">
        <v>300</v>
      </c>
      <c r="F35" s="39">
        <v>330</v>
      </c>
      <c r="G35" s="20">
        <v>210</v>
      </c>
      <c r="H35" s="19">
        <v>215</v>
      </c>
      <c r="I35" s="5"/>
      <c r="J35" s="56"/>
      <c r="K35" s="56"/>
      <c r="L35" s="56"/>
    </row>
    <row r="36" spans="5:12" s="1" customFormat="1" ht="13.5">
      <c r="E36" s="39">
        <v>330</v>
      </c>
      <c r="F36" s="39">
        <v>360</v>
      </c>
      <c r="G36" s="19">
        <v>215</v>
      </c>
      <c r="H36" s="20">
        <v>221</v>
      </c>
      <c r="I36" s="5"/>
      <c r="J36" s="56"/>
      <c r="K36" s="56"/>
      <c r="L36" s="56"/>
    </row>
    <row r="37" spans="5:12" s="1" customFormat="1" ht="13.5">
      <c r="E37" s="39">
        <v>360</v>
      </c>
      <c r="F37" s="39">
        <v>390</v>
      </c>
      <c r="G37" s="20">
        <v>221</v>
      </c>
      <c r="H37" s="19">
        <v>226</v>
      </c>
      <c r="I37" s="5"/>
      <c r="J37" s="56"/>
      <c r="K37" s="56"/>
      <c r="L37" s="56"/>
    </row>
    <row r="38" spans="5:12" s="1" customFormat="1" ht="13.5">
      <c r="E38" s="39">
        <v>390</v>
      </c>
      <c r="F38" s="40">
        <v>430</v>
      </c>
      <c r="G38" s="19">
        <v>226</v>
      </c>
      <c r="H38" s="20">
        <v>232</v>
      </c>
      <c r="I38" s="57"/>
      <c r="J38" s="56"/>
      <c r="K38" s="56"/>
      <c r="L38" s="56"/>
    </row>
    <row r="39" spans="5:17" ht="13.5">
      <c r="E39" s="40">
        <v>430</v>
      </c>
      <c r="F39" s="38">
        <v>470</v>
      </c>
      <c r="G39" s="20">
        <v>232</v>
      </c>
      <c r="H39" s="19">
        <v>237</v>
      </c>
      <c r="I39" s="57"/>
      <c r="J39" s="56"/>
      <c r="K39" s="56"/>
      <c r="L39" s="56"/>
      <c r="M39" s="7"/>
      <c r="N39" s="7"/>
      <c r="O39" s="7"/>
      <c r="P39" s="7"/>
      <c r="Q39" s="7"/>
    </row>
    <row r="40" spans="5:17" ht="13.5">
      <c r="E40" s="38">
        <v>470</v>
      </c>
      <c r="F40" s="39">
        <v>510</v>
      </c>
      <c r="G40" s="19">
        <v>237</v>
      </c>
      <c r="H40" s="20">
        <v>243</v>
      </c>
      <c r="I40" s="57"/>
      <c r="J40" s="56"/>
      <c r="K40" s="56"/>
      <c r="L40" s="56"/>
      <c r="M40" s="7"/>
      <c r="N40" s="7"/>
      <c r="O40" s="7"/>
      <c r="P40" s="7"/>
      <c r="Q40" s="7"/>
    </row>
    <row r="41" spans="5:17" ht="13.5">
      <c r="E41" s="39">
        <v>510</v>
      </c>
      <c r="F41" s="39">
        <v>560</v>
      </c>
      <c r="G41" s="20">
        <v>243</v>
      </c>
      <c r="H41" s="19">
        <v>249</v>
      </c>
      <c r="I41" s="57"/>
      <c r="J41" s="56"/>
      <c r="K41" s="56"/>
      <c r="L41" s="56"/>
      <c r="M41" s="7"/>
      <c r="N41" s="7"/>
      <c r="O41" s="7"/>
      <c r="P41" s="7"/>
      <c r="Q41" s="7"/>
    </row>
    <row r="42" spans="5:17" ht="13.5">
      <c r="E42" s="39">
        <v>560</v>
      </c>
      <c r="F42" s="39">
        <v>620</v>
      </c>
      <c r="G42" s="19">
        <v>249</v>
      </c>
      <c r="H42" s="20">
        <v>255</v>
      </c>
      <c r="I42" s="57"/>
      <c r="J42" s="56"/>
      <c r="K42" s="56"/>
      <c r="L42" s="56"/>
      <c r="M42" s="7"/>
      <c r="N42" s="7"/>
      <c r="O42" s="7"/>
      <c r="P42" s="7"/>
      <c r="Q42" s="7"/>
    </row>
    <row r="43" spans="5:17" ht="13.5">
      <c r="E43" s="39">
        <v>620</v>
      </c>
      <c r="F43" s="39">
        <v>680</v>
      </c>
      <c r="G43" s="20">
        <v>255</v>
      </c>
      <c r="H43" s="19">
        <v>261</v>
      </c>
      <c r="I43" s="57"/>
      <c r="J43" s="56"/>
      <c r="K43" s="56"/>
      <c r="L43" s="56"/>
      <c r="M43" s="7"/>
      <c r="N43" s="7"/>
      <c r="O43" s="7"/>
      <c r="P43" s="7"/>
      <c r="Q43" s="7"/>
    </row>
    <row r="44" spans="5:17" ht="13.5">
      <c r="E44" s="39">
        <v>680</v>
      </c>
      <c r="F44" s="39">
        <v>750</v>
      </c>
      <c r="G44" s="19">
        <v>261</v>
      </c>
      <c r="H44" s="20">
        <v>267</v>
      </c>
      <c r="I44" s="57"/>
      <c r="J44" s="56"/>
      <c r="K44" s="56"/>
      <c r="L44" s="56"/>
      <c r="M44" s="7"/>
      <c r="N44" s="7"/>
      <c r="O44" s="7"/>
      <c r="P44" s="7"/>
      <c r="Q44" s="7"/>
    </row>
    <row r="45" spans="5:17" ht="13.5">
      <c r="E45" s="39">
        <v>750</v>
      </c>
      <c r="F45" s="39">
        <v>820</v>
      </c>
      <c r="G45" s="20">
        <v>267</v>
      </c>
      <c r="H45" s="19">
        <v>274</v>
      </c>
      <c r="J45" s="56"/>
      <c r="K45" s="56"/>
      <c r="L45" s="56"/>
      <c r="M45" s="7"/>
      <c r="N45" s="7"/>
      <c r="O45" s="7"/>
      <c r="P45" s="7"/>
      <c r="Q45" s="7"/>
    </row>
    <row r="46" spans="5:17" ht="13.5">
      <c r="E46" s="39">
        <v>820</v>
      </c>
      <c r="F46" s="40">
        <v>910</v>
      </c>
      <c r="G46" s="19">
        <v>274</v>
      </c>
      <c r="H46" s="20">
        <v>280</v>
      </c>
      <c r="J46" s="56"/>
      <c r="K46" s="56"/>
      <c r="L46" s="56"/>
      <c r="M46" s="7"/>
      <c r="N46" s="7"/>
      <c r="O46" s="7"/>
      <c r="P46" s="7"/>
      <c r="Q46" s="7"/>
    </row>
    <row r="47" spans="5:17" ht="13.5">
      <c r="E47" s="40">
        <v>910</v>
      </c>
      <c r="F47" s="40">
        <v>1000</v>
      </c>
      <c r="G47" s="20">
        <v>280</v>
      </c>
      <c r="H47" s="19">
        <v>287</v>
      </c>
      <c r="J47" s="56"/>
      <c r="K47" s="56"/>
      <c r="L47" s="56"/>
      <c r="M47" s="7"/>
      <c r="N47" s="7"/>
      <c r="O47" s="7"/>
      <c r="P47" s="7"/>
      <c r="Q47" s="7"/>
    </row>
    <row r="48" spans="5:17" ht="13.5">
      <c r="E48" s="42" t="s">
        <v>331</v>
      </c>
      <c r="F48" s="42"/>
      <c r="G48" s="19">
        <v>287</v>
      </c>
      <c r="H48" s="20">
        <v>294</v>
      </c>
      <c r="J48" s="56"/>
      <c r="K48" s="56"/>
      <c r="L48" s="56"/>
      <c r="M48" s="7"/>
      <c r="N48" s="7"/>
      <c r="O48" s="7"/>
      <c r="P48" s="7"/>
      <c r="Q48" s="7"/>
    </row>
    <row r="49" spans="5:17" ht="13.5">
      <c r="E49" s="42">
        <v>100</v>
      </c>
      <c r="F49" s="42">
        <v>105</v>
      </c>
      <c r="G49" s="20">
        <v>294</v>
      </c>
      <c r="H49" s="19">
        <v>301</v>
      </c>
      <c r="J49" s="56"/>
      <c r="K49" s="56"/>
      <c r="L49" s="56"/>
      <c r="M49" s="7"/>
      <c r="N49" s="7"/>
      <c r="O49" s="7"/>
      <c r="P49" s="7"/>
      <c r="Q49" s="7"/>
    </row>
    <row r="50" spans="1:17" ht="13.5">
      <c r="A50" s="7"/>
      <c r="B50" s="7"/>
      <c r="C50" s="7"/>
      <c r="D50" s="7"/>
      <c r="E50" s="42">
        <v>105</v>
      </c>
      <c r="F50" s="42">
        <v>110</v>
      </c>
      <c r="G50" s="19">
        <v>301</v>
      </c>
      <c r="H50" s="20">
        <v>309</v>
      </c>
      <c r="J50" s="56"/>
      <c r="K50" s="56"/>
      <c r="L50" s="56"/>
      <c r="M50" s="7"/>
      <c r="N50" s="7"/>
      <c r="O50" s="7"/>
      <c r="P50" s="7"/>
      <c r="Q50" s="7"/>
    </row>
    <row r="51" spans="1:17" ht="13.5">
      <c r="A51" s="7"/>
      <c r="B51" s="7"/>
      <c r="C51" s="7"/>
      <c r="D51" s="7"/>
      <c r="E51" s="42">
        <v>110</v>
      </c>
      <c r="F51" s="42">
        <v>115</v>
      </c>
      <c r="G51" s="20">
        <v>309</v>
      </c>
      <c r="H51" s="19">
        <v>316</v>
      </c>
      <c r="J51" s="56"/>
      <c r="K51" s="56"/>
      <c r="L51" s="56"/>
      <c r="M51" s="7"/>
      <c r="N51" s="7"/>
      <c r="O51" s="7"/>
      <c r="P51" s="7"/>
      <c r="Q51" s="7"/>
    </row>
    <row r="52" spans="1:17" ht="13.5">
      <c r="A52" s="7"/>
      <c r="B52" s="7"/>
      <c r="C52" s="7"/>
      <c r="D52" s="7"/>
      <c r="E52" s="42">
        <v>115</v>
      </c>
      <c r="F52" s="42">
        <v>121</v>
      </c>
      <c r="G52" s="19">
        <v>316</v>
      </c>
      <c r="H52" s="20">
        <v>324</v>
      </c>
      <c r="J52" s="56"/>
      <c r="K52" s="56"/>
      <c r="L52" s="56"/>
      <c r="M52" s="7"/>
      <c r="N52" s="7"/>
      <c r="O52" s="7"/>
      <c r="P52" s="7"/>
      <c r="Q52" s="7"/>
    </row>
    <row r="53" spans="1:17" ht="13.5">
      <c r="A53" s="7"/>
      <c r="B53" s="7"/>
      <c r="C53" s="7"/>
      <c r="D53" s="7"/>
      <c r="E53" s="42">
        <v>121</v>
      </c>
      <c r="F53" s="42">
        <v>127</v>
      </c>
      <c r="G53" s="20">
        <v>324</v>
      </c>
      <c r="H53" s="19">
        <v>332</v>
      </c>
      <c r="J53" s="56"/>
      <c r="K53" s="56"/>
      <c r="L53" s="56"/>
      <c r="M53" s="7"/>
      <c r="N53" s="7"/>
      <c r="O53" s="7"/>
      <c r="P53" s="7"/>
      <c r="Q53" s="7"/>
    </row>
    <row r="54" spans="1:17" ht="13.5">
      <c r="A54" s="7"/>
      <c r="B54" s="7"/>
      <c r="C54" s="7"/>
      <c r="D54" s="7"/>
      <c r="E54" s="42">
        <v>127</v>
      </c>
      <c r="F54" s="42">
        <v>133</v>
      </c>
      <c r="G54" s="19">
        <v>332</v>
      </c>
      <c r="H54" s="20">
        <v>340</v>
      </c>
      <c r="J54" s="56"/>
      <c r="K54" s="56"/>
      <c r="L54" s="56"/>
      <c r="M54" s="7"/>
      <c r="N54" s="7"/>
      <c r="O54" s="7"/>
      <c r="P54" s="7"/>
      <c r="Q54" s="7"/>
    </row>
    <row r="55" spans="1:17" ht="13.5">
      <c r="A55" s="7"/>
      <c r="B55" s="7"/>
      <c r="C55" s="7"/>
      <c r="D55" s="7"/>
      <c r="E55" s="42">
        <v>133</v>
      </c>
      <c r="F55" s="42">
        <v>140</v>
      </c>
      <c r="G55" s="20">
        <v>340</v>
      </c>
      <c r="H55" s="19">
        <v>348</v>
      </c>
      <c r="J55" s="56"/>
      <c r="K55" s="56"/>
      <c r="L55" s="56"/>
      <c r="M55" s="7"/>
      <c r="N55" s="7"/>
      <c r="O55" s="7"/>
      <c r="P55" s="7"/>
      <c r="Q55" s="7"/>
    </row>
    <row r="56" spans="1:17" ht="13.5">
      <c r="A56" s="7"/>
      <c r="B56" s="7"/>
      <c r="C56" s="7"/>
      <c r="D56" s="7"/>
      <c r="E56" s="42">
        <v>140</v>
      </c>
      <c r="F56" s="42">
        <v>147</v>
      </c>
      <c r="G56" s="19">
        <v>348</v>
      </c>
      <c r="H56" s="20">
        <v>357</v>
      </c>
      <c r="J56" s="56"/>
      <c r="K56" s="56"/>
      <c r="L56" s="56"/>
      <c r="M56" s="7"/>
      <c r="N56" s="7"/>
      <c r="O56" s="7"/>
      <c r="P56" s="7"/>
      <c r="Q56" s="7"/>
    </row>
    <row r="57" spans="1:17" ht="13.5">
      <c r="A57" s="7"/>
      <c r="B57" s="7"/>
      <c r="C57" s="7"/>
      <c r="D57" s="7"/>
      <c r="E57" s="42">
        <v>147</v>
      </c>
      <c r="F57" s="42">
        <v>154</v>
      </c>
      <c r="G57" s="20">
        <v>357</v>
      </c>
      <c r="H57" s="19">
        <v>365</v>
      </c>
      <c r="J57" s="56"/>
      <c r="K57" s="56"/>
      <c r="L57" s="56"/>
      <c r="M57" s="7"/>
      <c r="N57" s="7"/>
      <c r="O57" s="7"/>
      <c r="P57" s="7"/>
      <c r="Q57" s="7"/>
    </row>
    <row r="58" spans="1:17" ht="13.5">
      <c r="A58" s="7"/>
      <c r="B58" s="7"/>
      <c r="C58" s="7"/>
      <c r="D58" s="7"/>
      <c r="E58" s="42">
        <v>154</v>
      </c>
      <c r="F58" s="42">
        <v>162</v>
      </c>
      <c r="G58" s="19">
        <v>365</v>
      </c>
      <c r="H58" s="20">
        <v>374</v>
      </c>
      <c r="J58" s="56"/>
      <c r="K58" s="56"/>
      <c r="L58" s="56"/>
      <c r="M58" s="7"/>
      <c r="N58" s="7"/>
      <c r="O58" s="7"/>
      <c r="P58" s="7"/>
      <c r="Q58" s="7"/>
    </row>
    <row r="59" spans="1:17" ht="13.5">
      <c r="A59" s="7"/>
      <c r="B59" s="7"/>
      <c r="C59" s="7"/>
      <c r="D59" s="7"/>
      <c r="E59" s="42">
        <v>162</v>
      </c>
      <c r="F59" s="42">
        <v>169</v>
      </c>
      <c r="G59" s="20">
        <v>374</v>
      </c>
      <c r="H59" s="19">
        <v>383</v>
      </c>
      <c r="J59" s="56"/>
      <c r="K59" s="56"/>
      <c r="L59" s="56"/>
      <c r="M59" s="7"/>
      <c r="N59" s="7"/>
      <c r="O59" s="7"/>
      <c r="P59" s="7"/>
      <c r="Q59" s="7"/>
    </row>
    <row r="60" spans="1:17" ht="13.5">
      <c r="A60" s="7"/>
      <c r="B60" s="7"/>
      <c r="C60" s="7"/>
      <c r="D60" s="7"/>
      <c r="E60" s="42">
        <v>169</v>
      </c>
      <c r="F60" s="42">
        <v>178</v>
      </c>
      <c r="G60" s="19">
        <v>383</v>
      </c>
      <c r="H60" s="20">
        <v>392</v>
      </c>
      <c r="J60" s="56"/>
      <c r="K60" s="56"/>
      <c r="L60" s="56"/>
      <c r="M60" s="7"/>
      <c r="N60" s="7"/>
      <c r="O60" s="7"/>
      <c r="P60" s="7"/>
      <c r="Q60" s="7"/>
    </row>
    <row r="61" spans="1:17" ht="13.5">
      <c r="A61" s="7"/>
      <c r="B61" s="7"/>
      <c r="C61" s="7"/>
      <c r="D61" s="7"/>
      <c r="E61" s="42">
        <v>178</v>
      </c>
      <c r="F61" s="42">
        <v>187</v>
      </c>
      <c r="G61" s="20">
        <v>392</v>
      </c>
      <c r="H61" s="19">
        <v>402</v>
      </c>
      <c r="J61" s="56"/>
      <c r="K61" s="56"/>
      <c r="L61" s="56"/>
      <c r="M61" s="7"/>
      <c r="N61" s="7"/>
      <c r="O61" s="7"/>
      <c r="P61" s="7"/>
      <c r="Q61" s="7"/>
    </row>
    <row r="62" spans="1:17" ht="13.5">
      <c r="A62" s="7"/>
      <c r="B62" s="7"/>
      <c r="C62" s="7"/>
      <c r="D62" s="7"/>
      <c r="E62" s="42">
        <v>187</v>
      </c>
      <c r="F62" s="42">
        <v>196</v>
      </c>
      <c r="G62" s="19">
        <v>402</v>
      </c>
      <c r="H62" s="20">
        <v>412</v>
      </c>
      <c r="J62" s="56"/>
      <c r="K62" s="56"/>
      <c r="L62" s="56"/>
      <c r="M62" s="7"/>
      <c r="N62" s="7"/>
      <c r="O62" s="7"/>
      <c r="P62" s="7"/>
      <c r="Q62" s="7"/>
    </row>
    <row r="63" spans="1:17" ht="13.5">
      <c r="A63" s="7"/>
      <c r="B63" s="7"/>
      <c r="C63" s="7"/>
      <c r="D63" s="7"/>
      <c r="E63" s="42">
        <v>196</v>
      </c>
      <c r="F63" s="42">
        <v>205</v>
      </c>
      <c r="G63" s="20">
        <v>412</v>
      </c>
      <c r="H63" s="19">
        <v>422</v>
      </c>
      <c r="J63" s="56"/>
      <c r="K63" s="56"/>
      <c r="L63" s="56"/>
      <c r="M63" s="7"/>
      <c r="N63" s="7"/>
      <c r="O63" s="7"/>
      <c r="P63" s="7"/>
      <c r="Q63" s="7"/>
    </row>
    <row r="64" spans="1:17" ht="13.5">
      <c r="A64" s="7"/>
      <c r="B64" s="7"/>
      <c r="C64" s="7"/>
      <c r="D64" s="7"/>
      <c r="E64" s="42">
        <v>205</v>
      </c>
      <c r="F64" s="42">
        <v>215</v>
      </c>
      <c r="G64" s="19">
        <v>422</v>
      </c>
      <c r="H64" s="20">
        <v>432</v>
      </c>
      <c r="J64" s="56"/>
      <c r="K64" s="56"/>
      <c r="L64" s="56"/>
      <c r="M64" s="7"/>
      <c r="N64" s="7"/>
      <c r="O64" s="7"/>
      <c r="P64" s="7"/>
      <c r="Q64" s="7"/>
    </row>
    <row r="65" spans="1:17" ht="13.5">
      <c r="A65" s="7"/>
      <c r="B65" s="7"/>
      <c r="C65" s="7"/>
      <c r="D65" s="7"/>
      <c r="E65" s="42">
        <v>215</v>
      </c>
      <c r="F65" s="42">
        <v>226</v>
      </c>
      <c r="G65" s="20">
        <v>432</v>
      </c>
      <c r="H65" s="19">
        <v>442</v>
      </c>
      <c r="J65" s="56"/>
      <c r="K65" s="56"/>
      <c r="L65" s="56"/>
      <c r="M65" s="7"/>
      <c r="N65" s="7"/>
      <c r="O65" s="7"/>
      <c r="P65" s="7"/>
      <c r="Q65" s="7"/>
    </row>
    <row r="66" spans="1:17" ht="13.5">
      <c r="A66" s="7"/>
      <c r="B66" s="7"/>
      <c r="C66" s="7"/>
      <c r="D66" s="7"/>
      <c r="E66" s="42">
        <v>226</v>
      </c>
      <c r="F66" s="42">
        <v>237</v>
      </c>
      <c r="G66" s="19">
        <v>442</v>
      </c>
      <c r="H66" s="20">
        <v>453</v>
      </c>
      <c r="J66" s="56"/>
      <c r="K66" s="56"/>
      <c r="L66" s="56"/>
      <c r="M66" s="7"/>
      <c r="N66" s="7"/>
      <c r="O66" s="7"/>
      <c r="P66" s="7"/>
      <c r="Q66" s="7"/>
    </row>
    <row r="67" spans="1:17" ht="13.5">
      <c r="A67" s="7"/>
      <c r="B67" s="7"/>
      <c r="C67" s="7"/>
      <c r="D67" s="7"/>
      <c r="E67" s="42">
        <v>237</v>
      </c>
      <c r="F67" s="42">
        <v>249</v>
      </c>
      <c r="G67" s="20">
        <v>453</v>
      </c>
      <c r="H67" s="19">
        <v>464</v>
      </c>
      <c r="J67" s="56"/>
      <c r="K67" s="56"/>
      <c r="L67" s="56"/>
      <c r="M67" s="7"/>
      <c r="N67" s="7"/>
      <c r="O67" s="7"/>
      <c r="P67" s="7"/>
      <c r="Q67" s="7"/>
    </row>
    <row r="68" spans="1:17" ht="13.5">
      <c r="A68" s="7"/>
      <c r="B68" s="7"/>
      <c r="C68" s="7"/>
      <c r="D68" s="7"/>
      <c r="E68" s="42">
        <v>249</v>
      </c>
      <c r="F68" s="42">
        <v>261</v>
      </c>
      <c r="G68" s="19">
        <v>464</v>
      </c>
      <c r="H68" s="20">
        <v>475</v>
      </c>
      <c r="J68" s="56"/>
      <c r="K68" s="56"/>
      <c r="L68" s="56"/>
      <c r="M68" s="7"/>
      <c r="N68" s="7"/>
      <c r="O68" s="7"/>
      <c r="P68" s="7"/>
      <c r="Q68" s="7"/>
    </row>
    <row r="69" spans="1:17" ht="13.5">
      <c r="A69" s="7"/>
      <c r="B69" s="7"/>
      <c r="C69" s="7"/>
      <c r="D69" s="7"/>
      <c r="E69" s="42">
        <v>261</v>
      </c>
      <c r="F69" s="42">
        <v>274</v>
      </c>
      <c r="G69" s="20">
        <v>475</v>
      </c>
      <c r="H69" s="19">
        <v>487</v>
      </c>
      <c r="J69" s="56"/>
      <c r="K69" s="56"/>
      <c r="L69" s="56"/>
      <c r="M69" s="7"/>
      <c r="N69" s="7"/>
      <c r="O69" s="7"/>
      <c r="P69" s="7"/>
      <c r="Q69" s="7"/>
    </row>
    <row r="70" spans="1:17" ht="13.5">
      <c r="A70" s="7"/>
      <c r="B70" s="7"/>
      <c r="C70" s="7"/>
      <c r="D70" s="7"/>
      <c r="E70" s="42">
        <v>274</v>
      </c>
      <c r="F70" s="42">
        <v>287</v>
      </c>
      <c r="G70" s="19">
        <v>487</v>
      </c>
      <c r="H70" s="20">
        <v>499</v>
      </c>
      <c r="J70" s="56"/>
      <c r="K70" s="56"/>
      <c r="L70" s="56"/>
      <c r="M70" s="7"/>
      <c r="N70" s="7"/>
      <c r="O70" s="7"/>
      <c r="P70" s="7"/>
      <c r="Q70" s="7"/>
    </row>
    <row r="71" spans="1:17" ht="13.5">
      <c r="A71" s="7"/>
      <c r="B71" s="7"/>
      <c r="C71" s="7"/>
      <c r="D71" s="7"/>
      <c r="E71" s="42">
        <v>287</v>
      </c>
      <c r="F71" s="42">
        <v>301</v>
      </c>
      <c r="G71" s="20">
        <v>499</v>
      </c>
      <c r="H71" s="19">
        <v>511</v>
      </c>
      <c r="J71" s="56"/>
      <c r="K71" s="56"/>
      <c r="L71" s="56"/>
      <c r="M71" s="7"/>
      <c r="N71" s="7"/>
      <c r="O71" s="7"/>
      <c r="P71" s="7"/>
      <c r="Q71" s="7"/>
    </row>
    <row r="72" spans="1:17" ht="13.5">
      <c r="A72" s="7"/>
      <c r="B72" s="7"/>
      <c r="C72" s="7"/>
      <c r="D72" s="7"/>
      <c r="E72" s="42">
        <v>301</v>
      </c>
      <c r="F72" s="42">
        <v>316</v>
      </c>
      <c r="G72" s="19">
        <v>511</v>
      </c>
      <c r="H72" s="20">
        <v>523</v>
      </c>
      <c r="J72" s="56"/>
      <c r="K72" s="56"/>
      <c r="L72" s="56"/>
      <c r="M72" s="7"/>
      <c r="N72" s="7"/>
      <c r="O72" s="7"/>
      <c r="P72" s="7"/>
      <c r="Q72" s="7"/>
    </row>
    <row r="73" spans="1:17" ht="13.5">
      <c r="A73" s="7"/>
      <c r="B73" s="7"/>
      <c r="C73" s="7"/>
      <c r="D73" s="7"/>
      <c r="E73" s="42">
        <v>316</v>
      </c>
      <c r="F73" s="42">
        <v>332</v>
      </c>
      <c r="G73" s="20">
        <v>523</v>
      </c>
      <c r="H73" s="19">
        <v>536</v>
      </c>
      <c r="J73" s="56"/>
      <c r="K73" s="56"/>
      <c r="L73" s="56"/>
      <c r="M73" s="7"/>
      <c r="N73" s="7"/>
      <c r="O73" s="7"/>
      <c r="P73" s="7"/>
      <c r="Q73" s="7"/>
    </row>
    <row r="74" spans="1:17" ht="13.5">
      <c r="A74" s="7"/>
      <c r="B74" s="7"/>
      <c r="C74" s="7"/>
      <c r="D74" s="7"/>
      <c r="E74" s="42">
        <v>332</v>
      </c>
      <c r="F74" s="42">
        <v>348</v>
      </c>
      <c r="G74" s="19">
        <v>536</v>
      </c>
      <c r="H74" s="20">
        <v>549</v>
      </c>
      <c r="J74" s="56"/>
      <c r="K74" s="56"/>
      <c r="L74" s="56"/>
      <c r="M74" s="7"/>
      <c r="N74" s="7"/>
      <c r="O74" s="7"/>
      <c r="P74" s="7"/>
      <c r="Q74" s="7"/>
    </row>
    <row r="75" spans="1:17" ht="13.5">
      <c r="A75" s="7"/>
      <c r="B75" s="7"/>
      <c r="C75" s="7"/>
      <c r="D75" s="7"/>
      <c r="E75" s="42">
        <v>348</v>
      </c>
      <c r="F75" s="42">
        <v>365</v>
      </c>
      <c r="G75" s="20">
        <v>549</v>
      </c>
      <c r="H75" s="19">
        <v>562</v>
      </c>
      <c r="J75" s="56"/>
      <c r="K75" s="56"/>
      <c r="L75" s="56"/>
      <c r="M75" s="7"/>
      <c r="N75" s="7"/>
      <c r="O75" s="7"/>
      <c r="P75" s="7"/>
      <c r="Q75" s="7"/>
    </row>
    <row r="76" spans="1:17" ht="13.5">
      <c r="A76" s="7"/>
      <c r="B76" s="7"/>
      <c r="C76" s="7"/>
      <c r="D76" s="7"/>
      <c r="E76" s="42">
        <v>365</v>
      </c>
      <c r="F76" s="42">
        <v>383</v>
      </c>
      <c r="G76" s="19">
        <v>562</v>
      </c>
      <c r="H76" s="20">
        <v>576</v>
      </c>
      <c r="J76" s="59"/>
      <c r="K76" s="59"/>
      <c r="L76" s="59"/>
      <c r="M76" s="7"/>
      <c r="N76" s="7"/>
      <c r="O76" s="7"/>
      <c r="P76" s="7"/>
      <c r="Q76" s="7"/>
    </row>
    <row r="77" spans="1:17" ht="13.5">
      <c r="A77" s="7"/>
      <c r="B77" s="7"/>
      <c r="C77" s="7"/>
      <c r="D77" s="7"/>
      <c r="E77" s="42">
        <v>383</v>
      </c>
      <c r="F77" s="42">
        <v>402</v>
      </c>
      <c r="G77" s="20">
        <v>576</v>
      </c>
      <c r="H77" s="19">
        <v>590</v>
      </c>
      <c r="J77" s="59"/>
      <c r="K77" s="59"/>
      <c r="L77" s="59"/>
      <c r="M77" s="7"/>
      <c r="N77" s="7"/>
      <c r="O77" s="7"/>
      <c r="P77" s="7"/>
      <c r="Q77" s="7"/>
    </row>
    <row r="78" spans="1:17" ht="13.5">
      <c r="A78" s="7"/>
      <c r="B78" s="7"/>
      <c r="C78" s="7"/>
      <c r="D78" s="7"/>
      <c r="E78" s="42">
        <v>402</v>
      </c>
      <c r="F78" s="42">
        <v>422</v>
      </c>
      <c r="G78" s="19">
        <v>590</v>
      </c>
      <c r="H78" s="20">
        <v>604</v>
      </c>
      <c r="J78" s="59"/>
      <c r="K78" s="59"/>
      <c r="L78" s="59"/>
      <c r="M78" s="7"/>
      <c r="N78" s="7"/>
      <c r="O78" s="7"/>
      <c r="P78" s="7"/>
      <c r="Q78" s="7"/>
    </row>
    <row r="79" spans="1:17" ht="13.5">
      <c r="A79" s="7"/>
      <c r="B79" s="7"/>
      <c r="C79" s="7"/>
      <c r="D79" s="7"/>
      <c r="E79" s="42">
        <v>422</v>
      </c>
      <c r="F79" s="42">
        <v>442</v>
      </c>
      <c r="G79" s="20">
        <v>604</v>
      </c>
      <c r="H79" s="19">
        <v>619</v>
      </c>
      <c r="J79" s="59"/>
      <c r="K79" s="59"/>
      <c r="L79" s="59"/>
      <c r="M79" s="7"/>
      <c r="N79" s="7"/>
      <c r="O79" s="7"/>
      <c r="P79" s="7"/>
      <c r="Q79" s="7"/>
    </row>
    <row r="80" spans="1:17" ht="13.5">
      <c r="A80" s="7"/>
      <c r="B80" s="7"/>
      <c r="C80" s="7"/>
      <c r="D80" s="7"/>
      <c r="E80" s="42">
        <v>442</v>
      </c>
      <c r="F80" s="42">
        <v>464</v>
      </c>
      <c r="G80" s="19">
        <v>619</v>
      </c>
      <c r="H80" s="20">
        <v>634</v>
      </c>
      <c r="J80" s="59"/>
      <c r="K80" s="59"/>
      <c r="L80" s="59"/>
      <c r="M80" s="7"/>
      <c r="N80" s="7"/>
      <c r="O80" s="7"/>
      <c r="P80" s="7"/>
      <c r="Q80" s="7"/>
    </row>
    <row r="81" spans="1:17" ht="13.5">
      <c r="A81" s="7"/>
      <c r="B81" s="7"/>
      <c r="C81" s="7"/>
      <c r="D81" s="7"/>
      <c r="E81" s="42">
        <v>464</v>
      </c>
      <c r="F81" s="42">
        <v>487</v>
      </c>
      <c r="G81" s="20">
        <v>634</v>
      </c>
      <c r="H81" s="19">
        <v>649</v>
      </c>
      <c r="J81" s="59"/>
      <c r="K81" s="59"/>
      <c r="L81" s="59"/>
      <c r="M81" s="7"/>
      <c r="N81" s="7"/>
      <c r="O81" s="7"/>
      <c r="P81" s="7"/>
      <c r="Q81" s="7"/>
    </row>
    <row r="82" spans="1:17" ht="13.5">
      <c r="A82" s="7"/>
      <c r="B82" s="7"/>
      <c r="C82" s="7"/>
      <c r="D82" s="7"/>
      <c r="E82" s="42">
        <v>487</v>
      </c>
      <c r="F82" s="42">
        <v>511</v>
      </c>
      <c r="G82" s="19">
        <v>649</v>
      </c>
      <c r="H82" s="20">
        <v>665</v>
      </c>
      <c r="J82" s="59"/>
      <c r="K82" s="59"/>
      <c r="L82" s="59"/>
      <c r="M82" s="7"/>
      <c r="N82" s="7"/>
      <c r="O82" s="7"/>
      <c r="P82" s="7"/>
      <c r="Q82" s="7"/>
    </row>
    <row r="83" spans="1:17" ht="13.5">
      <c r="A83" s="7"/>
      <c r="B83" s="7"/>
      <c r="C83" s="7"/>
      <c r="D83" s="7"/>
      <c r="E83" s="42">
        <v>511</v>
      </c>
      <c r="F83" s="42">
        <v>536</v>
      </c>
      <c r="G83" s="20">
        <v>665</v>
      </c>
      <c r="H83" s="19">
        <v>681</v>
      </c>
      <c r="J83" s="59"/>
      <c r="K83" s="59"/>
      <c r="L83" s="59"/>
      <c r="M83" s="7"/>
      <c r="N83" s="7"/>
      <c r="O83" s="7"/>
      <c r="P83" s="7"/>
      <c r="Q83" s="7"/>
    </row>
    <row r="84" spans="1:17" ht="13.5">
      <c r="A84" s="7"/>
      <c r="B84" s="7"/>
      <c r="C84" s="7"/>
      <c r="D84" s="7"/>
      <c r="E84" s="42">
        <v>536</v>
      </c>
      <c r="F84" s="42">
        <v>562</v>
      </c>
      <c r="G84" s="19">
        <v>681</v>
      </c>
      <c r="H84" s="20">
        <v>698</v>
      </c>
      <c r="J84" s="59"/>
      <c r="K84" s="59"/>
      <c r="L84" s="59"/>
      <c r="M84" s="7"/>
      <c r="N84" s="7"/>
      <c r="O84" s="7"/>
      <c r="P84" s="7"/>
      <c r="Q84" s="7"/>
    </row>
    <row r="85" spans="1:17" ht="13.5">
      <c r="A85" s="7"/>
      <c r="B85" s="7"/>
      <c r="C85" s="7"/>
      <c r="D85" s="7"/>
      <c r="E85" s="42">
        <v>562</v>
      </c>
      <c r="F85" s="42">
        <v>590</v>
      </c>
      <c r="G85" s="20">
        <v>698</v>
      </c>
      <c r="H85" s="19">
        <v>715</v>
      </c>
      <c r="J85" s="59"/>
      <c r="K85" s="59"/>
      <c r="L85" s="59"/>
      <c r="M85" s="7"/>
      <c r="N85" s="7"/>
      <c r="O85" s="7"/>
      <c r="P85" s="7"/>
      <c r="Q85" s="7"/>
    </row>
    <row r="86" spans="1:17" ht="13.5">
      <c r="A86" s="7"/>
      <c r="B86" s="7"/>
      <c r="C86" s="7"/>
      <c r="D86" s="7"/>
      <c r="E86" s="42">
        <v>590</v>
      </c>
      <c r="F86" s="42">
        <v>619</v>
      </c>
      <c r="G86" s="19">
        <v>715</v>
      </c>
      <c r="H86" s="20">
        <v>732</v>
      </c>
      <c r="J86" s="59"/>
      <c r="K86" s="59"/>
      <c r="L86" s="59"/>
      <c r="M86" s="7"/>
      <c r="N86" s="7"/>
      <c r="O86" s="7"/>
      <c r="P86" s="7"/>
      <c r="Q86" s="7"/>
    </row>
    <row r="87" spans="1:17" ht="13.5">
      <c r="A87" s="7"/>
      <c r="B87" s="7"/>
      <c r="C87" s="7"/>
      <c r="D87" s="7"/>
      <c r="E87" s="42">
        <v>619</v>
      </c>
      <c r="F87" s="42">
        <v>649</v>
      </c>
      <c r="G87" s="20">
        <v>732</v>
      </c>
      <c r="H87" s="19">
        <v>750</v>
      </c>
      <c r="J87" s="59"/>
      <c r="K87" s="59"/>
      <c r="L87" s="59"/>
      <c r="M87" s="7"/>
      <c r="N87" s="7"/>
      <c r="O87" s="7"/>
      <c r="P87" s="7"/>
      <c r="Q87" s="7"/>
    </row>
    <row r="88" spans="1:17" ht="13.5">
      <c r="A88" s="7"/>
      <c r="B88" s="7"/>
      <c r="C88" s="7"/>
      <c r="D88" s="7"/>
      <c r="E88" s="42">
        <v>649</v>
      </c>
      <c r="F88" s="42">
        <v>681</v>
      </c>
      <c r="G88" s="19">
        <v>750</v>
      </c>
      <c r="H88" s="20">
        <v>768</v>
      </c>
      <c r="J88" s="59"/>
      <c r="K88" s="59"/>
      <c r="L88" s="59"/>
      <c r="M88" s="7"/>
      <c r="N88" s="7"/>
      <c r="O88" s="7"/>
      <c r="P88" s="7"/>
      <c r="Q88" s="7"/>
    </row>
    <row r="89" spans="1:17" ht="13.5">
      <c r="A89" s="7"/>
      <c r="B89" s="7"/>
      <c r="C89" s="7"/>
      <c r="D89" s="7"/>
      <c r="E89" s="42">
        <v>681</v>
      </c>
      <c r="F89" s="42">
        <v>715</v>
      </c>
      <c r="G89" s="20">
        <v>768</v>
      </c>
      <c r="H89" s="19">
        <v>787</v>
      </c>
      <c r="J89" s="59"/>
      <c r="K89" s="59"/>
      <c r="L89" s="59"/>
      <c r="M89" s="7"/>
      <c r="N89" s="7"/>
      <c r="O89" s="7"/>
      <c r="P89" s="7"/>
      <c r="Q89" s="7"/>
    </row>
    <row r="90" spans="1:17" ht="13.5">
      <c r="A90" s="7"/>
      <c r="B90" s="7"/>
      <c r="C90" s="7"/>
      <c r="D90" s="7"/>
      <c r="E90" s="42">
        <v>715</v>
      </c>
      <c r="F90" s="42">
        <v>750</v>
      </c>
      <c r="G90" s="19">
        <v>787</v>
      </c>
      <c r="H90" s="20">
        <v>806</v>
      </c>
      <c r="J90" s="59"/>
      <c r="K90" s="59"/>
      <c r="L90" s="59"/>
      <c r="M90" s="7"/>
      <c r="N90" s="7"/>
      <c r="O90" s="7"/>
      <c r="P90" s="7"/>
      <c r="Q90" s="7"/>
    </row>
    <row r="91" spans="1:17" ht="13.5">
      <c r="A91" s="7"/>
      <c r="B91" s="7"/>
      <c r="C91" s="7"/>
      <c r="D91" s="7"/>
      <c r="E91" s="42">
        <v>750</v>
      </c>
      <c r="F91" s="42">
        <v>787</v>
      </c>
      <c r="G91" s="20">
        <v>806</v>
      </c>
      <c r="H91" s="19">
        <v>825</v>
      </c>
      <c r="J91" s="59"/>
      <c r="K91" s="59"/>
      <c r="L91" s="59"/>
      <c r="M91" s="7"/>
      <c r="N91" s="7"/>
      <c r="O91" s="7"/>
      <c r="P91" s="7"/>
      <c r="Q91" s="7"/>
    </row>
    <row r="92" spans="1:17" ht="13.5">
      <c r="A92" s="7"/>
      <c r="B92" s="7"/>
      <c r="C92" s="7"/>
      <c r="D92" s="7"/>
      <c r="E92" s="42">
        <v>787</v>
      </c>
      <c r="F92" s="42">
        <v>825</v>
      </c>
      <c r="G92" s="19">
        <v>825</v>
      </c>
      <c r="H92" s="20">
        <v>845</v>
      </c>
      <c r="J92" s="59"/>
      <c r="K92" s="59"/>
      <c r="L92" s="59"/>
      <c r="M92" s="7"/>
      <c r="N92" s="7"/>
      <c r="O92" s="7"/>
      <c r="P92" s="7"/>
      <c r="Q92" s="7"/>
    </row>
    <row r="93" spans="1:17" ht="13.5">
      <c r="A93" s="7"/>
      <c r="B93" s="7"/>
      <c r="C93" s="7"/>
      <c r="D93" s="7"/>
      <c r="E93" s="42">
        <v>825</v>
      </c>
      <c r="F93" s="42">
        <v>866</v>
      </c>
      <c r="G93" s="20">
        <v>845</v>
      </c>
      <c r="H93" s="19">
        <v>866</v>
      </c>
      <c r="J93" s="59"/>
      <c r="K93" s="59"/>
      <c r="L93" s="59"/>
      <c r="M93" s="7"/>
      <c r="N93" s="7"/>
      <c r="O93" s="7"/>
      <c r="P93" s="7"/>
      <c r="Q93" s="7"/>
    </row>
    <row r="94" spans="1:17" ht="13.5">
      <c r="A94" s="7"/>
      <c r="B94" s="7"/>
      <c r="C94" s="7"/>
      <c r="D94" s="7"/>
      <c r="E94" s="42">
        <v>866</v>
      </c>
      <c r="F94" s="42">
        <v>909</v>
      </c>
      <c r="G94" s="19">
        <v>866</v>
      </c>
      <c r="H94" s="20">
        <v>887</v>
      </c>
      <c r="J94" s="59"/>
      <c r="K94" s="59"/>
      <c r="L94" s="59"/>
      <c r="M94" s="7"/>
      <c r="N94" s="7"/>
      <c r="O94" s="7"/>
      <c r="P94" s="7"/>
      <c r="Q94" s="7"/>
    </row>
    <row r="95" spans="1:17" ht="13.5">
      <c r="A95" s="7"/>
      <c r="B95" s="7"/>
      <c r="C95" s="7"/>
      <c r="D95" s="7"/>
      <c r="E95" s="42">
        <v>909</v>
      </c>
      <c r="F95" s="42">
        <v>953</v>
      </c>
      <c r="G95" s="20">
        <v>887</v>
      </c>
      <c r="H95" s="19">
        <v>909</v>
      </c>
      <c r="J95" s="59"/>
      <c r="K95" s="59"/>
      <c r="L95" s="59"/>
      <c r="M95" s="7"/>
      <c r="N95" s="7"/>
      <c r="O95" s="7"/>
      <c r="P95" s="7"/>
      <c r="Q95" s="7"/>
    </row>
    <row r="96" spans="1:17" ht="13.5">
      <c r="A96" s="7"/>
      <c r="B96" s="7"/>
      <c r="C96" s="7"/>
      <c r="D96" s="7"/>
      <c r="E96" s="42">
        <v>953</v>
      </c>
      <c r="F96" s="42">
        <v>1000</v>
      </c>
      <c r="G96" s="19">
        <v>909</v>
      </c>
      <c r="H96" s="20">
        <v>931</v>
      </c>
      <c r="J96" s="59"/>
      <c r="K96" s="59"/>
      <c r="L96" s="59"/>
      <c r="M96" s="7"/>
      <c r="N96" s="7"/>
      <c r="O96" s="7"/>
      <c r="P96" s="7"/>
      <c r="Q96" s="7"/>
    </row>
    <row r="97" spans="1:17" ht="13.5">
      <c r="A97" s="7"/>
      <c r="B97" s="7"/>
      <c r="C97" s="7"/>
      <c r="D97" s="7"/>
      <c r="G97" s="20">
        <v>931</v>
      </c>
      <c r="H97" s="19">
        <v>953</v>
      </c>
      <c r="J97" s="59"/>
      <c r="K97" s="59"/>
      <c r="L97" s="59"/>
      <c r="M97" s="7"/>
      <c r="N97" s="7"/>
      <c r="O97" s="7"/>
      <c r="P97" s="7"/>
      <c r="Q97" s="7"/>
    </row>
    <row r="98" spans="1:17" ht="13.5">
      <c r="A98" s="7"/>
      <c r="B98" s="7"/>
      <c r="C98" s="7"/>
      <c r="D98" s="7"/>
      <c r="E98" s="7"/>
      <c r="F98" s="7"/>
      <c r="G98" s="19">
        <v>953</v>
      </c>
      <c r="H98" s="20">
        <v>976</v>
      </c>
      <c r="J98" s="59"/>
      <c r="K98" s="59"/>
      <c r="L98" s="59"/>
      <c r="M98" s="7"/>
      <c r="N98" s="7"/>
      <c r="O98" s="7"/>
      <c r="P98" s="7"/>
      <c r="Q98" s="7"/>
    </row>
    <row r="99" spans="1:17" ht="13.5">
      <c r="A99" s="7"/>
      <c r="B99" s="7"/>
      <c r="C99" s="7"/>
      <c r="D99" s="7"/>
      <c r="E99" s="7"/>
      <c r="F99" s="7"/>
      <c r="G99" s="20">
        <v>976</v>
      </c>
      <c r="H99" s="20">
        <v>1000</v>
      </c>
      <c r="J99" s="59"/>
      <c r="K99" s="59"/>
      <c r="L99" s="59"/>
      <c r="M99" s="7"/>
      <c r="N99" s="7"/>
      <c r="O99" s="7"/>
      <c r="P99" s="7"/>
      <c r="Q99" s="7"/>
    </row>
    <row r="100" spans="1:17" ht="12.75">
      <c r="A100" s="7"/>
      <c r="B100" s="7"/>
      <c r="C100" s="7"/>
      <c r="D100" s="7"/>
      <c r="E100" s="7"/>
      <c r="F100" s="7"/>
      <c r="J100" s="59"/>
      <c r="K100" s="59"/>
      <c r="L100" s="59"/>
      <c r="M100" s="7"/>
      <c r="N100" s="7"/>
      <c r="O100" s="7"/>
      <c r="P100" s="7"/>
      <c r="Q100" s="7"/>
    </row>
    <row r="101" spans="1:17" ht="12.75">
      <c r="A101" s="7"/>
      <c r="B101" s="7"/>
      <c r="C101" s="7"/>
      <c r="D101" s="7"/>
      <c r="E101" s="7"/>
      <c r="F101" s="7"/>
      <c r="J101" s="59"/>
      <c r="K101" s="59"/>
      <c r="L101" s="59"/>
      <c r="M101" s="7"/>
      <c r="N101" s="7"/>
      <c r="O101" s="7"/>
      <c r="P101" s="7"/>
      <c r="Q101" s="7"/>
    </row>
    <row r="102" spans="1:17" ht="12.75">
      <c r="A102" s="7"/>
      <c r="B102" s="7"/>
      <c r="C102" s="7"/>
      <c r="D102" s="7"/>
      <c r="E102" s="7"/>
      <c r="F102" s="7"/>
      <c r="J102" s="59"/>
      <c r="K102" s="59"/>
      <c r="L102" s="59"/>
      <c r="M102" s="7"/>
      <c r="N102" s="7"/>
      <c r="O102" s="7"/>
      <c r="P102" s="7"/>
      <c r="Q102" s="7"/>
    </row>
    <row r="103" spans="1:17" ht="12.75">
      <c r="A103" s="7"/>
      <c r="B103" s="7"/>
      <c r="C103" s="7"/>
      <c r="D103" s="7"/>
      <c r="E103" s="7"/>
      <c r="F103" s="7"/>
      <c r="J103" s="59"/>
      <c r="K103" s="59"/>
      <c r="L103" s="59"/>
      <c r="M103" s="7"/>
      <c r="N103" s="7"/>
      <c r="O103" s="7"/>
      <c r="P103" s="7"/>
      <c r="Q103" s="7"/>
    </row>
    <row r="104" spans="1:17" ht="12.75">
      <c r="A104" s="7"/>
      <c r="B104" s="7"/>
      <c r="C104" s="7"/>
      <c r="D104" s="7"/>
      <c r="E104" s="7"/>
      <c r="F104" s="7"/>
      <c r="J104" s="59"/>
      <c r="K104" s="59"/>
      <c r="L104" s="59"/>
      <c r="M104" s="7"/>
      <c r="N104" s="7"/>
      <c r="O104" s="7"/>
      <c r="P104" s="7"/>
      <c r="Q104" s="7"/>
    </row>
    <row r="105" spans="1:17" ht="12.75">
      <c r="A105" s="7"/>
      <c r="B105" s="7"/>
      <c r="C105" s="7"/>
      <c r="D105" s="7"/>
      <c r="E105" s="7"/>
      <c r="F105" s="7"/>
      <c r="J105" s="59"/>
      <c r="K105" s="59"/>
      <c r="L105" s="59"/>
      <c r="M105" s="7"/>
      <c r="N105" s="7"/>
      <c r="O105" s="7"/>
      <c r="P105" s="7"/>
      <c r="Q105" s="7"/>
    </row>
    <row r="106" spans="1:17" ht="12.75">
      <c r="A106" s="7"/>
      <c r="B106" s="7"/>
      <c r="C106" s="7"/>
      <c r="D106" s="7"/>
      <c r="E106" s="7"/>
      <c r="F106" s="7"/>
      <c r="J106" s="59"/>
      <c r="K106" s="59"/>
      <c r="L106" s="59"/>
      <c r="M106" s="7"/>
      <c r="N106" s="7"/>
      <c r="O106" s="7"/>
      <c r="P106" s="7"/>
      <c r="Q106" s="7"/>
    </row>
    <row r="107" spans="1:17" ht="12.75">
      <c r="A107" s="7"/>
      <c r="B107" s="7"/>
      <c r="C107" s="7"/>
      <c r="D107" s="7"/>
      <c r="E107" s="7"/>
      <c r="F107" s="7"/>
      <c r="J107" s="59"/>
      <c r="K107" s="59"/>
      <c r="L107" s="59"/>
      <c r="M107" s="7"/>
      <c r="N107" s="7"/>
      <c r="O107" s="7"/>
      <c r="P107" s="7"/>
      <c r="Q107" s="7"/>
    </row>
    <row r="108" spans="1:17" ht="12.75">
      <c r="A108" s="7"/>
      <c r="B108" s="7"/>
      <c r="C108" s="7"/>
      <c r="D108" s="7"/>
      <c r="E108" s="7"/>
      <c r="F108" s="7"/>
      <c r="J108" s="59"/>
      <c r="K108" s="59"/>
      <c r="L108" s="59"/>
      <c r="M108" s="7"/>
      <c r="N108" s="7"/>
      <c r="O108" s="7"/>
      <c r="P108" s="7"/>
      <c r="Q108" s="7"/>
    </row>
    <row r="109" spans="1:17" ht="12.75">
      <c r="A109" s="7"/>
      <c r="B109" s="7"/>
      <c r="C109" s="7"/>
      <c r="D109" s="7"/>
      <c r="E109" s="7"/>
      <c r="F109" s="7"/>
      <c r="J109" s="59"/>
      <c r="K109" s="59"/>
      <c r="L109" s="59"/>
      <c r="M109" s="7"/>
      <c r="N109" s="7"/>
      <c r="O109" s="7"/>
      <c r="P109" s="7"/>
      <c r="Q109" s="7"/>
    </row>
    <row r="110" spans="1:17" ht="12.75">
      <c r="A110" s="7"/>
      <c r="B110" s="7"/>
      <c r="C110" s="7"/>
      <c r="D110" s="7"/>
      <c r="E110" s="7"/>
      <c r="F110" s="7"/>
      <c r="J110" s="59"/>
      <c r="K110" s="59"/>
      <c r="L110" s="59"/>
      <c r="M110" s="7"/>
      <c r="N110" s="7"/>
      <c r="O110" s="7"/>
      <c r="P110" s="7"/>
      <c r="Q110" s="7"/>
    </row>
    <row r="111" spans="1:17" ht="12.75">
      <c r="A111" s="7"/>
      <c r="B111" s="7"/>
      <c r="C111" s="7"/>
      <c r="D111" s="7"/>
      <c r="E111" s="7"/>
      <c r="F111" s="7"/>
      <c r="J111" s="59"/>
      <c r="K111" s="59"/>
      <c r="L111" s="59"/>
      <c r="M111" s="7"/>
      <c r="N111" s="7"/>
      <c r="O111" s="7"/>
      <c r="P111" s="7"/>
      <c r="Q111" s="7"/>
    </row>
    <row r="112" spans="1:17" ht="12.75">
      <c r="A112" s="7"/>
      <c r="B112" s="7"/>
      <c r="C112" s="7"/>
      <c r="D112" s="7"/>
      <c r="E112" s="7"/>
      <c r="F112" s="7"/>
      <c r="J112" s="59"/>
      <c r="K112" s="59"/>
      <c r="L112" s="59"/>
      <c r="M112" s="7"/>
      <c r="N112" s="7"/>
      <c r="O112" s="7"/>
      <c r="P112" s="7"/>
      <c r="Q112" s="7"/>
    </row>
    <row r="113" spans="1:17" ht="12.75">
      <c r="A113" s="7"/>
      <c r="B113" s="7"/>
      <c r="C113" s="7"/>
      <c r="D113" s="7"/>
      <c r="E113" s="7"/>
      <c r="F113" s="7"/>
      <c r="J113" s="59"/>
      <c r="K113" s="59"/>
      <c r="L113" s="59"/>
      <c r="M113" s="7"/>
      <c r="N113" s="7"/>
      <c r="O113" s="7"/>
      <c r="P113" s="7"/>
      <c r="Q113" s="7"/>
    </row>
    <row r="114" spans="1:17" ht="12.75">
      <c r="A114" s="7"/>
      <c r="B114" s="7"/>
      <c r="C114" s="7"/>
      <c r="D114" s="7"/>
      <c r="E114" s="7"/>
      <c r="F114" s="7"/>
      <c r="G114" s="7"/>
      <c r="H114" s="7"/>
      <c r="I114" s="7"/>
      <c r="J114" s="59"/>
      <c r="K114" s="59"/>
      <c r="L114" s="59"/>
      <c r="M114" s="7"/>
      <c r="N114" s="7"/>
      <c r="O114" s="7"/>
      <c r="P114" s="7"/>
      <c r="Q114" s="7"/>
    </row>
    <row r="115" spans="1:17" ht="12.75">
      <c r="A115" s="7"/>
      <c r="B115" s="7"/>
      <c r="C115" s="7"/>
      <c r="D115" s="7"/>
      <c r="E115" s="7"/>
      <c r="F115" s="7"/>
      <c r="G115" s="7"/>
      <c r="H115" s="7"/>
      <c r="I115" s="7"/>
      <c r="J115" s="59"/>
      <c r="K115" s="59"/>
      <c r="L115" s="59"/>
      <c r="M115" s="7"/>
      <c r="N115" s="7"/>
      <c r="O115" s="7"/>
      <c r="P115" s="7"/>
      <c r="Q115" s="7"/>
    </row>
    <row r="116" spans="1:17" ht="12.75">
      <c r="A116" s="7"/>
      <c r="B116" s="7"/>
      <c r="C116" s="7"/>
      <c r="D116" s="7"/>
      <c r="E116" s="7"/>
      <c r="F116" s="7"/>
      <c r="G116" s="7"/>
      <c r="H116" s="7"/>
      <c r="I116" s="7"/>
      <c r="J116" s="59"/>
      <c r="K116" s="59"/>
      <c r="L116" s="59"/>
      <c r="M116" s="7"/>
      <c r="N116" s="7"/>
      <c r="O116" s="7"/>
      <c r="P116" s="7"/>
      <c r="Q116" s="7"/>
    </row>
    <row r="117" spans="1:17" ht="12.75">
      <c r="A117" s="7"/>
      <c r="B117" s="7"/>
      <c r="C117" s="7"/>
      <c r="D117" s="7"/>
      <c r="E117" s="7"/>
      <c r="F117" s="7"/>
      <c r="G117" s="7"/>
      <c r="H117" s="7"/>
      <c r="I117" s="7"/>
      <c r="J117" s="59"/>
      <c r="K117" s="59"/>
      <c r="L117" s="59"/>
      <c r="M117" s="7"/>
      <c r="N117" s="7"/>
      <c r="O117" s="7"/>
      <c r="P117" s="7"/>
      <c r="Q117" s="7"/>
    </row>
    <row r="118" spans="1:17" ht="12.75">
      <c r="A118" s="7"/>
      <c r="B118" s="7"/>
      <c r="C118" s="7"/>
      <c r="D118" s="7"/>
      <c r="E118" s="7"/>
      <c r="F118" s="7"/>
      <c r="G118" s="7"/>
      <c r="H118" s="7"/>
      <c r="I118" s="7"/>
      <c r="J118" s="59"/>
      <c r="K118" s="59"/>
      <c r="L118" s="59"/>
      <c r="M118" s="7"/>
      <c r="N118" s="7"/>
      <c r="O118" s="7"/>
      <c r="P118" s="7"/>
      <c r="Q118" s="7"/>
    </row>
    <row r="119" spans="1:17" ht="12.75">
      <c r="A119" s="7"/>
      <c r="B119" s="7"/>
      <c r="C119" s="7"/>
      <c r="D119" s="7"/>
      <c r="E119" s="7"/>
      <c r="F119" s="7"/>
      <c r="G119" s="7"/>
      <c r="H119" s="7"/>
      <c r="I119" s="7"/>
      <c r="J119" s="59"/>
      <c r="K119" s="59"/>
      <c r="L119" s="59"/>
      <c r="M119" s="7"/>
      <c r="N119" s="7"/>
      <c r="O119" s="7"/>
      <c r="P119" s="7"/>
      <c r="Q119" s="7"/>
    </row>
    <row r="120" spans="1:17" ht="12.75">
      <c r="A120" s="7"/>
      <c r="B120" s="7"/>
      <c r="C120" s="7"/>
      <c r="D120" s="7"/>
      <c r="E120" s="7"/>
      <c r="F120" s="7"/>
      <c r="G120" s="7"/>
      <c r="H120" s="7"/>
      <c r="I120" s="7"/>
      <c r="J120" s="59"/>
      <c r="K120" s="59"/>
      <c r="L120" s="59"/>
      <c r="M120" s="7"/>
      <c r="N120" s="7"/>
      <c r="O120" s="7"/>
      <c r="P120" s="7"/>
      <c r="Q120" s="7"/>
    </row>
    <row r="121" spans="1:17" ht="12.75">
      <c r="A121" s="7"/>
      <c r="B121" s="7"/>
      <c r="C121" s="7"/>
      <c r="D121" s="7"/>
      <c r="E121" s="7"/>
      <c r="F121" s="7"/>
      <c r="G121" s="7"/>
      <c r="H121" s="7"/>
      <c r="I121" s="7"/>
      <c r="J121" s="59"/>
      <c r="K121" s="59"/>
      <c r="L121" s="59"/>
      <c r="M121" s="7"/>
      <c r="N121" s="7"/>
      <c r="O121" s="7"/>
      <c r="P121" s="7"/>
      <c r="Q121" s="7"/>
    </row>
    <row r="122" spans="1:17" ht="12.75">
      <c r="A122" s="7"/>
      <c r="B122" s="7"/>
      <c r="C122" s="7"/>
      <c r="D122" s="7"/>
      <c r="E122" s="7"/>
      <c r="F122" s="7"/>
      <c r="G122" s="7"/>
      <c r="H122" s="7"/>
      <c r="I122" s="7"/>
      <c r="J122" s="59"/>
      <c r="K122" s="59"/>
      <c r="L122" s="59"/>
      <c r="M122" s="7"/>
      <c r="N122" s="7"/>
      <c r="O122" s="7"/>
      <c r="P122" s="7"/>
      <c r="Q122" s="7"/>
    </row>
    <row r="123" spans="1:17" ht="12.75">
      <c r="A123" s="7"/>
      <c r="B123" s="7"/>
      <c r="C123" s="7"/>
      <c r="D123" s="7"/>
      <c r="E123" s="7"/>
      <c r="F123" s="7"/>
      <c r="G123" s="7"/>
      <c r="H123" s="7"/>
      <c r="I123" s="7"/>
      <c r="J123" s="59"/>
      <c r="K123" s="59"/>
      <c r="L123" s="59"/>
      <c r="M123" s="7"/>
      <c r="N123" s="7"/>
      <c r="O123" s="7"/>
      <c r="P123" s="7"/>
      <c r="Q123" s="7"/>
    </row>
    <row r="124" spans="1:17" ht="12.75">
      <c r="A124" s="7"/>
      <c r="B124" s="7"/>
      <c r="C124" s="7"/>
      <c r="D124" s="7"/>
      <c r="E124" s="7"/>
      <c r="F124" s="7"/>
      <c r="G124" s="7"/>
      <c r="H124" s="7"/>
      <c r="I124" s="7"/>
      <c r="J124" s="59"/>
      <c r="K124" s="59"/>
      <c r="L124" s="59"/>
      <c r="M124" s="7"/>
      <c r="N124" s="7"/>
      <c r="O124" s="7"/>
      <c r="P124" s="7"/>
      <c r="Q124" s="7"/>
    </row>
    <row r="125" spans="1:17" ht="12.75">
      <c r="A125" s="7"/>
      <c r="B125" s="7"/>
      <c r="C125" s="7"/>
      <c r="D125" s="7"/>
      <c r="E125" s="7"/>
      <c r="F125" s="7"/>
      <c r="G125" s="7"/>
      <c r="H125" s="7"/>
      <c r="I125" s="7"/>
      <c r="J125" s="59"/>
      <c r="K125" s="59"/>
      <c r="L125" s="59"/>
      <c r="M125" s="7"/>
      <c r="N125" s="7"/>
      <c r="O125" s="7"/>
      <c r="P125" s="7"/>
      <c r="Q125" s="7"/>
    </row>
    <row r="126" spans="1:17" ht="12.75">
      <c r="A126" s="7"/>
      <c r="B126" s="7"/>
      <c r="C126" s="7"/>
      <c r="D126" s="7"/>
      <c r="E126" s="7"/>
      <c r="F126" s="7"/>
      <c r="G126" s="7"/>
      <c r="H126" s="7"/>
      <c r="I126" s="7"/>
      <c r="J126" s="59"/>
      <c r="K126" s="59"/>
      <c r="L126" s="59"/>
      <c r="M126" s="7"/>
      <c r="N126" s="7"/>
      <c r="O126" s="7"/>
      <c r="P126" s="7"/>
      <c r="Q126" s="7"/>
    </row>
    <row r="127" spans="1:17" ht="12.75">
      <c r="A127" s="7"/>
      <c r="B127" s="7"/>
      <c r="C127" s="7"/>
      <c r="D127" s="7"/>
      <c r="E127" s="7"/>
      <c r="F127" s="7"/>
      <c r="G127" s="7"/>
      <c r="H127" s="7"/>
      <c r="I127" s="7"/>
      <c r="J127" s="59"/>
      <c r="K127" s="59"/>
      <c r="L127" s="59"/>
      <c r="M127" s="7"/>
      <c r="N127" s="7"/>
      <c r="O127" s="7"/>
      <c r="P127" s="7"/>
      <c r="Q127" s="7"/>
    </row>
    <row r="128" spans="1:17" ht="12.75">
      <c r="A128" s="7"/>
      <c r="B128" s="7"/>
      <c r="C128" s="7"/>
      <c r="D128" s="7"/>
      <c r="E128" s="7"/>
      <c r="F128" s="7"/>
      <c r="G128" s="7"/>
      <c r="H128" s="7"/>
      <c r="I128" s="7"/>
      <c r="J128" s="59"/>
      <c r="K128" s="59"/>
      <c r="L128" s="59"/>
      <c r="M128" s="7"/>
      <c r="N128" s="7"/>
      <c r="O128" s="7"/>
      <c r="P128" s="7"/>
      <c r="Q128" s="7"/>
    </row>
    <row r="129" spans="1:17" ht="12.75">
      <c r="A129" s="7"/>
      <c r="B129" s="7"/>
      <c r="C129" s="7"/>
      <c r="D129" s="7"/>
      <c r="E129" s="7"/>
      <c r="F129" s="7"/>
      <c r="G129" s="7"/>
      <c r="H129" s="7"/>
      <c r="I129" s="7"/>
      <c r="J129" s="59"/>
      <c r="K129" s="59"/>
      <c r="L129" s="59"/>
      <c r="M129" s="7"/>
      <c r="N129" s="7"/>
      <c r="O129" s="7"/>
      <c r="P129" s="7"/>
      <c r="Q129" s="7"/>
    </row>
    <row r="130" spans="1:17" ht="12.75">
      <c r="A130" s="7"/>
      <c r="B130" s="7"/>
      <c r="C130" s="7"/>
      <c r="D130" s="7"/>
      <c r="E130" s="7"/>
      <c r="F130" s="7"/>
      <c r="G130" s="7"/>
      <c r="H130" s="7"/>
      <c r="I130" s="7"/>
      <c r="J130" s="59"/>
      <c r="K130" s="59"/>
      <c r="L130" s="59"/>
      <c r="M130" s="7"/>
      <c r="N130" s="7"/>
      <c r="O130" s="7"/>
      <c r="P130" s="7"/>
      <c r="Q130" s="7"/>
    </row>
    <row r="131" spans="1:17" ht="12.75">
      <c r="A131" s="7"/>
      <c r="B131" s="7"/>
      <c r="C131" s="7"/>
      <c r="D131" s="7"/>
      <c r="E131" s="7"/>
      <c r="F131" s="7"/>
      <c r="G131" s="7"/>
      <c r="H131" s="7"/>
      <c r="I131" s="7"/>
      <c r="J131" s="59"/>
      <c r="K131" s="59"/>
      <c r="L131" s="59"/>
      <c r="M131" s="7"/>
      <c r="N131" s="7"/>
      <c r="O131" s="7"/>
      <c r="P131" s="7"/>
      <c r="Q131" s="7"/>
    </row>
    <row r="132" spans="1:17" ht="12.75">
      <c r="A132" s="7"/>
      <c r="B132" s="7"/>
      <c r="C132" s="7"/>
      <c r="D132" s="7"/>
      <c r="E132" s="7"/>
      <c r="F132" s="7"/>
      <c r="G132" s="7"/>
      <c r="H132" s="7"/>
      <c r="I132" s="7"/>
      <c r="J132" s="59"/>
      <c r="K132" s="59"/>
      <c r="L132" s="59"/>
      <c r="M132" s="7"/>
      <c r="N132" s="7"/>
      <c r="O132" s="7"/>
      <c r="P132" s="7"/>
      <c r="Q132" s="7"/>
    </row>
    <row r="133" spans="1:17" ht="12.75">
      <c r="A133" s="7"/>
      <c r="B133" s="7"/>
      <c r="C133" s="7"/>
      <c r="D133" s="7"/>
      <c r="E133" s="7"/>
      <c r="F133" s="7"/>
      <c r="G133" s="7"/>
      <c r="H133" s="7"/>
      <c r="I133" s="7"/>
      <c r="J133" s="59"/>
      <c r="K133" s="59"/>
      <c r="L133" s="59"/>
      <c r="M133" s="7"/>
      <c r="N133" s="7"/>
      <c r="O133" s="7"/>
      <c r="P133" s="7"/>
      <c r="Q133" s="7"/>
    </row>
    <row r="134" spans="1:17" ht="12.75">
      <c r="A134" s="7"/>
      <c r="B134" s="7"/>
      <c r="C134" s="7"/>
      <c r="D134" s="7"/>
      <c r="E134" s="7"/>
      <c r="F134" s="7"/>
      <c r="G134" s="7"/>
      <c r="H134" s="7"/>
      <c r="I134" s="7"/>
      <c r="J134" s="59"/>
      <c r="K134" s="59"/>
      <c r="L134" s="59"/>
      <c r="M134" s="7"/>
      <c r="N134" s="7"/>
      <c r="O134" s="7"/>
      <c r="P134" s="7"/>
      <c r="Q134" s="7"/>
    </row>
    <row r="135" spans="1:17" ht="12.75">
      <c r="A135" s="7"/>
      <c r="B135" s="7"/>
      <c r="C135" s="7"/>
      <c r="D135" s="7"/>
      <c r="E135" s="7"/>
      <c r="F135" s="7"/>
      <c r="G135" s="7"/>
      <c r="H135" s="7"/>
      <c r="I135" s="7"/>
      <c r="J135" s="59"/>
      <c r="K135" s="59"/>
      <c r="L135" s="59"/>
      <c r="M135" s="7"/>
      <c r="N135" s="7"/>
      <c r="O135" s="7"/>
      <c r="P135" s="7"/>
      <c r="Q135" s="7"/>
    </row>
    <row r="136" spans="1:17" ht="12.75">
      <c r="A136" s="7"/>
      <c r="B136" s="7"/>
      <c r="C136" s="7"/>
      <c r="D136" s="7"/>
      <c r="E136" s="7"/>
      <c r="F136" s="7"/>
      <c r="G136" s="7"/>
      <c r="H136" s="7"/>
      <c r="I136" s="7"/>
      <c r="J136" s="59"/>
      <c r="K136" s="59"/>
      <c r="L136" s="59"/>
      <c r="M136" s="7"/>
      <c r="N136" s="7"/>
      <c r="O136" s="7"/>
      <c r="P136" s="7"/>
      <c r="Q136" s="7"/>
    </row>
    <row r="137" spans="1:17" ht="12.75">
      <c r="A137" s="7"/>
      <c r="B137" s="7"/>
      <c r="C137" s="7"/>
      <c r="D137" s="7"/>
      <c r="E137" s="7"/>
      <c r="F137" s="7"/>
      <c r="G137" s="7"/>
      <c r="H137" s="7"/>
      <c r="I137" s="7"/>
      <c r="J137" s="59"/>
      <c r="K137" s="59"/>
      <c r="L137" s="59"/>
      <c r="M137" s="7"/>
      <c r="N137" s="7"/>
      <c r="O137" s="7"/>
      <c r="P137" s="7"/>
      <c r="Q137" s="7"/>
    </row>
    <row r="138" spans="1:17" ht="12.75">
      <c r="A138" s="7"/>
      <c r="B138" s="7"/>
      <c r="C138" s="7"/>
      <c r="D138" s="7"/>
      <c r="E138" s="7"/>
      <c r="F138" s="7"/>
      <c r="G138" s="7"/>
      <c r="H138" s="7"/>
      <c r="I138" s="7"/>
      <c r="J138" s="59"/>
      <c r="K138" s="59"/>
      <c r="L138" s="59"/>
      <c r="M138" s="7"/>
      <c r="N138" s="7"/>
      <c r="O138" s="7"/>
      <c r="P138" s="7"/>
      <c r="Q138" s="7"/>
    </row>
    <row r="139" spans="1:17" ht="12.75">
      <c r="A139" s="7"/>
      <c r="B139" s="7"/>
      <c r="C139" s="7"/>
      <c r="D139" s="7"/>
      <c r="E139" s="7"/>
      <c r="F139" s="7"/>
      <c r="G139" s="7"/>
      <c r="H139" s="7"/>
      <c r="I139" s="7"/>
      <c r="J139" s="59"/>
      <c r="K139" s="59"/>
      <c r="L139" s="59"/>
      <c r="M139" s="7"/>
      <c r="N139" s="7"/>
      <c r="O139" s="7"/>
      <c r="P139" s="7"/>
      <c r="Q139" s="7"/>
    </row>
    <row r="140" spans="1:17" ht="12.75">
      <c r="A140" s="7"/>
      <c r="B140" s="7"/>
      <c r="C140" s="7"/>
      <c r="D140" s="7"/>
      <c r="E140" s="7"/>
      <c r="F140" s="7"/>
      <c r="G140" s="7"/>
      <c r="H140" s="7"/>
      <c r="I140" s="7"/>
      <c r="J140" s="59"/>
      <c r="K140" s="59"/>
      <c r="L140" s="59"/>
      <c r="M140" s="7"/>
      <c r="N140" s="7"/>
      <c r="O140" s="7"/>
      <c r="P140" s="7"/>
      <c r="Q140" s="7"/>
    </row>
    <row r="141" spans="1:17" ht="12.75">
      <c r="A141" s="7"/>
      <c r="B141" s="7"/>
      <c r="C141" s="7"/>
      <c r="D141" s="7"/>
      <c r="E141" s="7"/>
      <c r="F141" s="7"/>
      <c r="G141" s="7"/>
      <c r="H141" s="7"/>
      <c r="I141" s="7"/>
      <c r="J141" s="59"/>
      <c r="K141" s="59"/>
      <c r="L141" s="59"/>
      <c r="M141" s="7"/>
      <c r="N141" s="7"/>
      <c r="O141" s="7"/>
      <c r="P141" s="7"/>
      <c r="Q141" s="7"/>
    </row>
    <row r="142" spans="1:17" ht="12.75">
      <c r="A142" s="7"/>
      <c r="B142" s="7"/>
      <c r="C142" s="7"/>
      <c r="D142" s="7"/>
      <c r="E142" s="7"/>
      <c r="F142" s="7"/>
      <c r="G142" s="7"/>
      <c r="H142" s="7"/>
      <c r="I142" s="7"/>
      <c r="J142" s="59"/>
      <c r="K142" s="59"/>
      <c r="L142" s="59"/>
      <c r="M142" s="7"/>
      <c r="N142" s="7"/>
      <c r="O142" s="7"/>
      <c r="P142" s="7"/>
      <c r="Q142" s="7"/>
    </row>
    <row r="143" spans="1:17" ht="12.75">
      <c r="A143" s="7"/>
      <c r="B143" s="7"/>
      <c r="C143" s="7"/>
      <c r="D143" s="7"/>
      <c r="E143" s="7"/>
      <c r="F143" s="7"/>
      <c r="G143" s="7"/>
      <c r="H143" s="7"/>
      <c r="I143" s="7"/>
      <c r="J143" s="59"/>
      <c r="K143" s="59"/>
      <c r="L143" s="59"/>
      <c r="M143" s="7"/>
      <c r="N143" s="7"/>
      <c r="O143" s="7"/>
      <c r="P143" s="7"/>
      <c r="Q143" s="7"/>
    </row>
    <row r="144" spans="1:17" ht="12.75">
      <c r="A144" s="7"/>
      <c r="B144" s="7"/>
      <c r="C144" s="7"/>
      <c r="D144" s="7"/>
      <c r="E144" s="7"/>
      <c r="F144" s="7"/>
      <c r="G144" s="7"/>
      <c r="H144" s="7"/>
      <c r="I144" s="7"/>
      <c r="J144" s="59"/>
      <c r="K144" s="59"/>
      <c r="L144" s="59"/>
      <c r="M144" s="7"/>
      <c r="N144" s="7"/>
      <c r="O144" s="7"/>
      <c r="P144" s="7"/>
      <c r="Q144" s="7"/>
    </row>
    <row r="145" spans="1:17" ht="12.75">
      <c r="A145" s="7"/>
      <c r="B145" s="7"/>
      <c r="C145" s="7"/>
      <c r="D145" s="7"/>
      <c r="E145" s="7"/>
      <c r="F145" s="7"/>
      <c r="G145" s="7"/>
      <c r="H145" s="7"/>
      <c r="I145" s="7"/>
      <c r="J145" s="59"/>
      <c r="K145" s="59"/>
      <c r="L145" s="59"/>
      <c r="M145" s="7"/>
      <c r="N145" s="7"/>
      <c r="O145" s="7"/>
      <c r="P145" s="7"/>
      <c r="Q145" s="7"/>
    </row>
    <row r="146" spans="1:17" ht="12.75">
      <c r="A146" s="7"/>
      <c r="B146" s="7"/>
      <c r="C146" s="7"/>
      <c r="D146" s="7"/>
      <c r="E146" s="7"/>
      <c r="F146" s="7"/>
      <c r="G146" s="7"/>
      <c r="H146" s="7"/>
      <c r="I146" s="7"/>
      <c r="J146" s="59"/>
      <c r="K146" s="59"/>
      <c r="L146" s="59"/>
      <c r="M146" s="7"/>
      <c r="N146" s="7"/>
      <c r="O146" s="7"/>
      <c r="P146" s="7"/>
      <c r="Q146" s="7"/>
    </row>
  </sheetData>
  <sheetProtection sheet="1" selectLockedCells="1"/>
  <mergeCells count="5">
    <mergeCell ref="E3:F3"/>
    <mergeCell ref="G3:H3"/>
    <mergeCell ref="E10:F10"/>
    <mergeCell ref="E23:F23"/>
    <mergeCell ref="E48:F48"/>
  </mergeCells>
  <printOptions/>
  <pageMargins left="0.49" right="0.42" top="1" bottom="1" header="0.5" footer="0.5"/>
  <pageSetup fitToHeight="1" fitToWidth="1" horizontalDpi="600" verticalDpi="600" orientation="portrait"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a0192789</dc:creator>
  <cp:keywords/>
  <dc:description/>
  <cp:lastModifiedBy>Temo</cp:lastModifiedBy>
  <cp:lastPrinted>2009-05-21T20:23:27Z</cp:lastPrinted>
  <dcterms:created xsi:type="dcterms:W3CDTF">2009-03-26T20:28:21Z</dcterms:created>
  <dcterms:modified xsi:type="dcterms:W3CDTF">2018-05-14T14:43:20Z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