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workspace\STO2004_V1X_MB\"/>
    </mc:Choice>
  </mc:AlternateContent>
  <xr:revisionPtr revIDLastSave="0" documentId="13_ncr:1_{636C87C6-6893-4890-BC19-78CEB7173DA4}" xr6:coauthVersionLast="45" xr6:coauthVersionMax="45" xr10:uidLastSave="{00000000-0000-0000-0000-000000000000}"/>
  <workbookProtection lockStructure="1"/>
  <bookViews>
    <workbookView xWindow="-120" yWindow="-120" windowWidth="29040" windowHeight="15840" activeTab="1" xr2:uid="{00000000-000D-0000-FFFF-FFFF00000000}"/>
  </bookViews>
  <sheets>
    <sheet name="Design Worksheet" sheetId="3" r:id="rId1"/>
    <sheet name="Pin Detect Programming" sheetId="6" r:id="rId2"/>
    <sheet name="COMP_DECODE" sheetId="5" r:id="rId3"/>
    <sheet name="Pinstrap Reverse Lookup" sheetId="9" state="hidden" r:id="rId4"/>
    <sheet name="Compensation References" sheetId="2" state="hidden" r:id="rId5"/>
    <sheet name="Resistor References" sheetId="8" state="hidden" r:id="rId6"/>
    <sheet name="Resistor Selection" sheetId="7" state="hidden" r:id="rId7"/>
  </sheets>
  <definedNames>
    <definedName name="Cin_cer">'Design Worksheet'!$B$69</definedName>
    <definedName name="Comp_Code">'Design Worksheet'!$B$85</definedName>
    <definedName name="Cout_bulk">'Design Worksheet'!$B$47</definedName>
    <definedName name="Cout_cer">'Design Worksheet'!$B$55</definedName>
    <definedName name="Cout_max">'Design Worksheet'!$B$60</definedName>
    <definedName name="Cout_total">'Design Worksheet'!$B$58</definedName>
    <definedName name="CSA">'Design Worksheet'!$B$74</definedName>
    <definedName name="ESR_bulk">'Design Worksheet'!$B$48</definedName>
    <definedName name="ESR_cer">'Design Worksheet'!$B$56</definedName>
    <definedName name="fcoi_trgt">'Design Worksheet'!$B$77</definedName>
    <definedName name="fcov_trgt">'Design Worksheet'!$B$80</definedName>
    <definedName name="fpi_trgt">'Design Worksheet'!$B$100</definedName>
    <definedName name="fsw">'Design Worksheet'!$B$24</definedName>
    <definedName name="fzi_trgt">'Design Worksheet'!$B$99</definedName>
    <definedName name="GM_PS">'Design Worksheet'!$B$75</definedName>
    <definedName name="ILOOP">'Design Worksheet'!$B$110</definedName>
    <definedName name="ILOOP_trgt">'Design Worksheet'!$B$98</definedName>
    <definedName name="Iout">'Design Worksheet'!$B$17</definedName>
    <definedName name="Iphase">'Design Worksheet'!$B$19</definedName>
    <definedName name="Iripple">'Design Worksheet'!$B$32</definedName>
    <definedName name="Lout">'Design Worksheet'!$B$31</definedName>
    <definedName name="Mod_ratio">'Design Worksheet'!$B$73</definedName>
    <definedName name="Phases">'Design Worksheet'!$B$18</definedName>
    <definedName name="Pvin">'Design Worksheet'!$B$13</definedName>
    <definedName name="VLOOP">'Design Worksheet'!$B$127</definedName>
    <definedName name="VLOOP_trgt">'Design Worksheet'!$B$116</definedName>
    <definedName name="VOSL">'Design Worksheet'!$B$15</definedName>
    <definedName name="Vout">'Design Worksheet'!$B$14</definedName>
    <definedName name="Vref">'Design Worksheet'!$B$16</definedName>
    <definedName name="Zout_fco_trgt">'Design Worksheet'!$B$81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3" l="1"/>
  <c r="B23" i="3"/>
  <c r="B22" i="3"/>
  <c r="B21" i="3"/>
  <c r="B43" i="3"/>
  <c r="A145" i="3" l="1"/>
  <c r="A144" i="3"/>
  <c r="A143" i="3"/>
  <c r="A142" i="3"/>
  <c r="A141" i="3"/>
  <c r="A140" i="3"/>
  <c r="A139" i="3"/>
  <c r="A138" i="3"/>
  <c r="A137" i="3"/>
  <c r="B87" i="3"/>
  <c r="B86" i="3"/>
  <c r="L8" i="6"/>
  <c r="L6" i="6"/>
  <c r="B118" i="3" l="1"/>
  <c r="B51" i="3" l="1"/>
  <c r="B31" i="3" l="1"/>
  <c r="B52" i="3"/>
  <c r="B44" i="3"/>
  <c r="C2" i="6"/>
  <c r="L3" i="6" l="1"/>
  <c r="L10" i="6"/>
  <c r="L11" i="6"/>
  <c r="L7" i="6"/>
  <c r="O3" i="8"/>
  <c r="AH32" i="8"/>
  <c r="AH31" i="8"/>
  <c r="AH30" i="8"/>
  <c r="AH29" i="8"/>
  <c r="AH28" i="8"/>
  <c r="AH27" i="8"/>
  <c r="Z27" i="8"/>
  <c r="AH26" i="8"/>
  <c r="AH25" i="8"/>
  <c r="AH24" i="8"/>
  <c r="AH23" i="8"/>
  <c r="AH22" i="8"/>
  <c r="AH21" i="8"/>
  <c r="AH20" i="8"/>
  <c r="AH19" i="8"/>
  <c r="AH18" i="8"/>
  <c r="AH17" i="8"/>
  <c r="AH16" i="8"/>
  <c r="AH15" i="8"/>
  <c r="AH14" i="8"/>
  <c r="AH13" i="8"/>
  <c r="AH12" i="8"/>
  <c r="AH11" i="8"/>
  <c r="AB11" i="8"/>
  <c r="AH10" i="8"/>
  <c r="AB10" i="8"/>
  <c r="K10" i="8"/>
  <c r="AH9" i="8"/>
  <c r="AB9" i="8"/>
  <c r="K9" i="8"/>
  <c r="I9" i="8"/>
  <c r="AM11" i="8" s="1"/>
  <c r="AH8" i="8"/>
  <c r="AB8" i="8"/>
  <c r="K8" i="8"/>
  <c r="I8" i="8"/>
  <c r="I12" i="8" s="1"/>
  <c r="AM14" i="8" s="1"/>
  <c r="AM7" i="8"/>
  <c r="AH7" i="8"/>
  <c r="AB7" i="8"/>
  <c r="K7" i="8"/>
  <c r="I7" i="8"/>
  <c r="AM9" i="8" s="1"/>
  <c r="AM6" i="8"/>
  <c r="AH6" i="8"/>
  <c r="AB6" i="8"/>
  <c r="K6" i="8"/>
  <c r="I6" i="8"/>
  <c r="I10" i="8" s="1"/>
  <c r="I14" i="8" s="1"/>
  <c r="AM16" i="8" s="1"/>
  <c r="AM5" i="8"/>
  <c r="AL5" i="8"/>
  <c r="AL6" i="8" s="1"/>
  <c r="AL7" i="8" s="1"/>
  <c r="AL8" i="8" s="1"/>
  <c r="AL9" i="8" s="1"/>
  <c r="AL10" i="8" s="1"/>
  <c r="AL11" i="8" s="1"/>
  <c r="AL12" i="8" s="1"/>
  <c r="AL13" i="8" s="1"/>
  <c r="AL14" i="8" s="1"/>
  <c r="AL15" i="8" s="1"/>
  <c r="AL16" i="8" s="1"/>
  <c r="AL17" i="8" s="1"/>
  <c r="AL18" i="8" s="1"/>
  <c r="AL19" i="8" s="1"/>
  <c r="AH5" i="8"/>
  <c r="AE5" i="8"/>
  <c r="AE6" i="8" s="1"/>
  <c r="AE7" i="8" s="1"/>
  <c r="AE8" i="8" s="1"/>
  <c r="AE9" i="8" s="1"/>
  <c r="AC5" i="8"/>
  <c r="AC6" i="8" s="1"/>
  <c r="AC7" i="8" s="1"/>
  <c r="AC8" i="8" s="1"/>
  <c r="AC9" i="8" s="1"/>
  <c r="AC10" i="8" s="1"/>
  <c r="AC11" i="8" s="1"/>
  <c r="AB5" i="8"/>
  <c r="T5" i="8"/>
  <c r="T6" i="8" s="1"/>
  <c r="T7" i="8" s="1"/>
  <c r="T8" i="8" s="1"/>
  <c r="T9" i="8" s="1"/>
  <c r="T10" i="8" s="1"/>
  <c r="T11" i="8" s="1"/>
  <c r="T12" i="8" s="1"/>
  <c r="T13" i="8" s="1"/>
  <c r="T14" i="8" s="1"/>
  <c r="K5" i="8"/>
  <c r="G5" i="8"/>
  <c r="G6" i="8" s="1"/>
  <c r="AM4" i="8"/>
  <c r="AI4" i="8"/>
  <c r="AI5" i="8" s="1"/>
  <c r="AI6" i="8" s="1"/>
  <c r="AI7" i="8" s="1"/>
  <c r="AI8" i="8" s="1"/>
  <c r="AI9" i="8" s="1"/>
  <c r="AI10" i="8" s="1"/>
  <c r="AI11" i="8" s="1"/>
  <c r="AI12" i="8" s="1"/>
  <c r="AI13" i="8" s="1"/>
  <c r="AI14" i="8" s="1"/>
  <c r="AI15" i="8" s="1"/>
  <c r="AI16" i="8" s="1"/>
  <c r="AI17" i="8" s="1"/>
  <c r="AI18" i="8" s="1"/>
  <c r="AI19" i="8" s="1"/>
  <c r="AI20" i="8" s="1"/>
  <c r="AI21" i="8" s="1"/>
  <c r="AI22" i="8" s="1"/>
  <c r="AI23" i="8" s="1"/>
  <c r="AI24" i="8" s="1"/>
  <c r="AI25" i="8" s="1"/>
  <c r="AI26" i="8" s="1"/>
  <c r="AI27" i="8" s="1"/>
  <c r="AI28" i="8" s="1"/>
  <c r="AI29" i="8" s="1"/>
  <c r="AI30" i="8" s="1"/>
  <c r="AI31" i="8" s="1"/>
  <c r="AI32" i="8" s="1"/>
  <c r="AH4" i="8"/>
  <c r="AB4" i="8"/>
  <c r="O4" i="8"/>
  <c r="G24" i="6" s="1"/>
  <c r="K4" i="8"/>
  <c r="H4" i="8"/>
  <c r="H5" i="8" s="1"/>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AH3" i="8"/>
  <c r="AB3" i="8"/>
  <c r="G13" i="6" s="1"/>
  <c r="AA3" i="8"/>
  <c r="AA4" i="8" s="1"/>
  <c r="Z3" i="8"/>
  <c r="Y3" i="8"/>
  <c r="R3" i="8"/>
  <c r="R4" i="8" s="1"/>
  <c r="R5" i="8" s="1"/>
  <c r="R6" i="8" s="1"/>
  <c r="P3" i="8"/>
  <c r="P4" i="8" s="1"/>
  <c r="P5" i="8" s="1"/>
  <c r="P6" i="8" s="1"/>
  <c r="N3" i="8"/>
  <c r="N4" i="8" s="1"/>
  <c r="N5" i="8" s="1"/>
  <c r="L3" i="8"/>
  <c r="L4" i="8" s="1"/>
  <c r="L5" i="8" s="1"/>
  <c r="L6" i="8" s="1"/>
  <c r="L7" i="8" s="1"/>
  <c r="L8" i="8" s="1"/>
  <c r="L9" i="8" s="1"/>
  <c r="L10" i="8" s="1"/>
  <c r="K3" i="8"/>
  <c r="J3" i="8"/>
  <c r="J4" i="8" s="1"/>
  <c r="J5" i="8" s="1"/>
  <c r="J6" i="8" s="1"/>
  <c r="J7" i="8" s="1"/>
  <c r="J8" i="8" s="1"/>
  <c r="J9" i="8" s="1"/>
  <c r="J10" i="8" s="1"/>
  <c r="J11" i="8" s="1"/>
  <c r="J12" i="8" s="1"/>
  <c r="J13" i="8" s="1"/>
  <c r="J14" i="8" s="1"/>
  <c r="J15" i="8" s="1"/>
  <c r="J16" i="8" s="1"/>
  <c r="J17" i="8" s="1"/>
  <c r="F3" i="8"/>
  <c r="F4" i="8" s="1"/>
  <c r="F5" i="8" s="1"/>
  <c r="F6" i="8" s="1"/>
  <c r="F7" i="8" s="1"/>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AJ2" i="8"/>
  <c r="AM20" i="7"/>
  <c r="AM19" i="7"/>
  <c r="AM18" i="7"/>
  <c r="AM17" i="7"/>
  <c r="AM16" i="7"/>
  <c r="AM15" i="7"/>
  <c r="AM14" i="7"/>
  <c r="AM13" i="7"/>
  <c r="D13" i="7"/>
  <c r="E13" i="7" s="1"/>
  <c r="F13" i="7" s="1"/>
  <c r="G13" i="7" s="1"/>
  <c r="H13" i="7" s="1"/>
  <c r="I13" i="7" s="1"/>
  <c r="J13" i="7" s="1"/>
  <c r="K13" i="7" s="1"/>
  <c r="L13" i="7" s="1"/>
  <c r="M13" i="7" s="1"/>
  <c r="N13" i="7" s="1"/>
  <c r="O13" i="7" s="1"/>
  <c r="P13" i="7" s="1"/>
  <c r="Q13" i="7" s="1"/>
  <c r="R13" i="7" s="1"/>
  <c r="AM12" i="7"/>
  <c r="AM11" i="7"/>
  <c r="AM10" i="7"/>
  <c r="AM9" i="7"/>
  <c r="AM8" i="7"/>
  <c r="AM7" i="7"/>
  <c r="AM6" i="7"/>
  <c r="AJ6" i="7"/>
  <c r="AL6" i="7" s="1"/>
  <c r="AQ5" i="7"/>
  <c r="AM5" i="7"/>
  <c r="F3" i="9" s="1"/>
  <c r="AL5" i="7"/>
  <c r="AK5" i="7"/>
  <c r="AQ4" i="7"/>
  <c r="E3" i="9" s="1"/>
  <c r="AQ3" i="7"/>
  <c r="A52" i="6"/>
  <c r="A51" i="6"/>
  <c r="A50" i="6"/>
  <c r="A49" i="6"/>
  <c r="I45" i="6"/>
  <c r="A45" i="6"/>
  <c r="A41" i="6"/>
  <c r="A40" i="6"/>
  <c r="A39" i="6"/>
  <c r="A38" i="6"/>
  <c r="I34" i="6"/>
  <c r="A34" i="6"/>
  <c r="A30" i="6"/>
  <c r="A29" i="6"/>
  <c r="A28" i="6"/>
  <c r="A27" i="6"/>
  <c r="G23" i="6"/>
  <c r="F23" i="6"/>
  <c r="A23" i="6"/>
  <c r="A19" i="6"/>
  <c r="A18" i="6"/>
  <c r="A17" i="6"/>
  <c r="A16" i="6"/>
  <c r="B13" i="6"/>
  <c r="E12" i="6"/>
  <c r="C11" i="6"/>
  <c r="I9" i="6"/>
  <c r="E9" i="6"/>
  <c r="D18" i="6" s="1"/>
  <c r="E8" i="6"/>
  <c r="G4" i="6"/>
  <c r="F4" i="6"/>
  <c r="N6" i="8" l="1"/>
  <c r="N7" i="8" s="1"/>
  <c r="N8" i="8" s="1"/>
  <c r="N9" i="8" s="1"/>
  <c r="N10" i="8" s="1"/>
  <c r="E6" i="6"/>
  <c r="AE10" i="8"/>
  <c r="AE11" i="8" s="1"/>
  <c r="E34" i="6" s="1"/>
  <c r="E45" i="6"/>
  <c r="G7" i="8"/>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E4" i="6"/>
  <c r="AM8" i="8"/>
  <c r="E5" i="6"/>
  <c r="I4" i="6"/>
  <c r="F13" i="6"/>
  <c r="I12" i="6" s="1"/>
  <c r="C19" i="6" s="1"/>
  <c r="F19" i="6" s="1"/>
  <c r="E13" i="6"/>
  <c r="D19" i="6" s="1"/>
  <c r="G19" i="6" s="1"/>
  <c r="F24" i="6"/>
  <c r="E23" i="6" s="1"/>
  <c r="G7" i="6"/>
  <c r="F7" i="6"/>
  <c r="O5" i="8"/>
  <c r="O6" i="8"/>
  <c r="Z4" i="8"/>
  <c r="AA5" i="8"/>
  <c r="E5" i="9"/>
  <c r="AO5" i="7" s="1"/>
  <c r="E11" i="9"/>
  <c r="E10" i="9"/>
  <c r="AQ6" i="7"/>
  <c r="E6" i="9" s="1"/>
  <c r="AJ7" i="7"/>
  <c r="Y4" i="8"/>
  <c r="X3" i="8"/>
  <c r="AK6" i="7"/>
  <c r="I13" i="8"/>
  <c r="I16" i="8"/>
  <c r="AM18" i="8" s="1"/>
  <c r="I11" i="8"/>
  <c r="AM12" i="8"/>
  <c r="AM10" i="8"/>
  <c r="E46" i="6" l="1"/>
  <c r="D50" i="6" s="1"/>
  <c r="G50" i="6" s="1"/>
  <c r="C16" i="6"/>
  <c r="F16" i="6" s="1"/>
  <c r="D16" i="6"/>
  <c r="C50" i="6"/>
  <c r="F50" i="6" s="1"/>
  <c r="I6" i="6"/>
  <c r="D17" i="6" s="1"/>
  <c r="E35" i="6"/>
  <c r="E24" i="6"/>
  <c r="E7" i="6"/>
  <c r="I23" i="6"/>
  <c r="AP6" i="7"/>
  <c r="AP5" i="7"/>
  <c r="Y5" i="8"/>
  <c r="X4" i="8"/>
  <c r="AO6" i="7"/>
  <c r="I17" i="8"/>
  <c r="AM19" i="8" s="1"/>
  <c r="AM15" i="8"/>
  <c r="AO7" i="7"/>
  <c r="AK7" i="7"/>
  <c r="AJ8" i="7"/>
  <c r="AQ7" i="7"/>
  <c r="AL7" i="7"/>
  <c r="AP7" i="7"/>
  <c r="AA6" i="8"/>
  <c r="Z5" i="8"/>
  <c r="AM13" i="8"/>
  <c r="I15" i="8"/>
  <c r="AM17" i="8" s="1"/>
  <c r="G16" i="6" l="1"/>
  <c r="C28" i="6"/>
  <c r="F28" i="6" s="1"/>
  <c r="C17" i="6"/>
  <c r="F17" i="6" s="1"/>
  <c r="C39" i="6"/>
  <c r="F39" i="6" s="1"/>
  <c r="D39" i="6"/>
  <c r="G39" i="6" s="1"/>
  <c r="D28" i="6"/>
  <c r="G28" i="6" s="1"/>
  <c r="Y6" i="8"/>
  <c r="X5" i="8"/>
  <c r="AA7" i="8"/>
  <c r="Z6" i="8"/>
  <c r="AO8" i="7"/>
  <c r="AK8" i="7"/>
  <c r="AJ9" i="7"/>
  <c r="AQ8" i="7"/>
  <c r="AP8" i="7"/>
  <c r="AL8" i="7"/>
  <c r="F6" i="9"/>
  <c r="G17" i="6" l="1"/>
  <c r="F5" i="9"/>
  <c r="Y7" i="8"/>
  <c r="X6" i="8"/>
  <c r="AO9" i="7"/>
  <c r="AK9" i="7"/>
  <c r="AJ10" i="7"/>
  <c r="AQ9" i="7"/>
  <c r="AP9" i="7"/>
  <c r="AL9" i="7"/>
  <c r="AA8" i="8"/>
  <c r="Z7" i="8"/>
  <c r="AA9" i="8" l="1"/>
  <c r="Z8" i="8"/>
  <c r="AJ11" i="7"/>
  <c r="AO10" i="7"/>
  <c r="AK10" i="7"/>
  <c r="AQ10" i="7"/>
  <c r="AP10" i="7"/>
  <c r="AL10" i="7"/>
  <c r="Y8" i="8"/>
  <c r="X7" i="8"/>
  <c r="AJ12" i="7" l="1"/>
  <c r="AQ11" i="7"/>
  <c r="AL11" i="7"/>
  <c r="AP11" i="7"/>
  <c r="AK11" i="7"/>
  <c r="AO11" i="7"/>
  <c r="Y9" i="8"/>
  <c r="X8" i="8"/>
  <c r="AA10" i="8"/>
  <c r="Z9" i="8"/>
  <c r="Y10" i="8" l="1"/>
  <c r="X9" i="8"/>
  <c r="AA11" i="8"/>
  <c r="Z10" i="8"/>
  <c r="AJ13" i="7"/>
  <c r="AQ12" i="7"/>
  <c r="AO12" i="7"/>
  <c r="AL12" i="7"/>
  <c r="AP12" i="7"/>
  <c r="AK12" i="7"/>
  <c r="Z11" i="8" l="1"/>
  <c r="AA12" i="8"/>
  <c r="AJ14" i="7"/>
  <c r="AO13" i="7"/>
  <c r="AK13" i="7"/>
  <c r="AL13" i="7"/>
  <c r="AQ13" i="7"/>
  <c r="AP13" i="7"/>
  <c r="X10" i="8"/>
  <c r="Y11" i="8"/>
  <c r="Y12" i="8" l="1"/>
  <c r="X11" i="8"/>
  <c r="AJ15" i="7"/>
  <c r="AO14" i="7"/>
  <c r="AK14" i="7"/>
  <c r="AL14" i="7"/>
  <c r="AQ14" i="7"/>
  <c r="AP14" i="7"/>
  <c r="AA13" i="8"/>
  <c r="Z12" i="8"/>
  <c r="AJ16" i="7" l="1"/>
  <c r="AO15" i="7"/>
  <c r="AK15" i="7"/>
  <c r="AL15" i="7"/>
  <c r="AQ15" i="7"/>
  <c r="AP15" i="7"/>
  <c r="AA14" i="8"/>
  <c r="Z13" i="8"/>
  <c r="X12" i="8"/>
  <c r="Y13" i="8"/>
  <c r="Z14" i="8" l="1"/>
  <c r="AA15" i="8"/>
  <c r="Y14" i="8"/>
  <c r="X13" i="8"/>
  <c r="AJ17" i="7"/>
  <c r="AO16" i="7"/>
  <c r="AK16" i="7"/>
  <c r="AL16" i="7"/>
  <c r="AQ16" i="7"/>
  <c r="AP16" i="7"/>
  <c r="Y15" i="8" l="1"/>
  <c r="X14" i="8"/>
  <c r="AA16" i="8"/>
  <c r="Z15" i="8"/>
  <c r="AJ18" i="7"/>
  <c r="AO17" i="7"/>
  <c r="AK17" i="7"/>
  <c r="AL17" i="7"/>
  <c r="AQ17" i="7"/>
  <c r="AP17" i="7"/>
  <c r="AA17" i="8" l="1"/>
  <c r="Z16" i="8"/>
  <c r="AJ19" i="7"/>
  <c r="AO18" i="7"/>
  <c r="AK18" i="7"/>
  <c r="AL18" i="7"/>
  <c r="AQ18" i="7"/>
  <c r="AP18" i="7"/>
  <c r="X15" i="8"/>
  <c r="Y16" i="8"/>
  <c r="X16" i="8" l="1"/>
  <c r="Y17" i="8"/>
  <c r="AJ20" i="7"/>
  <c r="AO19" i="7"/>
  <c r="AK19" i="7"/>
  <c r="AL19" i="7"/>
  <c r="AQ19" i="7"/>
  <c r="AP19" i="7"/>
  <c r="AA18" i="8"/>
  <c r="Z17" i="8"/>
  <c r="AJ21" i="7" l="1"/>
  <c r="AO20" i="7"/>
  <c r="AK20" i="7"/>
  <c r="AL20" i="7"/>
  <c r="AQ20" i="7"/>
  <c r="E4" i="9" s="1"/>
  <c r="AN20" i="7" s="1"/>
  <c r="AP20" i="7"/>
  <c r="AA19" i="8"/>
  <c r="Z18" i="8"/>
  <c r="Y18" i="8"/>
  <c r="X17" i="8"/>
  <c r="Z19" i="8" l="1"/>
  <c r="AA20" i="8"/>
  <c r="X18" i="8"/>
  <c r="E10" i="6" s="1"/>
  <c r="C18" i="6" s="1"/>
  <c r="AN5" i="7"/>
  <c r="AN6" i="7"/>
  <c r="AN7" i="7"/>
  <c r="AN8" i="7"/>
  <c r="AN9" i="7"/>
  <c r="AN10" i="7"/>
  <c r="AN11" i="7"/>
  <c r="AN12" i="7"/>
  <c r="AN13" i="7"/>
  <c r="AN14" i="7"/>
  <c r="AN15" i="7"/>
  <c r="AN16" i="7"/>
  <c r="AN17" i="7"/>
  <c r="AN18" i="7"/>
  <c r="AN19" i="7"/>
  <c r="AK21" i="7"/>
  <c r="AJ22" i="7"/>
  <c r="AQ21" i="7"/>
  <c r="F18" i="6" l="1"/>
  <c r="G18" i="6"/>
  <c r="AA21" i="8"/>
  <c r="Z20" i="8"/>
  <c r="AK22" i="7"/>
  <c r="AQ22" i="7"/>
  <c r="AJ23" i="7"/>
  <c r="F4" i="9"/>
  <c r="AQ23" i="7" l="1"/>
  <c r="AK23" i="7"/>
  <c r="AJ24" i="7"/>
  <c r="AA22" i="8"/>
  <c r="Z21" i="8"/>
  <c r="AA23" i="8" l="1"/>
  <c r="Z22" i="8"/>
  <c r="AJ25" i="7"/>
  <c r="AQ24" i="7"/>
  <c r="AK24" i="7"/>
  <c r="AJ26" i="7" l="1"/>
  <c r="AK25" i="7"/>
  <c r="AQ25" i="7"/>
  <c r="AA24" i="8"/>
  <c r="Z23" i="8"/>
  <c r="AA25" i="8" l="1"/>
  <c r="Z24" i="8"/>
  <c r="AK26" i="7"/>
  <c r="AQ26" i="7"/>
  <c r="AJ27" i="7"/>
  <c r="AJ28" i="7" l="1"/>
  <c r="AQ27" i="7"/>
  <c r="AK27" i="7"/>
  <c r="AA26" i="8"/>
  <c r="Z25" i="8"/>
  <c r="AA27" i="8" l="1"/>
  <c r="AA28" i="8" s="1"/>
  <c r="Z26" i="8"/>
  <c r="AJ29" i="7"/>
  <c r="AK28" i="7"/>
  <c r="AQ28" i="7"/>
  <c r="AK29" i="7" l="1"/>
  <c r="AQ29" i="7"/>
  <c r="AJ30" i="7"/>
  <c r="AA29" i="8"/>
  <c r="Z28" i="8"/>
  <c r="AA30" i="8" l="1"/>
  <c r="Z29" i="8"/>
  <c r="AQ30" i="7"/>
  <c r="AJ31" i="7"/>
  <c r="AK30" i="7"/>
  <c r="AJ32" i="7" l="1"/>
  <c r="AK31" i="7"/>
  <c r="AQ31" i="7"/>
  <c r="AA31" i="8"/>
  <c r="Z30" i="8"/>
  <c r="AA32" i="8" l="1"/>
  <c r="Z32" i="8" s="1"/>
  <c r="Z31" i="8"/>
  <c r="AJ33" i="7"/>
  <c r="AQ32" i="7"/>
  <c r="AK32" i="7"/>
  <c r="AK33" i="7" l="1"/>
  <c r="AQ33" i="7"/>
  <c r="AJ34" i="7"/>
  <c r="AQ34" i="7" l="1"/>
  <c r="AJ35" i="7"/>
  <c r="AK34" i="7"/>
  <c r="AJ36" i="7" l="1"/>
  <c r="AK35" i="7"/>
  <c r="AQ35" i="7"/>
  <c r="AQ36" i="7" l="1"/>
  <c r="AK36" i="7"/>
  <c r="B128" i="3" l="1"/>
  <c r="B110" i="3"/>
  <c r="B80" i="3"/>
  <c r="B77" i="3"/>
  <c r="B78" i="3" l="1"/>
  <c r="B33" i="3"/>
  <c r="B100" i="3"/>
  <c r="B108" i="3" s="1"/>
  <c r="B99" i="3"/>
  <c r="B105" i="3" s="1"/>
  <c r="B67" i="3"/>
  <c r="B40" i="3"/>
  <c r="B39" i="3"/>
  <c r="B26" i="3"/>
  <c r="B28" i="3" s="1"/>
  <c r="B19" i="3"/>
  <c r="L9" i="6" s="1"/>
  <c r="B71" i="3"/>
  <c r="E13" i="3"/>
  <c r="B16" i="3"/>
  <c r="F10" i="3"/>
  <c r="E10" i="3"/>
  <c r="B27" i="3" l="1"/>
  <c r="B70" i="3"/>
  <c r="B68" i="3"/>
  <c r="B32" i="3"/>
  <c r="B36" i="3" s="1"/>
  <c r="B12" i="3"/>
  <c r="C4" i="2"/>
  <c r="C3" i="2"/>
  <c r="B74" i="3"/>
  <c r="B75" i="3" l="1"/>
  <c r="B98" i="3"/>
  <c r="B88" i="3" s="1"/>
  <c r="B38" i="3"/>
  <c r="B35" i="3"/>
  <c r="B34" i="3"/>
  <c r="L34" i="5"/>
  <c r="I34" i="5" s="1"/>
  <c r="L18" i="5"/>
  <c r="I18" i="5" s="1"/>
  <c r="B34" i="5" l="1"/>
  <c r="D34" i="5"/>
  <c r="F34" i="5"/>
  <c r="H34" i="5"/>
  <c r="J34" i="5"/>
  <c r="B18" i="5"/>
  <c r="D18" i="5"/>
  <c r="F18" i="5"/>
  <c r="H18" i="5"/>
  <c r="J18" i="5"/>
  <c r="A34" i="5"/>
  <c r="C34" i="5"/>
  <c r="E34" i="5"/>
  <c r="G34" i="5"/>
  <c r="A18" i="5"/>
  <c r="C18" i="5"/>
  <c r="E18" i="5"/>
  <c r="G18" i="5"/>
  <c r="B103" i="3"/>
  <c r="L4" i="6"/>
  <c r="B113" i="3"/>
  <c r="N2" i="2"/>
  <c r="B129" i="3" l="1"/>
  <c r="B127" i="3"/>
  <c r="B112" i="3"/>
  <c r="B111" i="3"/>
  <c r="J36" i="5" l="1"/>
  <c r="I36" i="5"/>
  <c r="H36" i="5"/>
  <c r="G36" i="5"/>
  <c r="F36" i="5"/>
  <c r="E36" i="5"/>
  <c r="D36" i="5"/>
  <c r="C36" i="5"/>
  <c r="B36" i="5"/>
  <c r="A36" i="5"/>
  <c r="J35" i="5"/>
  <c r="I35" i="5"/>
  <c r="H35" i="5"/>
  <c r="G35" i="5"/>
  <c r="F35" i="5"/>
  <c r="E35" i="5"/>
  <c r="D35" i="5"/>
  <c r="C35" i="5"/>
  <c r="B35" i="5"/>
  <c r="B39" i="5" s="1"/>
  <c r="C39" i="5" s="1"/>
  <c r="A35" i="5"/>
  <c r="B38" i="5" s="1"/>
  <c r="C38" i="5" s="1"/>
  <c r="B46" i="5" l="1"/>
  <c r="C46" i="5" s="1"/>
  <c r="B45" i="5"/>
  <c r="C45" i="5" s="1"/>
  <c r="B43" i="5"/>
  <c r="C43" i="5" s="1"/>
  <c r="F43" i="5" s="1"/>
  <c r="B42" i="5"/>
  <c r="B44" i="5"/>
  <c r="B41" i="5"/>
  <c r="C41" i="5" s="1"/>
  <c r="F41" i="5" s="1"/>
  <c r="B40" i="5"/>
  <c r="C40" i="5" s="1"/>
  <c r="F38" i="5" s="1"/>
  <c r="F45" i="5" l="1"/>
  <c r="F39" i="5"/>
  <c r="J20" i="5" l="1"/>
  <c r="I20" i="5"/>
  <c r="H20" i="5"/>
  <c r="G20" i="5"/>
  <c r="F20" i="5"/>
  <c r="E20" i="5"/>
  <c r="D20" i="5"/>
  <c r="C20" i="5"/>
  <c r="B20" i="5"/>
  <c r="A20" i="5"/>
  <c r="J19" i="5"/>
  <c r="B30" i="5" s="1"/>
  <c r="C30" i="5" s="1"/>
  <c r="I19" i="5"/>
  <c r="H19" i="5"/>
  <c r="G19" i="5"/>
  <c r="F19" i="5"/>
  <c r="E19" i="5"/>
  <c r="D19" i="5"/>
  <c r="C19" i="5"/>
  <c r="B19" i="5"/>
  <c r="B23" i="5" s="1"/>
  <c r="C23" i="5" s="1"/>
  <c r="A19" i="5"/>
  <c r="B22" i="5" s="1"/>
  <c r="C22" i="5" s="1"/>
  <c r="B29" i="5" l="1"/>
  <c r="C29" i="5" s="1"/>
  <c r="B26" i="5"/>
  <c r="B27" i="5"/>
  <c r="C27" i="5" s="1"/>
  <c r="F27" i="5" s="1"/>
  <c r="B25" i="5"/>
  <c r="C25" i="5" s="1"/>
  <c r="F25" i="5" s="1"/>
  <c r="B24" i="5"/>
  <c r="C24" i="5" s="1"/>
  <c r="B28" i="5"/>
  <c r="F23" i="5" l="1"/>
  <c r="F29" i="5"/>
  <c r="F22" i="5"/>
  <c r="M3" i="2" l="1"/>
  <c r="M2" i="2"/>
  <c r="B139" i="3" l="1"/>
  <c r="O2" i="2" l="1"/>
  <c r="B125" i="3"/>
  <c r="B56" i="3" l="1"/>
  <c r="B55" i="3"/>
  <c r="B48" i="3"/>
  <c r="B47" i="3"/>
  <c r="B60" i="3" l="1"/>
  <c r="B61" i="3" s="1"/>
  <c r="B58" i="3"/>
  <c r="B63" i="3"/>
  <c r="B64" i="3" s="1"/>
  <c r="B65" i="3"/>
  <c r="R7" i="2" l="1"/>
  <c r="R8" i="2"/>
  <c r="R9" i="2"/>
  <c r="R11" i="2"/>
  <c r="R15" i="2" s="1"/>
  <c r="R12" i="2"/>
  <c r="R16" i="2" s="1"/>
  <c r="R13" i="2"/>
  <c r="R17" i="2" s="1"/>
  <c r="R6" i="2"/>
  <c r="R10" i="2" s="1"/>
  <c r="R14" i="2" s="1"/>
  <c r="P4" i="2" l="1"/>
  <c r="P3" i="2"/>
  <c r="B142" i="3" s="1"/>
  <c r="K3" i="2"/>
  <c r="J3" i="2"/>
  <c r="J4" i="2" s="1"/>
  <c r="H3" i="2"/>
  <c r="H4" i="2" s="1"/>
  <c r="H5" i="2" s="1"/>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G3" i="2"/>
  <c r="O3" i="2" s="1"/>
  <c r="I3" i="2"/>
  <c r="F3" i="2"/>
  <c r="N4" i="2" l="1"/>
  <c r="J5" i="2"/>
  <c r="G4" i="2"/>
  <c r="F4" i="2"/>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C42" i="5"/>
  <c r="F40" i="5" s="1"/>
  <c r="C26" i="5"/>
  <c r="F24" i="5" s="1"/>
  <c r="B145" i="3"/>
  <c r="N3" i="2"/>
  <c r="C44" i="5"/>
  <c r="C28" i="5"/>
  <c r="K4" i="2"/>
  <c r="K5" i="2" s="1"/>
  <c r="K6" i="2" s="1"/>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P5" i="2"/>
  <c r="P6" i="2" s="1"/>
  <c r="P7" i="2" s="1"/>
  <c r="P8" i="2" s="1"/>
  <c r="P9" i="2" s="1"/>
  <c r="P10" i="2" s="1"/>
  <c r="P11" i="2" s="1"/>
  <c r="P12" i="2" s="1"/>
  <c r="P13" i="2" s="1"/>
  <c r="P14" i="2" s="1"/>
  <c r="P15" i="2" s="1"/>
  <c r="P16" i="2" s="1"/>
  <c r="P17" i="2" s="1"/>
  <c r="P18" i="2" s="1"/>
  <c r="P19" i="2" s="1"/>
  <c r="P20" i="2" s="1"/>
  <c r="P21" i="2" s="1"/>
  <c r="P22" i="2" s="1"/>
  <c r="P23" i="2" s="1"/>
  <c r="P24" i="2" s="1"/>
  <c r="P25" i="2" s="1"/>
  <c r="P26" i="2" s="1"/>
  <c r="P27" i="2" s="1"/>
  <c r="P28" i="2" s="1"/>
  <c r="P29" i="2" s="1"/>
  <c r="P30" i="2" s="1"/>
  <c r="P31" i="2" s="1"/>
  <c r="P32" i="2" s="1"/>
  <c r="P33" i="2" s="1"/>
  <c r="P34" i="2" s="1"/>
  <c r="P35" i="2" s="1"/>
  <c r="P36" i="2" s="1"/>
  <c r="P37" i="2" s="1"/>
  <c r="P38" i="2" s="1"/>
  <c r="P39" i="2" s="1"/>
  <c r="P40" i="2" s="1"/>
  <c r="P41" i="2" s="1"/>
  <c r="P42" i="2" s="1"/>
  <c r="P43" i="2" s="1"/>
  <c r="P44" i="2" s="1"/>
  <c r="P45" i="2" s="1"/>
  <c r="P46" i="2" s="1"/>
  <c r="P47" i="2" s="1"/>
  <c r="P48" i="2" s="1"/>
  <c r="P49" i="2" s="1"/>
  <c r="P50" i="2" s="1"/>
  <c r="P51" i="2" s="1"/>
  <c r="P52" i="2" s="1"/>
  <c r="P53" i="2" s="1"/>
  <c r="P54" i="2" s="1"/>
  <c r="P55" i="2" s="1"/>
  <c r="P56" i="2" s="1"/>
  <c r="P57" i="2" s="1"/>
  <c r="P58" i="2" s="1"/>
  <c r="P59" i="2" s="1"/>
  <c r="P60" i="2" s="1"/>
  <c r="P61" i="2" s="1"/>
  <c r="P62" i="2" s="1"/>
  <c r="P63" i="2" s="1"/>
  <c r="P64" i="2" s="1"/>
  <c r="P65" i="2" s="1"/>
  <c r="B137" i="3"/>
  <c r="B81" i="3"/>
  <c r="B115" i="3" s="1"/>
  <c r="B117" i="3" s="1"/>
  <c r="F30" i="5" l="1"/>
  <c r="F28" i="5"/>
  <c r="B138" i="3"/>
  <c r="O4" i="2"/>
  <c r="G5" i="2"/>
  <c r="N5" i="2"/>
  <c r="J6" i="2"/>
  <c r="B141" i="3"/>
  <c r="F44" i="5"/>
  <c r="F46" i="5"/>
  <c r="B143" i="3"/>
  <c r="B116" i="3"/>
  <c r="B89" i="3" s="1"/>
  <c r="B90" i="3" s="1"/>
  <c r="N6" i="2" l="1"/>
  <c r="J7" i="2"/>
  <c r="G6" i="2"/>
  <c r="O5" i="2"/>
  <c r="B123" i="3"/>
  <c r="B91" i="3"/>
  <c r="B92" i="3" s="1"/>
  <c r="B93" i="3" s="1"/>
  <c r="I96" i="3"/>
  <c r="I108" i="3"/>
  <c r="I109" i="3"/>
  <c r="I99" i="3"/>
  <c r="I111" i="3"/>
  <c r="I88" i="3"/>
  <c r="I100" i="3"/>
  <c r="I112" i="3"/>
  <c r="I97" i="3"/>
  <c r="L5" i="6"/>
  <c r="I98" i="3"/>
  <c r="I110" i="3"/>
  <c r="I89" i="3"/>
  <c r="I101" i="3"/>
  <c r="I113" i="3"/>
  <c r="I90" i="3"/>
  <c r="I102" i="3"/>
  <c r="I114" i="3"/>
  <c r="I95" i="3"/>
  <c r="I107" i="3"/>
  <c r="I91" i="3"/>
  <c r="I103" i="3"/>
  <c r="I115" i="3"/>
  <c r="I92" i="3"/>
  <c r="I104" i="3"/>
  <c r="I116" i="3"/>
  <c r="I93" i="3"/>
  <c r="I105" i="3"/>
  <c r="I117" i="3"/>
  <c r="I94" i="3"/>
  <c r="I106" i="3"/>
  <c r="I87" i="3"/>
  <c r="B121" i="3"/>
  <c r="B130" i="3"/>
  <c r="N7" i="2" l="1"/>
  <c r="J8" i="2"/>
  <c r="G7" i="2"/>
  <c r="O6" i="2"/>
  <c r="B132" i="3"/>
  <c r="B133" i="3" s="1"/>
  <c r="B134" i="3" s="1"/>
  <c r="B131" i="3"/>
  <c r="J9" i="2" l="1"/>
  <c r="N8" i="2"/>
  <c r="G8" i="2"/>
  <c r="O7" i="2"/>
  <c r="G9" i="2" l="1"/>
  <c r="O8" i="2"/>
  <c r="J10" i="2"/>
  <c r="N9" i="2"/>
  <c r="J11" i="2" l="1"/>
  <c r="N10" i="2"/>
  <c r="G10" i="2"/>
  <c r="O9" i="2"/>
  <c r="G11" i="2" l="1"/>
  <c r="O10" i="2"/>
  <c r="J12" i="2"/>
  <c r="N11" i="2"/>
  <c r="J13" i="2" l="1"/>
  <c r="N12" i="2"/>
  <c r="G12" i="2"/>
  <c r="O11" i="2"/>
  <c r="G13" i="2" l="1"/>
  <c r="O12" i="2"/>
  <c r="J14" i="2"/>
  <c r="N13" i="2"/>
  <c r="J15" i="2" l="1"/>
  <c r="N14" i="2"/>
  <c r="G14" i="2"/>
  <c r="O13" i="2"/>
  <c r="J16" i="2" l="1"/>
  <c r="N15" i="2"/>
  <c r="G15" i="2"/>
  <c r="O14" i="2"/>
  <c r="G16" i="2" l="1"/>
  <c r="O15" i="2"/>
  <c r="J17" i="2"/>
  <c r="N17" i="2" s="1"/>
  <c r="B140" i="3" s="1"/>
  <c r="N16" i="2"/>
  <c r="G17" i="2" l="1"/>
  <c r="O17" i="2" s="1"/>
  <c r="B144" i="3" s="1"/>
  <c r="B136" i="3" s="1"/>
  <c r="K2" i="5" s="1"/>
  <c r="L2" i="5" s="1"/>
  <c r="O16" i="2"/>
  <c r="D2" i="5" l="1"/>
  <c r="G2" i="5"/>
  <c r="A2" i="5"/>
  <c r="E2" i="5"/>
  <c r="F2" i="5"/>
  <c r="J2" i="5"/>
  <c r="B2" i="5"/>
  <c r="H2" i="5"/>
  <c r="I2" i="5"/>
  <c r="C2" i="5"/>
  <c r="H4" i="5" l="1"/>
  <c r="H3" i="5"/>
  <c r="J4" i="5"/>
  <c r="J3" i="5"/>
  <c r="B14" i="5" s="1"/>
  <c r="C14" i="5" s="1"/>
  <c r="E4" i="5"/>
  <c r="E3" i="5"/>
  <c r="G4" i="5"/>
  <c r="G3" i="5"/>
  <c r="B11" i="5" s="1"/>
  <c r="C11" i="5" s="1"/>
  <c r="C3" i="5"/>
  <c r="C4" i="5"/>
  <c r="I3" i="5"/>
  <c r="I4" i="5"/>
  <c r="B4" i="5"/>
  <c r="B3" i="5"/>
  <c r="B7" i="5" s="1"/>
  <c r="C7" i="5" s="1"/>
  <c r="F4" i="5"/>
  <c r="F3" i="5"/>
  <c r="A3" i="5"/>
  <c r="B6" i="5" s="1"/>
  <c r="C6" i="5" s="1"/>
  <c r="A4" i="5"/>
  <c r="D4" i="5"/>
  <c r="D3" i="5"/>
  <c r="B9" i="5" s="1"/>
  <c r="C9" i="5" s="1"/>
  <c r="B13" i="5" l="1"/>
  <c r="C13" i="5" s="1"/>
  <c r="F13" i="5" s="1"/>
  <c r="F9" i="5"/>
  <c r="F11" i="5"/>
  <c r="B10" i="5"/>
  <c r="C10" i="5" s="1"/>
  <c r="B12" i="5"/>
  <c r="C12" i="5" s="1"/>
  <c r="F14" i="5" s="1"/>
  <c r="B8" i="5"/>
  <c r="C8" i="5" s="1"/>
  <c r="F8" i="5" l="1"/>
  <c r="F7" i="5"/>
  <c r="F12" i="5"/>
  <c r="F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Peter</author>
  </authors>
  <commentList>
    <comment ref="B16" authorId="0" shapeId="0" xr:uid="{00000000-0006-0000-0000-000001000000}">
      <text>
        <r>
          <rPr>
            <sz val="9"/>
            <color indexed="81"/>
            <rFont val="Tahoma"/>
            <family val="2"/>
          </rPr>
          <t>Internal Reference Voltage limited to 0.75V.
Warning (Red): If Vref &gt; 0.75V, VOUT_SCALE_LOOP must be reduced.
Caution (Yellow): If Vref &lt; 0.25, recommend incresing VOUT_SCALE_LOOP to improve regulation accuracy.</t>
        </r>
      </text>
    </comment>
    <comment ref="B19" authorId="0" shapeId="0" xr:uid="{00000000-0006-0000-0000-000002000000}">
      <text>
        <r>
          <rPr>
            <sz val="9"/>
            <color indexed="81"/>
            <rFont val="Tahoma"/>
            <family val="2"/>
          </rPr>
          <t>Warning: If Per Phase Current exceeds recommended maximum device current, increase number of Phase or reduce IOUT.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Fagnani</author>
  </authors>
  <commentList>
    <comment ref="L4" authorId="0" shapeId="0" xr:uid="{00000000-0006-0000-0100-000001000000}">
      <text>
        <r>
          <rPr>
            <sz val="9"/>
            <color indexed="81"/>
            <rFont val="Tahoma"/>
            <family val="2"/>
          </rPr>
          <t>Round down to closest available value</t>
        </r>
      </text>
    </comment>
    <comment ref="L5" authorId="0" shapeId="0" xr:uid="{00000000-0006-0000-0100-000002000000}">
      <text>
        <r>
          <rPr>
            <sz val="9"/>
            <color indexed="81"/>
            <rFont val="Tahoma"/>
            <family val="2"/>
          </rPr>
          <t>Round down to closest available value</t>
        </r>
      </text>
    </comment>
  </commentList>
</comments>
</file>

<file path=xl/sharedStrings.xml><?xml version="1.0" encoding="utf-8"?>
<sst xmlns="http://schemas.openxmlformats.org/spreadsheetml/2006/main" count="858" uniqueCount="397">
  <si>
    <t>GMV</t>
  </si>
  <si>
    <t>GMI</t>
  </si>
  <si>
    <t>RVV</t>
  </si>
  <si>
    <t>INTV</t>
  </si>
  <si>
    <t>CPV</t>
  </si>
  <si>
    <t>RVI</t>
  </si>
  <si>
    <t>INTI</t>
  </si>
  <si>
    <t>CPI</t>
  </si>
  <si>
    <t>RINT</t>
  </si>
  <si>
    <t>uS</t>
  </si>
  <si>
    <t>pF</t>
  </si>
  <si>
    <t>kHz</t>
  </si>
  <si>
    <t>mV/A</t>
  </si>
  <si>
    <t>GVV</t>
  </si>
  <si>
    <t>Code</t>
  </si>
  <si>
    <t>VOSL</t>
  </si>
  <si>
    <t>Key</t>
  </si>
  <si>
    <t>Calculated System Parameter</t>
  </si>
  <si>
    <t>Recommended Component Value</t>
  </si>
  <si>
    <t>Entered Component Value</t>
  </si>
  <si>
    <t>Design Caution</t>
  </si>
  <si>
    <t>Design Warning</t>
  </si>
  <si>
    <t>Parameter</t>
  </si>
  <si>
    <t>Value</t>
  </si>
  <si>
    <t>Description (including recommendations &amp; Cautions)</t>
  </si>
  <si>
    <t>V</t>
  </si>
  <si>
    <t>Vout</t>
  </si>
  <si>
    <t>Nominal Regulated Output Voltage</t>
  </si>
  <si>
    <t>Iout</t>
  </si>
  <si>
    <t>A</t>
  </si>
  <si>
    <t>Iout(trans)</t>
  </si>
  <si>
    <t>Load Step / Load Release Transient Current</t>
  </si>
  <si>
    <t>Vout(rip)</t>
  </si>
  <si>
    <t>mV</t>
  </si>
  <si>
    <t>Steady State peak to peak output voltage ripple</t>
  </si>
  <si>
    <t>Vunder</t>
  </si>
  <si>
    <t>Transient response Undershoot Voltage</t>
  </si>
  <si>
    <t>Vover</t>
  </si>
  <si>
    <t>Transient response Overshoot Voltage</t>
  </si>
  <si>
    <t>FRQUENCY_SWITCH</t>
  </si>
  <si>
    <t>FREQUENCY_SWITCH</t>
  </si>
  <si>
    <t>EEPROM</t>
  </si>
  <si>
    <t>Inductance</t>
  </si>
  <si>
    <t>uF</t>
  </si>
  <si>
    <t>uH</t>
  </si>
  <si>
    <t>L(40%)</t>
  </si>
  <si>
    <t>Minimum recommended inductor value (Inductor ripple 40% of full load)</t>
  </si>
  <si>
    <t>Ind-Volt</t>
  </si>
  <si>
    <t>Volt-uSec</t>
  </si>
  <si>
    <t>Inductor Volt-second during operation</t>
  </si>
  <si>
    <t>L(10%)</t>
  </si>
  <si>
    <t>Maximum recommended inductor value (Inductor ripple 10% of full load)</t>
  </si>
  <si>
    <t>Inductor Value Selected for Use</t>
  </si>
  <si>
    <t>Ipk-pk</t>
  </si>
  <si>
    <t>Iout/Ipk-pk</t>
  </si>
  <si>
    <t>A/A</t>
  </si>
  <si>
    <t>Inductor Ripple Current to Full Load current Ratio</t>
  </si>
  <si>
    <t>Ipk</t>
  </si>
  <si>
    <t>Peak Inductor current at full load (Compare to Inductor Saturation Current)</t>
  </si>
  <si>
    <t>Irms</t>
  </si>
  <si>
    <t>Arms</t>
  </si>
  <si>
    <t>Inductor RMS current (Compare to Inductor Thermal Current)</t>
  </si>
  <si>
    <t>Cout Ripple</t>
  </si>
  <si>
    <t>Cout Under</t>
  </si>
  <si>
    <t>Cout Over</t>
  </si>
  <si>
    <t>Cout (bulk)</t>
  </si>
  <si>
    <t>ESR (bulk)</t>
  </si>
  <si>
    <t>Count (bulk)</t>
  </si>
  <si>
    <t>Single Bulk Capacitor Capactiance</t>
  </si>
  <si>
    <t>Single Bulk Capacitor ESR</t>
  </si>
  <si>
    <t>Number of Bulk Capacitors</t>
  </si>
  <si>
    <t>Total Bulk Cout</t>
  </si>
  <si>
    <t>Total Bulk ESR</t>
  </si>
  <si>
    <t>Total Bulk Output Capacitance</t>
  </si>
  <si>
    <t>Effective Bulk Capacitance ESR</t>
  </si>
  <si>
    <t>Cout (cerc)</t>
  </si>
  <si>
    <t>ESR (cerc)</t>
  </si>
  <si>
    <t>Count (cerc)</t>
  </si>
  <si>
    <t>Total Cerc Cout</t>
  </si>
  <si>
    <t>Total Cerc ESR</t>
  </si>
  <si>
    <t>Effective Cerc Capacitance ESR</t>
  </si>
  <si>
    <t>Total Cerc Output Capacitance</t>
  </si>
  <si>
    <t>Number of Cerc Capacitors</t>
  </si>
  <si>
    <t>Single Cerc Capacitor ESR</t>
  </si>
  <si>
    <t>Single Cerc Capacitor Capactiance</t>
  </si>
  <si>
    <t>Zout (Fsw)</t>
  </si>
  <si>
    <t>Zout (Fsw/10)</t>
  </si>
  <si>
    <t>Qin</t>
  </si>
  <si>
    <t>uC</t>
  </si>
  <si>
    <t>Input Charge per switching cycle</t>
  </si>
  <si>
    <t>Cin(cer) min</t>
  </si>
  <si>
    <t>Cin(cer)</t>
  </si>
  <si>
    <t>Vin(rip)</t>
  </si>
  <si>
    <t>Internal Divider Ratio (Vout Scale Loop)</t>
  </si>
  <si>
    <t>Modulator Ratio</t>
  </si>
  <si>
    <t>Current Sense Gain</t>
  </si>
  <si>
    <t>A/mV</t>
  </si>
  <si>
    <t>Fsw / Fcoi</t>
  </si>
  <si>
    <t>Fcoi</t>
  </si>
  <si>
    <t>Target Current Regulation Cross-over Frequency</t>
  </si>
  <si>
    <t>CZI</t>
  </si>
  <si>
    <t>Current Loop Zero Capacitor</t>
  </si>
  <si>
    <t>Target Mid-band gain for current reglation loop</t>
  </si>
  <si>
    <t>Target Fzi</t>
  </si>
  <si>
    <t>Target Zero-frequency for current regulation loop</t>
  </si>
  <si>
    <t>Target Fpi</t>
  </si>
  <si>
    <t>Target Pole-frequency for current regulation loop</t>
  </si>
  <si>
    <t>Current Loop Mid-band Resistor Value (5k - 315k)</t>
  </si>
  <si>
    <t>Current Loop Transconductance (25uS, 50uS, 100uS, 200us)</t>
  </si>
  <si>
    <t>kOhms</t>
  </si>
  <si>
    <t>Cout-Max</t>
  </si>
  <si>
    <t>Fsw / Fcov</t>
  </si>
  <si>
    <t>Fcov</t>
  </si>
  <si>
    <t>Target Voltage Regulation Cross-over Frequency</t>
  </si>
  <si>
    <t>Target Fzv</t>
  </si>
  <si>
    <t>Target Fpv</t>
  </si>
  <si>
    <t>Target Mid-band gain for voltage reglation loop</t>
  </si>
  <si>
    <t>Target Zero-frequency for voltage regulation loop</t>
  </si>
  <si>
    <t>Target Pole-frequency for voltage regulation loop</t>
  </si>
  <si>
    <t>Voltage Loop Transconductance (25uS, 50uS, 100uS, 200us)</t>
  </si>
  <si>
    <t>Voltage Loop Mid-band Resistor Value (5k - 315k)</t>
  </si>
  <si>
    <t>Voltage Loop Zero Capacitor</t>
  </si>
  <si>
    <t>Voltage Loop Pole Capacitor (6.25 - 193.75pF)</t>
  </si>
  <si>
    <t>Current Loop Pole Capacitor (6.25 - 193.75pF)</t>
  </si>
  <si>
    <t>Zout(Fcov)</t>
  </si>
  <si>
    <t>Output Impedance at desired Voltage Loop Cross-over Frequency</t>
  </si>
  <si>
    <t>CZV</t>
  </si>
  <si>
    <t>Czi</t>
  </si>
  <si>
    <t>Czv</t>
  </si>
  <si>
    <t>Output Impedance at Swiching Frequency</t>
  </si>
  <si>
    <t>Output Impedance at 1/10 Switching Frequency (Typical Voltage Crossover)</t>
  </si>
  <si>
    <t>mOhms</t>
  </si>
  <si>
    <t>RINTI</t>
  </si>
  <si>
    <t>Ratio of Switching Frequency to Current Loop Crossover (3 to 4 recommended)</t>
  </si>
  <si>
    <t>Ratio of Switching Frequency to Voltage Loop Crossover (8 to 12 recommended)</t>
  </si>
  <si>
    <t>Fco(Cout-max)</t>
  </si>
  <si>
    <t>Loop Unity Gain Frequency with Cout Max</t>
  </si>
  <si>
    <t>Cout(total)</t>
  </si>
  <si>
    <t xml:space="preserve">Total Bulk + Ceramic Output Capacitance </t>
  </si>
  <si>
    <t>COMPENSATION_CONFIG</t>
  </si>
  <si>
    <t>(Hex)</t>
  </si>
  <si>
    <t>Current Control Gain</t>
  </si>
  <si>
    <t>PVIN / VRAMP(mod)</t>
  </si>
  <si>
    <t>Czi_multi</t>
  </si>
  <si>
    <t># of Phases</t>
  </si>
  <si>
    <t>Number of Phases Used</t>
  </si>
  <si>
    <t>Count</t>
  </si>
  <si>
    <t>Phase Count</t>
  </si>
  <si>
    <t>Current Sense Gain (6.155 /  #Phases)</t>
  </si>
  <si>
    <t>Single Phase Current Sense Gain</t>
  </si>
  <si>
    <t>Power Stage GM</t>
  </si>
  <si>
    <t>A/V</t>
  </si>
  <si>
    <t>PS GM x Zout @ Fco</t>
  </si>
  <si>
    <t>Total Output Current</t>
  </si>
  <si>
    <t>Current per Phase</t>
  </si>
  <si>
    <t>Vgain</t>
  </si>
  <si>
    <t>Vzero</t>
  </si>
  <si>
    <t>Vpole</t>
  </si>
  <si>
    <t>V/V</t>
  </si>
  <si>
    <t>Igain</t>
  </si>
  <si>
    <t>First Byte</t>
  </si>
  <si>
    <t>Second Byte</t>
  </si>
  <si>
    <t>Third Byte</t>
  </si>
  <si>
    <t>Fourth Byte</t>
  </si>
  <si>
    <t>Fifth Byte</t>
  </si>
  <si>
    <t>Izero</t>
  </si>
  <si>
    <t>Ipole</t>
  </si>
  <si>
    <t>Inductor Current Slope</t>
  </si>
  <si>
    <t>A/Tsw-V</t>
  </si>
  <si>
    <t>Inductor Current Slope per Switching Cycle-V</t>
  </si>
  <si>
    <t>Peak to Peak ripple current on inductor  (Between 2 and 14 for Pin-Strapped Compensation)</t>
  </si>
  <si>
    <t>111CCC17CC</t>
  </si>
  <si>
    <t>Comp Code</t>
  </si>
  <si>
    <t>ILOOP Gain</t>
  </si>
  <si>
    <t>VLOOP Gain</t>
  </si>
  <si>
    <t>COMPENSATION Pin Strap Code Values</t>
  </si>
  <si>
    <t>BW - ILOOP</t>
  </si>
  <si>
    <t>BW VLOOP</t>
  </si>
  <si>
    <t>ILOOP/VLOOP Ratio</t>
  </si>
  <si>
    <t>Estimated Voltage Loop Bandwidth</t>
  </si>
  <si>
    <t>Zout @ VLOOP BW</t>
  </si>
  <si>
    <t>Output Impedance at Voltage Loop Cross-over.  Estimates Transient Response</t>
  </si>
  <si>
    <t>Vunder/Over</t>
  </si>
  <si>
    <t>% Under/Over</t>
  </si>
  <si>
    <t>%</t>
  </si>
  <si>
    <t>Estimated Output Voltage Deviation due to Specified Transient</t>
  </si>
  <si>
    <t>Estimated Output Voltage Deviation due to Specified Transient, as percentage of VOUT</t>
  </si>
  <si>
    <t>Vref</t>
  </si>
  <si>
    <t>Minimum recommended Ceramic Input Capacitance (Limit Vin Ripple to &lt; 250mV)</t>
  </si>
  <si>
    <t>Select the highest Comp Code value that shows green for both ILOOP and VLOOP Gains. If all ILOOP Gains are Red, increase FREQUENCY_SWITCH or Increase L.  If All VLOOP gains are Red, Increase FREQUENCY_SWITCH or COUT</t>
  </si>
  <si>
    <t>Ratio of Bandwidth of Current Loop to Voltage Loop.  If Red, Increase ILOOP gain or decrease VLOOP Gain</t>
  </si>
  <si>
    <t>If #N/A - click on CZI and select a new value from the drop-down menu.</t>
  </si>
  <si>
    <t>If #N/A - click on CZV and select a new value from the drop-down menu.</t>
  </si>
  <si>
    <t>Vout_ripple</t>
  </si>
  <si>
    <t>Estimated Output Voltage Ripple Ipk-pk x Zout (Fsw)</t>
  </si>
  <si>
    <t>Minimum Output Capacitance to meet Ripple Requirement (Does not include ESR)</t>
  </si>
  <si>
    <t>Based on Fco @ 1/10 Fsw (Does not Inlcude ESR)</t>
  </si>
  <si>
    <t>Based on Fco @ 1/10 Fsw (Does not Include ESR)</t>
  </si>
  <si>
    <t>Input Voltage (If Yellow, AVIN or VDD5 needs to be provided from a separate supply &gt; 4.0V)</t>
  </si>
  <si>
    <t>Pvin</t>
  </si>
  <si>
    <t>013D044942</t>
  </si>
  <si>
    <t>Hex Code</t>
  </si>
  <si>
    <t>Decimal</t>
  </si>
  <si>
    <t>Hex</t>
  </si>
  <si>
    <t>Pulls Hex Code from Design tab</t>
  </si>
  <si>
    <t>Enter 10 digit Hex Code for COMP_CONFIG to decode</t>
  </si>
  <si>
    <t>Irms(Cin)</t>
  </si>
  <si>
    <t>Input Capacitor RMS ripple current.  Compare to Capacitor RMS ripple current rating.  Recommend not using Capacitors above 1/2 rated RMS current.</t>
  </si>
  <si>
    <t>TPS546x24A Design &amp; Schematic Review Worksheet and calculator</t>
  </si>
  <si>
    <t>Device Part Number</t>
  </si>
  <si>
    <t>Device</t>
  </si>
  <si>
    <t>TPS546D24A</t>
  </si>
  <si>
    <t>TPS546B24A</t>
  </si>
  <si>
    <t>TPS546A24A</t>
  </si>
  <si>
    <t>IC IOUT Max</t>
  </si>
  <si>
    <t>CSA Gain</t>
  </si>
  <si>
    <t>P/N</t>
  </si>
  <si>
    <t>Maximum Recommended Per Phase Current (Based on Device Selected)</t>
  </si>
  <si>
    <t>Internal Referene Voltage (VOUT x VOUT_SCALE_LOOP - Warning or Caution - See Comment)</t>
  </si>
  <si>
    <t>Per Phase Current</t>
  </si>
  <si>
    <t>System Configuration Complete.</t>
  </si>
  <si>
    <t>------&gt;</t>
  </si>
  <si>
    <t>Power Stage Gain at desired Cross-over frequency</t>
  </si>
  <si>
    <t>IC IOUT MAX</t>
  </si>
  <si>
    <t>This design tool is intended to provide assistance during schematic development, component selection and design review for power supplies using the TPS546x24A devices.  Please refer to the TPS546x24A datasheets for more information and layout recommendations.
Some cells are protected to prevent accidental edits. There is no password to unlock them.</t>
  </si>
  <si>
    <t>Master (PHASE = 0x00) (GOSNS Connected to GND at Load)</t>
  </si>
  <si>
    <t>Select Device</t>
  </si>
  <si>
    <t>Pin</t>
  </si>
  <si>
    <t>PMBus Command</t>
  </si>
  <si>
    <t>Units</t>
  </si>
  <si>
    <t>SHORT</t>
  </si>
  <si>
    <t>FLOAT</t>
  </si>
  <si>
    <t>EEPROM Defaults</t>
  </si>
  <si>
    <t>F/S/R?</t>
  </si>
  <si>
    <t>MSEL1</t>
  </si>
  <si>
    <t>MSEL2</t>
  </si>
  <si>
    <t>TON_RISE</t>
  </si>
  <si>
    <t>ms</t>
  </si>
  <si>
    <t>IOC WARN/FAULT</t>
  </si>
  <si>
    <t>40/52</t>
  </si>
  <si>
    <t>N/A</t>
  </si>
  <si>
    <t>Number of Devices</t>
  </si>
  <si>
    <t>VSEL</t>
  </si>
  <si>
    <t>VOUT Range</t>
  </si>
  <si>
    <t>0.50 to 1.25 @ 0.05</t>
  </si>
  <si>
    <t>0.6 to 1.1</t>
  </si>
  <si>
    <t>VOUT_COMMAND</t>
  </si>
  <si>
    <t>VOUT_SCALE_LOOP</t>
  </si>
  <si>
    <t>ADRSEL</t>
  </si>
  <si>
    <t>PMBUS ADDRESS</t>
  </si>
  <si>
    <t>d</t>
  </si>
  <si>
    <t>0x7F</t>
  </si>
  <si>
    <t>0, Auto</t>
  </si>
  <si>
    <t>R2G</t>
  </si>
  <si>
    <t>RDIV</t>
  </si>
  <si>
    <t>Rbot</t>
  </si>
  <si>
    <t>Rtop</t>
  </si>
  <si>
    <t>If any resistor value reports #N/A, the selected configuration is invalid.  Check the pull-down menu options for the selections of that pin.</t>
  </si>
  <si>
    <t>Comp &amp; Fsw</t>
  </si>
  <si>
    <t>SS, OC &amp; Stacking</t>
  </si>
  <si>
    <t>VOUT</t>
  </si>
  <si>
    <t>Address + Phase Shift</t>
  </si>
  <si>
    <t>Slave 1 (PHASE = 0x01) (GOSNS Connected to BP1V5)</t>
  </si>
  <si>
    <t>Position &amp; Number</t>
  </si>
  <si>
    <t>180, 2</t>
  </si>
  <si>
    <t>30/39</t>
  </si>
  <si>
    <t>If MSEL2 reports  #N/A, the selected configuration is invalid.  Check the pull-down menu options.  Slave MSEL1, VSEL and ADRSEL pins can be Open or shorted to Thermal Pad</t>
  </si>
  <si>
    <t>OPEN</t>
  </si>
  <si>
    <t>Open</t>
  </si>
  <si>
    <t>OC &amp; Stacking</t>
  </si>
  <si>
    <t>Slave 2 (PHASE = 0x02) (GOSNS Connected to BP1V5)</t>
  </si>
  <si>
    <t>180, 4</t>
  </si>
  <si>
    <t>Slave 3 (PHASE = 0x03) (GOSNS Connected to BP1V5)</t>
  </si>
  <si>
    <t>270, 4</t>
  </si>
  <si>
    <t>Rbot code</t>
  </si>
  <si>
    <t>R_divider code</t>
  </si>
  <si>
    <t>Devices</t>
  </si>
  <si>
    <t>IOC 1</t>
  </si>
  <si>
    <t>IOC2</t>
  </si>
  <si>
    <t>IOC3</t>
  </si>
  <si>
    <t>IOC4</t>
  </si>
  <si>
    <t>COMPENSATION</t>
  </si>
  <si>
    <t>IOUT_OC_LIMIT</t>
  </si>
  <si>
    <t># of Devices</t>
  </si>
  <si>
    <t>Vout Scale Loop</t>
  </si>
  <si>
    <t>Offset</t>
  </si>
  <si>
    <t>Step</t>
  </si>
  <si>
    <t>VOUT_COMMAND0</t>
  </si>
  <si>
    <t>PMBUS_ADDRESS</t>
  </si>
  <si>
    <t>POSITION/SYNC</t>
  </si>
  <si>
    <t>POS (Slave)</t>
  </si>
  <si>
    <t>Compensation</t>
  </si>
  <si>
    <t>20/26</t>
  </si>
  <si>
    <t>10/14</t>
  </si>
  <si>
    <t>Short</t>
  </si>
  <si>
    <t>Fixed</t>
  </si>
  <si>
    <t>15/19</t>
  </si>
  <si>
    <t>6/9</t>
  </si>
  <si>
    <t>0.80 to 1.09</t>
  </si>
  <si>
    <t>8/12</t>
  </si>
  <si>
    <t>5/7.5</t>
  </si>
  <si>
    <t>0.6 to 0.74 @ 0.01</t>
  </si>
  <si>
    <t>0.60 to 0.89</t>
  </si>
  <si>
    <t>0.75 to 0.89 @ 0.01</t>
  </si>
  <si>
    <t>90, 4</t>
  </si>
  <si>
    <t>0.90 to 1.19</t>
  </si>
  <si>
    <t>0.90 to 1.04 @ 0.01</t>
  </si>
  <si>
    <t>120, 3</t>
  </si>
  <si>
    <t>1.20 to 1.78</t>
  </si>
  <si>
    <t>1.05 to 1.19 @ 0.01</t>
  </si>
  <si>
    <t>1.80 to 2.38</t>
  </si>
  <si>
    <t>1.20 to 1.48 @ 0.02</t>
  </si>
  <si>
    <t>240, 3</t>
  </si>
  <si>
    <t>2.42 to 3.58</t>
  </si>
  <si>
    <t>1.50 to 1.78 @ 0.02</t>
  </si>
  <si>
    <t>3.62 to 4.78</t>
  </si>
  <si>
    <t>1.80 to 2.08 @ 0.02</t>
  </si>
  <si>
    <t>3.65 to 4.80</t>
  </si>
  <si>
    <t>2.10 to 2.38 @ 0.02</t>
  </si>
  <si>
    <t>4.85 to 6.00</t>
  </si>
  <si>
    <t>2.40 to 2.96 @ 0.04</t>
  </si>
  <si>
    <t>3.00 to 3.56 @ 0.04</t>
  </si>
  <si>
    <t>3.60 to 4.16 @ 0.04</t>
  </si>
  <si>
    <t>4.20 to 4.76 @ 0.04</t>
  </si>
  <si>
    <t>4.80 to 5.36 @ 0.04</t>
  </si>
  <si>
    <t>5.40 to 5.96 @ 0.04</t>
  </si>
  <si>
    <t>TPS546D24A Master</t>
  </si>
  <si>
    <t>R to AGND</t>
  </si>
  <si>
    <t>R to BP1V5</t>
  </si>
  <si>
    <t>R2G Code</t>
  </si>
  <si>
    <t>RDIV Code</t>
  </si>
  <si>
    <t>Select Device:</t>
  </si>
  <si>
    <t>INTERLEAVE</t>
  </si>
  <si>
    <t>Name</t>
  </si>
  <si>
    <t>Current per phase</t>
  </si>
  <si>
    <t>Inductor Value</t>
  </si>
  <si>
    <t>Nominal Inductor Value selected</t>
  </si>
  <si>
    <t>Inductor Derating</t>
  </si>
  <si>
    <t xml:space="preserve">Bulk Output Capacitor </t>
  </si>
  <si>
    <t>Nominal value of a Single Bulk/Polymer/Electrolytic Output Capacitor</t>
  </si>
  <si>
    <t>Ceramic Output Capacitor</t>
  </si>
  <si>
    <t>Nominal value of a Single ceramic Output Capacitor</t>
  </si>
  <si>
    <t>Capacitor Derating (Cer)</t>
  </si>
  <si>
    <t>Current Loop Gain Setting Resistor.  Select value equal to or less than RVI recommended.</t>
  </si>
  <si>
    <t>Equivilent Czi Capacitor Selected (including Multiplier) Integrator Bandwidth of the current loop.</t>
  </si>
  <si>
    <t>Current Loop Pole Capacitor.  Select nearest value CPI recommended.</t>
  </si>
  <si>
    <t xml:space="preserve">Voltage loop gain setting resistor.  Select value equal to or less than RVV recommended </t>
  </si>
  <si>
    <t>Equivelent Voltage Loop integrating capacitor.  Sets Integrator bandwidth of the voltage loop.</t>
  </si>
  <si>
    <t>Voltage loop pole capacitor.  Select the nearest value to CPV recommended.</t>
  </si>
  <si>
    <t>TPS546D24 Resistor Programming Look-up Table</t>
  </si>
  <si>
    <t>TPS546x24A Resistor Programming Look-up Table</t>
  </si>
  <si>
    <t>To select more optimized COMPENSATION_CONFIG values available through PMBus programming, continue with value selection below</t>
  </si>
  <si>
    <t>RVI target</t>
  </si>
  <si>
    <t>CZI target</t>
  </si>
  <si>
    <t>CPI target</t>
  </si>
  <si>
    <t>CZI_MULT</t>
  </si>
  <si>
    <t>MB ILOOP selected</t>
  </si>
  <si>
    <t>F zi selected</t>
  </si>
  <si>
    <t>F pi selected</t>
  </si>
  <si>
    <t>Current Loop Mid-band Gain with selected values</t>
  </si>
  <si>
    <t>Current Loop Zero Frequency with selected values</t>
  </si>
  <si>
    <t>Current Loop Pole Frequency with selected values</t>
  </si>
  <si>
    <t>RVV target</t>
  </si>
  <si>
    <t>CZV target</t>
  </si>
  <si>
    <t>CPV target</t>
  </si>
  <si>
    <t>Estimated Current Loop Bandwidth</t>
  </si>
  <si>
    <t>Voltage Loop Pole Frequency with selected values</t>
  </si>
  <si>
    <t>Voltage Loop Zero Frequency with selected values</t>
  </si>
  <si>
    <t>Voltage Loop Mid-Band Gain with selected values</t>
  </si>
  <si>
    <t>MB VLOOP selected</t>
  </si>
  <si>
    <t>F zv selected</t>
  </si>
  <si>
    <t>F pv selected</t>
  </si>
  <si>
    <t>Target GMI x RVI (ILOOP)</t>
  </si>
  <si>
    <t>Target GMV x RVV (VLOOP)</t>
  </si>
  <si>
    <t>ILOOP target</t>
  </si>
  <si>
    <t>VLOOP target</t>
  </si>
  <si>
    <t>If #N/A - click on CZI_Multiplier and select a new value from the drop down menu.  
CZI may need to be updated after as well.</t>
  </si>
  <si>
    <t>Internal Multiplier for Czi Capacitor  (If Multiplier is red, Current multiplier value not available)</t>
  </si>
  <si>
    <t>To select COMPENSATION_CONFIG through pin strap resistors, use the table at the right   ----------&gt;</t>
  </si>
  <si>
    <r>
      <rPr>
        <b/>
        <sz val="12"/>
        <color rgb="FF9C0006"/>
        <rFont val="宋体"/>
        <family val="2"/>
        <scheme val="minor"/>
      </rPr>
      <t>IMPORTANT NOTE:</t>
    </r>
    <r>
      <rPr>
        <sz val="12"/>
        <color rgb="FF9C0006"/>
        <rFont val="宋体"/>
        <family val="2"/>
        <scheme val="minor"/>
      </rPr>
      <t xml:space="preserve"> The COMPENSATION_CONFIG settings are limited when using pin strap and the design may not be fully optimized</t>
    </r>
  </si>
  <si>
    <t>Selected Comp Code</t>
  </si>
  <si>
    <t>Values from Design Worksheet Tab</t>
  </si>
  <si>
    <t>Number of devices</t>
  </si>
  <si>
    <t>Switching Frequency (If Yellow, option is not available through pin strapping)</t>
  </si>
  <si>
    <t>Voltage Loop Mid-Band Gain with selected value through pin strapping</t>
  </si>
  <si>
    <t>Current Loop Mid-Band Gain with selected value through pin strapping</t>
  </si>
  <si>
    <t>Estimated Current Loop Bandwidth through pin strapping</t>
  </si>
  <si>
    <t>Estimated Voltage Loop Bandwidth through pin strapping</t>
  </si>
  <si>
    <t>Percentage of Nominal Bulk Capacitance remaining after Tolerance, Thermal, and DC Bias derating</t>
  </si>
  <si>
    <t>Percentage of Nominal Inductance remaining after Tolerance, Thermal, and Saturation derating</t>
  </si>
  <si>
    <t>Percentage of Nominal Ceramic Capacitance remaining after Tolerance, Thermal, and DC Bias derating</t>
  </si>
  <si>
    <t>Highest Comp Code value from table</t>
  </si>
  <si>
    <t>User Entered System Value</t>
  </si>
  <si>
    <t>User Entered Maximum Output Capacitance (may be used to set voltage loop zero frequency)</t>
  </si>
  <si>
    <t>Maximum Output Capacitance used for loop compensation calculations
(max of total Nominal capacitance, total derated capacitance, user entered maximum)</t>
  </si>
  <si>
    <t>Cout-Max User</t>
  </si>
  <si>
    <t>Capacitor Derating (Bulk)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</si>
</sst>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_(* \(#,##0.00\);_(* &quot;-&quot;??_);_(@_)"/>
    <numFmt numFmtId="177" formatCode="0.000"/>
    <numFmt numFmtId="178" formatCode="0.0"/>
    <numFmt numFmtId="179" formatCode="_(* #,##0_);_(* \(#,##0\);_(* &quot;-&quot;??_);_(@_)"/>
  </numFmts>
  <fonts count="12" x14ac:knownFonts="1">
    <font>
      <sz val="11"/>
      <color theme="1"/>
      <name val="宋体"/>
      <family val="2"/>
      <scheme val="minor"/>
    </font>
    <font>
      <sz val="11"/>
      <color rgb="FFFF0000"/>
      <name val="宋体"/>
      <family val="2"/>
      <scheme val="minor"/>
    </font>
    <font>
      <sz val="11"/>
      <color theme="0"/>
      <name val="宋体"/>
      <family val="2"/>
      <scheme val="minor"/>
    </font>
    <font>
      <sz val="11"/>
      <color rgb="FFCC9900"/>
      <name val="宋体"/>
      <family val="2"/>
      <scheme val="minor"/>
    </font>
    <font>
      <sz val="9"/>
      <color indexed="81"/>
      <name val="Tahoma"/>
      <family val="2"/>
    </font>
    <font>
      <sz val="11"/>
      <color theme="1"/>
      <name val="宋体"/>
      <family val="2"/>
      <scheme val="minor"/>
    </font>
    <font>
      <sz val="24"/>
      <color theme="1"/>
      <name val="宋体"/>
      <family val="2"/>
      <scheme val="minor"/>
    </font>
    <font>
      <sz val="11"/>
      <name val="宋体"/>
      <family val="2"/>
      <scheme val="minor"/>
    </font>
    <font>
      <sz val="11"/>
      <color rgb="FF9C0006"/>
      <name val="宋体"/>
      <family val="2"/>
      <scheme val="minor"/>
    </font>
    <font>
      <sz val="12"/>
      <color rgb="FF9C0006"/>
      <name val="宋体"/>
      <family val="2"/>
      <scheme val="minor"/>
    </font>
    <font>
      <b/>
      <sz val="12"/>
      <color rgb="FF9C0006"/>
      <name val="宋体"/>
      <family val="2"/>
      <scheme val="minor"/>
    </font>
    <font>
      <sz val="9"/>
      <name val="宋体"/>
      <family val="3"/>
      <charset val="134"/>
      <scheme val="minor"/>
    </font>
  </fonts>
  <fills count="17">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F8F573"/>
        <bgColor indexed="64"/>
      </patternFill>
    </fill>
    <fill>
      <patternFill patternType="solid">
        <fgColor rgb="FFFFCC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7CE"/>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3">
    <xf numFmtId="0" fontId="0" fillId="0" borderId="0"/>
    <xf numFmtId="176" fontId="5" fillId="0" borderId="0" applyFont="0" applyFill="0" applyBorder="0" applyAlignment="0" applyProtection="0"/>
    <xf numFmtId="0" fontId="8" fillId="16" borderId="0" applyNumberFormat="0" applyBorder="0" applyAlignment="0" applyProtection="0"/>
  </cellStyleXfs>
  <cellXfs count="193">
    <xf numFmtId="0" fontId="0" fillId="0" borderId="0" xfId="0"/>
    <xf numFmtId="0" fontId="2" fillId="2" borderId="0" xfId="0" applyFont="1" applyFill="1"/>
    <xf numFmtId="0" fontId="2" fillId="0" borderId="0" xfId="0" applyFont="1"/>
    <xf numFmtId="0" fontId="0" fillId="0" borderId="0" xfId="0" applyAlignment="1">
      <alignment horizontal="center"/>
    </xf>
    <xf numFmtId="49" fontId="0" fillId="0" borderId="0" xfId="0" applyNumberFormat="1" applyAlignment="1">
      <alignment horizontal="center"/>
    </xf>
    <xf numFmtId="0" fontId="0" fillId="3" borderId="1" xfId="0" applyFill="1" applyBorder="1"/>
    <xf numFmtId="0" fontId="0" fillId="5" borderId="1" xfId="0" applyFill="1" applyBorder="1"/>
    <xf numFmtId="0" fontId="0" fillId="4" borderId="1" xfId="0" applyFill="1" applyBorder="1"/>
    <xf numFmtId="2" fontId="0" fillId="4" borderId="1" xfId="0" applyNumberFormat="1" applyFill="1" applyBorder="1"/>
    <xf numFmtId="0" fontId="0" fillId="0" borderId="0" xfId="0" applyFill="1" applyBorder="1"/>
    <xf numFmtId="0" fontId="0" fillId="8" borderId="1" xfId="0" applyFill="1" applyBorder="1"/>
    <xf numFmtId="1" fontId="0" fillId="4" borderId="1" xfId="0" applyNumberFormat="1" applyFill="1" applyBorder="1"/>
    <xf numFmtId="0" fontId="0" fillId="9" borderId="1" xfId="0" applyFill="1" applyBorder="1"/>
    <xf numFmtId="1" fontId="0" fillId="9" borderId="1" xfId="0" applyNumberFormat="1" applyFill="1" applyBorder="1"/>
    <xf numFmtId="177" fontId="0" fillId="8" borderId="1" xfId="0" applyNumberFormat="1" applyFill="1" applyBorder="1"/>
    <xf numFmtId="2" fontId="0" fillId="8" borderId="1" xfId="0" applyNumberFormat="1" applyFill="1" applyBorder="1"/>
    <xf numFmtId="177" fontId="0" fillId="4" borderId="1" xfId="0" applyNumberFormat="1" applyFill="1" applyBorder="1"/>
    <xf numFmtId="0" fontId="0" fillId="0" borderId="1" xfId="0" applyBorder="1" applyAlignment="1">
      <alignment horizontal="center"/>
    </xf>
    <xf numFmtId="0" fontId="0" fillId="0" borderId="1" xfId="0" applyBorder="1" applyAlignment="1">
      <alignment horizontal="center"/>
    </xf>
    <xf numFmtId="2" fontId="0" fillId="0" borderId="0" xfId="0" applyNumberFormat="1"/>
    <xf numFmtId="0" fontId="0" fillId="0" borderId="1" xfId="0" applyBorder="1"/>
    <xf numFmtId="0" fontId="0" fillId="0" borderId="1" xfId="0" applyBorder="1" applyAlignment="1">
      <alignment horizontal="center" vertical="center"/>
    </xf>
    <xf numFmtId="1" fontId="0" fillId="8" borderId="1" xfId="0" applyNumberFormat="1" applyFill="1" applyBorder="1"/>
    <xf numFmtId="0" fontId="0" fillId="3" borderId="1" xfId="0" applyFill="1" applyBorder="1" applyAlignment="1">
      <alignment horizontal="center"/>
    </xf>
    <xf numFmtId="0" fontId="0" fillId="4" borderId="1" xfId="0" applyFill="1" applyBorder="1" applyAlignment="1">
      <alignment vertical="center"/>
    </xf>
    <xf numFmtId="2" fontId="0" fillId="4" borderId="1" xfId="0" applyNumberFormat="1" applyFill="1" applyBorder="1" applyAlignment="1">
      <alignment vertical="center"/>
    </xf>
    <xf numFmtId="0" fontId="0" fillId="4" borderId="1" xfId="0" applyFill="1" applyBorder="1" applyAlignment="1">
      <alignment vertical="center" wrapText="1"/>
    </xf>
    <xf numFmtId="0" fontId="0" fillId="0" borderId="1" xfId="0" applyFill="1" applyBorder="1"/>
    <xf numFmtId="0" fontId="2" fillId="2" borderId="0" xfId="0" quotePrefix="1" applyFont="1" applyFill="1"/>
    <xf numFmtId="0" fontId="0" fillId="3" borderId="1" xfId="0" applyFill="1" applyBorder="1" applyAlignment="1" applyProtection="1">
      <alignment horizontal="center"/>
      <protection locked="0"/>
    </xf>
    <xf numFmtId="0" fontId="0" fillId="3" borderId="1" xfId="0" applyFill="1" applyBorder="1" applyProtection="1">
      <protection locked="0"/>
    </xf>
    <xf numFmtId="0" fontId="0" fillId="5" borderId="1" xfId="0" applyFill="1" applyBorder="1" applyProtection="1">
      <protection locked="0"/>
    </xf>
    <xf numFmtId="178" fontId="0" fillId="4" borderId="1" xfId="0" applyNumberFormat="1" applyFill="1" applyBorder="1"/>
    <xf numFmtId="2" fontId="0" fillId="5" borderId="1" xfId="0" applyNumberFormat="1" applyFill="1" applyBorder="1" applyProtection="1">
      <protection locked="0"/>
    </xf>
    <xf numFmtId="0" fontId="0" fillId="8" borderId="1" xfId="0" applyFill="1" applyBorder="1" applyAlignment="1">
      <alignment horizontal="center"/>
    </xf>
    <xf numFmtId="0" fontId="0" fillId="5" borderId="1" xfId="0" applyFill="1" applyBorder="1" applyAlignment="1">
      <alignment horizontal="center"/>
    </xf>
    <xf numFmtId="0" fontId="0" fillId="0" borderId="1" xfId="0" applyBorder="1" applyAlignment="1">
      <alignment horizontal="center"/>
    </xf>
    <xf numFmtId="0" fontId="7" fillId="0" borderId="0" xfId="0" applyFont="1"/>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10" borderId="21" xfId="0" applyFont="1" applyFill="1" applyBorder="1" applyAlignment="1">
      <alignment horizontal="center"/>
    </xf>
    <xf numFmtId="0" fontId="7" fillId="11" borderId="22" xfId="0" applyFont="1" applyFill="1" applyBorder="1" applyAlignment="1">
      <alignment horizontal="center" vertical="center"/>
    </xf>
    <xf numFmtId="179" fontId="7" fillId="11" borderId="1" xfId="1" applyNumberFormat="1" applyFont="1" applyFill="1" applyBorder="1" applyAlignment="1">
      <alignment horizontal="center" vertical="center"/>
    </xf>
    <xf numFmtId="179" fontId="7" fillId="11" borderId="23" xfId="1" applyNumberFormat="1" applyFont="1" applyFill="1" applyBorder="1" applyAlignment="1">
      <alignment horizontal="center" vertical="center"/>
    </xf>
    <xf numFmtId="0" fontId="0" fillId="0" borderId="16" xfId="0" applyBorder="1"/>
    <xf numFmtId="0" fontId="0" fillId="0" borderId="17" xfId="0" applyBorder="1"/>
    <xf numFmtId="0" fontId="0" fillId="12" borderId="17" xfId="0" applyFill="1" applyBorder="1"/>
    <xf numFmtId="0" fontId="0" fillId="13" borderId="17" xfId="0" applyFill="1" applyBorder="1"/>
    <xf numFmtId="0" fontId="0" fillId="14" borderId="17" xfId="0" applyFill="1" applyBorder="1"/>
    <xf numFmtId="0" fontId="0" fillId="15" borderId="17" xfId="0" applyFill="1" applyBorder="1" applyAlignment="1">
      <alignment horizont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0" fillId="0" borderId="26" xfId="0" applyBorder="1"/>
    <xf numFmtId="0" fontId="0" fillId="0" borderId="27" xfId="0" applyBorder="1"/>
    <xf numFmtId="0" fontId="0" fillId="12" borderId="27" xfId="0" applyFill="1" applyBorder="1"/>
    <xf numFmtId="0" fontId="0" fillId="13" borderId="27" xfId="0" applyFill="1" applyBorder="1"/>
    <xf numFmtId="0" fontId="0" fillId="14" borderId="27" xfId="0" applyFill="1" applyBorder="1"/>
    <xf numFmtId="0" fontId="0" fillId="15" borderId="27" xfId="0" applyFill="1" applyBorder="1" applyAlignment="1">
      <alignment horizontal="center"/>
    </xf>
    <xf numFmtId="0" fontId="7" fillId="11" borderId="1" xfId="0" applyFont="1" applyFill="1" applyBorder="1" applyAlignment="1">
      <alignment horizontal="center" vertical="center"/>
    </xf>
    <xf numFmtId="0" fontId="7" fillId="11" borderId="23" xfId="0" applyFont="1" applyFill="1" applyBorder="1" applyAlignment="1">
      <alignment horizontal="center" vertical="center"/>
    </xf>
    <xf numFmtId="0" fontId="0" fillId="0" borderId="22" xfId="0" applyBorder="1"/>
    <xf numFmtId="0" fontId="0" fillId="12" borderId="1" xfId="0" applyFill="1" applyBorder="1"/>
    <xf numFmtId="0" fontId="0" fillId="13" borderId="1" xfId="0" applyFill="1" applyBorder="1"/>
    <xf numFmtId="0" fontId="0" fillId="14" borderId="1" xfId="0" applyFill="1" applyBorder="1"/>
    <xf numFmtId="0" fontId="0" fillId="15" borderId="1" xfId="0" applyFill="1" applyBorder="1" applyAlignment="1">
      <alignment horizontal="center"/>
    </xf>
    <xf numFmtId="0" fontId="0" fillId="0" borderId="31" xfId="0" applyBorder="1"/>
    <xf numFmtId="0" fontId="0" fillId="0" borderId="14" xfId="0" applyBorder="1"/>
    <xf numFmtId="0" fontId="0" fillId="12" borderId="14" xfId="0" applyFill="1" applyBorder="1"/>
    <xf numFmtId="0" fontId="0" fillId="13" borderId="14" xfId="0" applyFill="1" applyBorder="1"/>
    <xf numFmtId="0" fontId="0" fillId="14" borderId="14" xfId="0" applyFill="1" applyBorder="1"/>
    <xf numFmtId="0" fontId="0" fillId="15" borderId="14" xfId="0" applyFill="1" applyBorder="1" applyAlignment="1">
      <alignment horizontal="center"/>
    </xf>
    <xf numFmtId="177" fontId="0" fillId="14" borderId="17" xfId="0" applyNumberFormat="1" applyFill="1" applyBorder="1"/>
    <xf numFmtId="177" fontId="0" fillId="14" borderId="1" xfId="0" applyNumberFormat="1" applyFill="1" applyBorder="1"/>
    <xf numFmtId="177" fontId="0" fillId="15" borderId="1" xfId="0" applyNumberFormat="1" applyFill="1" applyBorder="1" applyAlignment="1">
      <alignment horizontal="center"/>
    </xf>
    <xf numFmtId="177" fontId="0" fillId="14" borderId="27" xfId="0" applyNumberFormat="1" applyFill="1" applyBorder="1"/>
    <xf numFmtId="177" fontId="0" fillId="15" borderId="27" xfId="0" applyNumberFormat="1" applyFill="1" applyBorder="1" applyAlignment="1">
      <alignment horizontal="center"/>
    </xf>
    <xf numFmtId="0" fontId="0" fillId="0" borderId="35" xfId="0" applyBorder="1"/>
    <xf numFmtId="0" fontId="0" fillId="0" borderId="36" xfId="0" applyBorder="1"/>
    <xf numFmtId="0" fontId="0" fillId="12" borderId="36" xfId="0" applyFill="1" applyBorder="1"/>
    <xf numFmtId="0" fontId="0" fillId="13" borderId="36" xfId="0" applyFill="1" applyBorder="1"/>
    <xf numFmtId="0" fontId="0" fillId="14" borderId="36" xfId="0" applyFill="1" applyBorder="1"/>
    <xf numFmtId="0" fontId="0" fillId="15" borderId="36" xfId="0" applyFill="1" applyBorder="1" applyAlignment="1">
      <alignment horizontal="center"/>
    </xf>
    <xf numFmtId="0" fontId="2" fillId="10" borderId="32" xfId="0" applyFont="1" applyFill="1" applyBorder="1" applyAlignment="1">
      <alignment horizontal="center"/>
    </xf>
    <xf numFmtId="0" fontId="2" fillId="10" borderId="37" xfId="0" applyFont="1" applyFill="1" applyBorder="1" applyAlignment="1">
      <alignment horizontal="center"/>
    </xf>
    <xf numFmtId="0" fontId="2" fillId="10" borderId="16" xfId="0" applyFont="1" applyFill="1" applyBorder="1"/>
    <xf numFmtId="0" fontId="0" fillId="8" borderId="17" xfId="0" applyFill="1" applyBorder="1" applyAlignment="1">
      <alignment horizontal="center"/>
    </xf>
    <xf numFmtId="0" fontId="0" fillId="8" borderId="18" xfId="0" applyFill="1" applyBorder="1" applyAlignment="1">
      <alignment horizontal="center"/>
    </xf>
    <xf numFmtId="0" fontId="2" fillId="10" borderId="22" xfId="0" applyFont="1" applyFill="1" applyBorder="1"/>
    <xf numFmtId="0" fontId="0" fillId="8" borderId="23" xfId="0" applyFill="1" applyBorder="1" applyAlignment="1">
      <alignment horizontal="center"/>
    </xf>
    <xf numFmtId="0" fontId="2" fillId="10" borderId="26" xfId="0" applyFont="1" applyFill="1" applyBorder="1"/>
    <xf numFmtId="0" fontId="0" fillId="8" borderId="27" xfId="0" applyFill="1" applyBorder="1" applyAlignment="1">
      <alignment horizontal="center"/>
    </xf>
    <xf numFmtId="0" fontId="0" fillId="8" borderId="40" xfId="0" applyFill="1" applyBorder="1" applyAlignment="1">
      <alignment horizontal="center"/>
    </xf>
    <xf numFmtId="0" fontId="2" fillId="10" borderId="42" xfId="0" applyFont="1" applyFill="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40" xfId="0" applyFont="1" applyBorder="1" applyAlignment="1">
      <alignment horizontal="center" vertical="center"/>
    </xf>
    <xf numFmtId="49" fontId="0" fillId="0" borderId="0" xfId="0" applyNumberFormat="1"/>
    <xf numFmtId="177" fontId="0" fillId="0" borderId="0" xfId="0" applyNumberFormat="1"/>
    <xf numFmtId="0" fontId="0" fillId="0" borderId="0" xfId="0" applyNumberFormat="1"/>
    <xf numFmtId="0" fontId="0" fillId="3" borderId="17" xfId="0" applyFill="1" applyBorder="1" applyProtection="1">
      <protection locked="0"/>
    </xf>
    <xf numFmtId="0" fontId="0" fillId="3" borderId="27" xfId="0" applyFill="1" applyBorder="1" applyProtection="1">
      <protection locked="0"/>
    </xf>
    <xf numFmtId="0" fontId="0" fillId="3" borderId="14" xfId="0" applyFill="1" applyBorder="1" applyProtection="1">
      <protection locked="0"/>
    </xf>
    <xf numFmtId="0" fontId="0" fillId="3" borderId="17" xfId="0" applyFill="1" applyBorder="1" applyAlignment="1" applyProtection="1">
      <alignment horizontal="right"/>
      <protection locked="0"/>
    </xf>
    <xf numFmtId="177" fontId="0" fillId="3" borderId="1" xfId="0" applyNumberFormat="1" applyFill="1" applyBorder="1" applyAlignment="1" applyProtection="1">
      <alignment horizontal="right"/>
      <protection locked="0"/>
    </xf>
    <xf numFmtId="0" fontId="0" fillId="3" borderId="36" xfId="0" applyFill="1" applyBorder="1" applyProtection="1">
      <protection locked="0"/>
    </xf>
    <xf numFmtId="0" fontId="7" fillId="4" borderId="22" xfId="0" applyFont="1" applyFill="1" applyBorder="1"/>
    <xf numFmtId="178" fontId="7" fillId="4" borderId="1" xfId="0" applyNumberFormat="1" applyFont="1" applyFill="1" applyBorder="1"/>
    <xf numFmtId="0" fontId="7" fillId="3" borderId="22" xfId="0" applyFont="1" applyFill="1" applyBorder="1"/>
    <xf numFmtId="0" fontId="7" fillId="3" borderId="1" xfId="0" applyFont="1" applyFill="1" applyBorder="1"/>
    <xf numFmtId="0" fontId="7" fillId="3" borderId="26" xfId="0" applyFont="1" applyFill="1" applyBorder="1"/>
    <xf numFmtId="0" fontId="7" fillId="3" borderId="27" xfId="0" applyFont="1" applyFill="1" applyBorder="1"/>
    <xf numFmtId="0" fontId="2" fillId="10" borderId="1" xfId="0" applyFont="1" applyFill="1" applyBorder="1" applyAlignment="1">
      <alignment horizontal="center"/>
    </xf>
    <xf numFmtId="0" fontId="2" fillId="10" borderId="22" xfId="0" applyFont="1" applyFill="1" applyBorder="1" applyAlignment="1">
      <alignment horizontal="center"/>
    </xf>
    <xf numFmtId="0" fontId="2" fillId="10" borderId="23" xfId="0" applyFont="1" applyFill="1" applyBorder="1" applyAlignment="1">
      <alignment horizontal="center"/>
    </xf>
    <xf numFmtId="0" fontId="7" fillId="3" borderId="1" xfId="0" applyFont="1" applyFill="1" applyBorder="1" applyAlignment="1">
      <alignment horizontal="center"/>
    </xf>
    <xf numFmtId="0" fontId="7" fillId="3" borderId="23" xfId="0" applyFont="1" applyFill="1" applyBorder="1" applyAlignment="1">
      <alignment horizontal="center"/>
    </xf>
    <xf numFmtId="0" fontId="7" fillId="4" borderId="23" xfId="0" applyFont="1" applyFill="1" applyBorder="1"/>
    <xf numFmtId="0" fontId="7" fillId="3" borderId="23" xfId="0" applyFont="1" applyFill="1" applyBorder="1"/>
    <xf numFmtId="0" fontId="7" fillId="3" borderId="40" xfId="0" applyFont="1" applyFill="1" applyBorder="1"/>
    <xf numFmtId="0" fontId="7" fillId="3" borderId="22" xfId="0" applyFont="1" applyFill="1" applyBorder="1" applyAlignment="1">
      <alignment horizontal="left"/>
    </xf>
    <xf numFmtId="0" fontId="0" fillId="3" borderId="27" xfId="0" applyNumberFormat="1" applyFill="1" applyBorder="1" applyProtection="1"/>
    <xf numFmtId="0" fontId="2" fillId="0" borderId="0" xfId="0" applyFont="1" applyFill="1" applyBorder="1"/>
    <xf numFmtId="0" fontId="0" fillId="4" borderId="1" xfId="0" applyFill="1" applyBorder="1" applyAlignment="1">
      <alignment wrapText="1"/>
    </xf>
    <xf numFmtId="0" fontId="0" fillId="3" borderId="1" xfId="0" applyFill="1" applyBorder="1" applyAlignment="1">
      <alignment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2"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6" xfId="0" applyFill="1" applyBorder="1" applyAlignment="1">
      <alignment horizontal="left" vertical="top" wrapText="1"/>
    </xf>
    <xf numFmtId="0" fontId="0" fillId="5" borderId="12" xfId="0" applyFill="1" applyBorder="1" applyAlignment="1">
      <alignment horizontal="left" vertical="top"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34" xfId="0" applyFont="1" applyFill="1" applyBorder="1" applyAlignment="1">
      <alignment horizontal="left"/>
    </xf>
    <xf numFmtId="0" fontId="2" fillId="2" borderId="13" xfId="0" applyFont="1" applyFill="1" applyBorder="1" applyAlignment="1">
      <alignment horizontal="left"/>
    </xf>
    <xf numFmtId="0" fontId="2" fillId="2" borderId="41" xfId="0" applyFont="1" applyFill="1" applyBorder="1" applyAlignment="1">
      <alignment horizontal="left"/>
    </xf>
    <xf numFmtId="0" fontId="2" fillId="2" borderId="0" xfId="0" applyFont="1" applyFill="1" applyAlignment="1">
      <alignment horizontal="left"/>
    </xf>
    <xf numFmtId="0" fontId="6" fillId="0" borderId="0" xfId="0" applyFont="1" applyAlignment="1">
      <alignment horizontal="center" vertical="center"/>
    </xf>
    <xf numFmtId="0" fontId="2" fillId="2" borderId="1" xfId="0" applyFont="1" applyFill="1" applyBorder="1" applyAlignment="1">
      <alignment horizontal="center"/>
    </xf>
    <xf numFmtId="0" fontId="0" fillId="0" borderId="2" xfId="0" applyBorder="1" applyAlignment="1">
      <alignment horizontal="left" vertical="center" wrapText="1"/>
    </xf>
    <xf numFmtId="0" fontId="0" fillId="3" borderId="1" xfId="0" applyFill="1" applyBorder="1" applyAlignment="1">
      <alignment horizontal="center"/>
    </xf>
    <xf numFmtId="0" fontId="0" fillId="4" borderId="1" xfId="0" applyFill="1" applyBorder="1" applyAlignment="1">
      <alignment horizontal="center"/>
    </xf>
    <xf numFmtId="0" fontId="0" fillId="8" borderId="1" xfId="0" applyFill="1" applyBorder="1" applyAlignment="1">
      <alignment horizontal="center"/>
    </xf>
    <xf numFmtId="0" fontId="0" fillId="5" borderId="1" xfId="0"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1" fillId="7" borderId="1" xfId="0" applyFont="1" applyFill="1" applyBorder="1" applyAlignment="1">
      <alignment horizontal="center"/>
    </xf>
    <xf numFmtId="0" fontId="2" fillId="2" borderId="8" xfId="0" applyFont="1" applyFill="1" applyBorder="1" applyAlignment="1">
      <alignment horizontal="center"/>
    </xf>
    <xf numFmtId="0" fontId="9" fillId="16" borderId="42" xfId="2" applyFont="1" applyBorder="1" applyAlignment="1">
      <alignment horizontal="left"/>
    </xf>
    <xf numFmtId="0" fontId="9" fillId="16" borderId="15" xfId="2" applyFont="1" applyBorder="1" applyAlignment="1">
      <alignment horizontal="left"/>
    </xf>
    <xf numFmtId="0" fontId="9" fillId="16" borderId="44" xfId="2" applyFont="1" applyBorder="1" applyAlignment="1">
      <alignment horizontal="left"/>
    </xf>
    <xf numFmtId="0" fontId="0" fillId="5" borderId="32" xfId="0" applyFill="1" applyBorder="1" applyAlignment="1">
      <alignment horizontal="left" vertical="top" wrapText="1"/>
    </xf>
    <xf numFmtId="0" fontId="0" fillId="5" borderId="38" xfId="0" applyFill="1" applyBorder="1" applyAlignment="1">
      <alignment horizontal="left" vertical="top" wrapText="1"/>
    </xf>
    <xf numFmtId="0" fontId="0" fillId="5" borderId="33" xfId="0" applyFill="1" applyBorder="1" applyAlignment="1">
      <alignment horizontal="left" vertical="top" wrapText="1"/>
    </xf>
    <xf numFmtId="0" fontId="0" fillId="5" borderId="39" xfId="0" applyFill="1" applyBorder="1" applyAlignment="1">
      <alignment horizontal="left" vertical="top" wrapText="1"/>
    </xf>
    <xf numFmtId="0" fontId="0" fillId="5" borderId="34" xfId="0" applyFill="1" applyBorder="1" applyAlignment="1">
      <alignment horizontal="left" vertical="top" wrapText="1"/>
    </xf>
    <xf numFmtId="0" fontId="0" fillId="5" borderId="41" xfId="0" applyFill="1" applyBorder="1" applyAlignment="1">
      <alignment horizontal="left" vertical="top"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10" borderId="24" xfId="0" applyFont="1" applyFill="1" applyBorder="1" applyAlignment="1">
      <alignment horizontal="center" vertical="center"/>
    </xf>
    <xf numFmtId="0" fontId="2" fillId="10" borderId="25" xfId="0" applyFont="1" applyFill="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2" fillId="2" borderId="13" xfId="0" applyFont="1" applyFill="1" applyBorder="1" applyAlignment="1">
      <alignment horizontal="center"/>
    </xf>
    <xf numFmtId="0" fontId="2" fillId="10" borderId="29" xfId="0" applyFont="1" applyFill="1" applyBorder="1" applyAlignment="1">
      <alignment horizontal="center" vertical="center"/>
    </xf>
    <xf numFmtId="0" fontId="0" fillId="0" borderId="30" xfId="0" applyBorder="1" applyAlignment="1">
      <alignment horizontal="center" vertical="center"/>
    </xf>
    <xf numFmtId="0" fontId="2" fillId="10" borderId="32" xfId="0" applyFont="1" applyFill="1" applyBorder="1" applyAlignment="1">
      <alignment horizontal="center" vertical="center"/>
    </xf>
    <xf numFmtId="0" fontId="2" fillId="10" borderId="33" xfId="0" applyFont="1" applyFill="1" applyBorder="1" applyAlignment="1">
      <alignment horizontal="center" vertical="center"/>
    </xf>
    <xf numFmtId="0" fontId="2" fillId="10" borderId="3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5" xfId="0" applyFont="1" applyFill="1" applyBorder="1" applyAlignment="1">
      <alignment horizontal="center"/>
    </xf>
    <xf numFmtId="0" fontId="7" fillId="3" borderId="15" xfId="0" applyFont="1" applyFill="1" applyBorder="1" applyAlignment="1" applyProtection="1">
      <alignment horizontal="center"/>
      <protection locked="0"/>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center" wrapText="1"/>
    </xf>
    <xf numFmtId="0" fontId="0" fillId="0" borderId="1" xfId="0" applyBorder="1" applyAlignment="1">
      <alignment horizontal="center"/>
    </xf>
    <xf numFmtId="0" fontId="0" fillId="0" borderId="14" xfId="0" applyBorder="1" applyAlignment="1">
      <alignment horizontal="center" vertical="center"/>
    </xf>
    <xf numFmtId="0" fontId="0" fillId="0" borderId="36" xfId="0" applyBorder="1" applyAlignment="1">
      <alignment horizontal="center" vertical="center"/>
    </xf>
    <xf numFmtId="0" fontId="2" fillId="2" borderId="0" xfId="0" applyFont="1" applyFill="1" applyAlignment="1">
      <alignment horizontal="center"/>
    </xf>
    <xf numFmtId="0" fontId="2" fillId="2" borderId="6" xfId="0" applyFont="1" applyFill="1" applyBorder="1" applyAlignment="1">
      <alignment horizontal="center"/>
    </xf>
    <xf numFmtId="0" fontId="0" fillId="0" borderId="43" xfId="0" applyBorder="1" applyAlignment="1">
      <alignment horizontal="center" vertical="center"/>
    </xf>
    <xf numFmtId="0" fontId="2" fillId="0" borderId="0" xfId="0" applyFont="1" applyFill="1" applyBorder="1" applyAlignment="1">
      <alignment horizontal="left"/>
    </xf>
    <xf numFmtId="0" fontId="0" fillId="0" borderId="0" xfId="0" applyBorder="1" applyAlignment="1">
      <alignment horizontal="left"/>
    </xf>
  </cellXfs>
  <cellStyles count="3">
    <cellStyle name="差" xfId="2" builtinId="27"/>
    <cellStyle name="常规" xfId="0" builtinId="0"/>
    <cellStyle name="千位分隔" xfId="1" builtinId="3"/>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rgb="FFFFC000"/>
        </patternFill>
      </fill>
      <border>
        <vertical/>
        <horizontal/>
      </border>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val="0"/>
        <color rgb="FF00B050"/>
      </font>
      <fill>
        <patternFill>
          <bgColor rgb="FF92D050"/>
        </patternFill>
      </fill>
      <border>
        <left style="thin">
          <color rgb="FF00B050"/>
        </left>
        <right style="thin">
          <color rgb="FF00B050"/>
        </right>
        <top style="thin">
          <color rgb="FF00B050"/>
        </top>
        <bottom style="thin">
          <color rgb="FF00B050"/>
        </bottom>
        <vertical/>
        <horizontal/>
      </border>
    </dxf>
    <dxf>
      <font>
        <b/>
        <i val="0"/>
        <color rgb="FF00B050"/>
      </font>
      <fill>
        <patternFill>
          <bgColor rgb="FF92D050"/>
        </patternFill>
      </fill>
      <border>
        <left style="thin">
          <color rgb="FF00B050"/>
        </left>
        <right style="thin">
          <color rgb="FF00B050"/>
        </right>
        <top style="thin">
          <color rgb="FF00B050"/>
        </top>
        <bottom style="thin">
          <color rgb="FF00B050"/>
        </bottom>
        <vertical/>
        <horizontal/>
      </border>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146</xdr:row>
          <xdr:rowOff>9525</xdr:rowOff>
        </xdr:from>
        <xdr:to>
          <xdr:col>6</xdr:col>
          <xdr:colOff>409575</xdr:colOff>
          <xdr:row>175</xdr:row>
          <xdr:rowOff>9525</xdr:rowOff>
        </xdr:to>
        <xdr:sp macro="" textlink="">
          <xdr:nvSpPr>
            <xdr:cNvPr id="1047" name="Object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5"/>
  <sheetViews>
    <sheetView topLeftCell="A73" zoomScaleNormal="100" workbookViewId="0">
      <selection activeCell="B85" sqref="B85"/>
    </sheetView>
  </sheetViews>
  <sheetFormatPr defaultRowHeight="13.5" x14ac:dyDescent="0.15"/>
  <cols>
    <col min="1" max="1" width="24.375" customWidth="1"/>
    <col min="2" max="2" width="12" customWidth="1"/>
    <col min="3" max="3" width="13.125" customWidth="1"/>
    <col min="4" max="4" width="97.875" customWidth="1"/>
    <col min="6" max="7" width="12" customWidth="1"/>
    <col min="8" max="8" width="12.25" customWidth="1"/>
  </cols>
  <sheetData>
    <row r="1" spans="1:13" x14ac:dyDescent="0.15">
      <c r="A1" s="141" t="s">
        <v>208</v>
      </c>
      <c r="B1" s="141"/>
      <c r="C1" s="141"/>
      <c r="D1" s="141"/>
    </row>
    <row r="2" spans="1:13" x14ac:dyDescent="0.15">
      <c r="A2" s="141"/>
      <c r="B2" s="141"/>
      <c r="C2" s="141"/>
      <c r="D2" s="141"/>
    </row>
    <row r="3" spans="1:13" ht="15" customHeight="1" x14ac:dyDescent="0.15">
      <c r="A3" s="142" t="s">
        <v>16</v>
      </c>
      <c r="B3" s="142"/>
      <c r="C3" s="142"/>
      <c r="D3" s="143" t="s">
        <v>224</v>
      </c>
    </row>
    <row r="4" spans="1:13" x14ac:dyDescent="0.15">
      <c r="A4" s="144" t="s">
        <v>392</v>
      </c>
      <c r="B4" s="144"/>
      <c r="C4" s="144"/>
      <c r="D4" s="143"/>
    </row>
    <row r="5" spans="1:13" x14ac:dyDescent="0.15">
      <c r="A5" s="145" t="s">
        <v>17</v>
      </c>
      <c r="B5" s="145"/>
      <c r="C5" s="145"/>
      <c r="D5" s="143"/>
    </row>
    <row r="6" spans="1:13" x14ac:dyDescent="0.15">
      <c r="A6" s="146" t="s">
        <v>18</v>
      </c>
      <c r="B6" s="146"/>
      <c r="C6" s="146"/>
      <c r="D6" s="143"/>
    </row>
    <row r="7" spans="1:13" x14ac:dyDescent="0.15">
      <c r="A7" s="147" t="s">
        <v>19</v>
      </c>
      <c r="B7" s="147"/>
      <c r="C7" s="147"/>
      <c r="D7" s="143"/>
    </row>
    <row r="8" spans="1:13" x14ac:dyDescent="0.15">
      <c r="A8" s="148" t="s">
        <v>20</v>
      </c>
      <c r="B8" s="149"/>
      <c r="C8" s="150"/>
      <c r="D8" s="143"/>
    </row>
    <row r="9" spans="1:13" x14ac:dyDescent="0.15">
      <c r="A9" s="151" t="s">
        <v>21</v>
      </c>
      <c r="B9" s="151"/>
      <c r="C9" s="151"/>
      <c r="D9" s="143"/>
    </row>
    <row r="10" spans="1:13" x14ac:dyDescent="0.15">
      <c r="A10" s="1" t="s">
        <v>22</v>
      </c>
      <c r="B10" s="1" t="s">
        <v>23</v>
      </c>
      <c r="C10" s="1" t="s">
        <v>229</v>
      </c>
      <c r="D10" s="1" t="s">
        <v>24</v>
      </c>
      <c r="E10" s="2">
        <f>Vout*0.98</f>
        <v>0.98</v>
      </c>
      <c r="F10" s="2">
        <f>Vout*1.02</f>
        <v>1.02</v>
      </c>
      <c r="G10" s="3"/>
      <c r="H10" s="3"/>
      <c r="I10" s="3"/>
      <c r="J10" s="3"/>
      <c r="K10" s="4"/>
      <c r="L10" s="3"/>
      <c r="M10" s="3"/>
    </row>
    <row r="11" spans="1:13" x14ac:dyDescent="0.15">
      <c r="A11" s="5" t="s">
        <v>209</v>
      </c>
      <c r="B11" s="29" t="s">
        <v>212</v>
      </c>
      <c r="C11" s="23" t="s">
        <v>216</v>
      </c>
      <c r="D11" s="5" t="s">
        <v>209</v>
      </c>
      <c r="E11" s="2"/>
      <c r="F11" s="19"/>
      <c r="G11" s="3"/>
      <c r="H11" s="3"/>
      <c r="I11" s="3"/>
      <c r="J11" s="3"/>
      <c r="K11" s="4"/>
      <c r="L11" s="3"/>
      <c r="M11" s="3"/>
    </row>
    <row r="12" spans="1:13" x14ac:dyDescent="0.15">
      <c r="A12" s="7" t="s">
        <v>223</v>
      </c>
      <c r="B12" s="7">
        <f>VLOOKUP(B11,'Compensation References'!A2:C4,2,FALSE)</f>
        <v>20</v>
      </c>
      <c r="C12" s="7" t="s">
        <v>29</v>
      </c>
      <c r="D12" s="7" t="s">
        <v>217</v>
      </c>
      <c r="E12" s="2"/>
      <c r="F12" s="19"/>
      <c r="G12" s="3"/>
      <c r="H12" s="3"/>
      <c r="I12" s="3"/>
      <c r="J12" s="3"/>
      <c r="K12" s="4"/>
      <c r="L12" s="3"/>
      <c r="M12" s="3"/>
    </row>
    <row r="13" spans="1:13" x14ac:dyDescent="0.15">
      <c r="A13" s="5" t="s">
        <v>199</v>
      </c>
      <c r="B13" s="30">
        <v>12</v>
      </c>
      <c r="C13" s="5" t="s">
        <v>25</v>
      </c>
      <c r="D13" s="5" t="s">
        <v>198</v>
      </c>
      <c r="E13" s="2">
        <f>Iout/2</f>
        <v>5</v>
      </c>
      <c r="F13" s="19"/>
      <c r="G13" s="3"/>
      <c r="H13" s="3"/>
      <c r="I13" s="3"/>
      <c r="J13" s="3"/>
      <c r="K13" s="4"/>
      <c r="L13" s="3"/>
      <c r="M13" s="3"/>
    </row>
    <row r="14" spans="1:13" x14ac:dyDescent="0.15">
      <c r="A14" s="5" t="s">
        <v>26</v>
      </c>
      <c r="B14" s="30">
        <v>1</v>
      </c>
      <c r="C14" s="5" t="s">
        <v>25</v>
      </c>
      <c r="D14" s="5" t="s">
        <v>27</v>
      </c>
      <c r="F14" s="19"/>
      <c r="G14" s="3"/>
      <c r="H14" s="3"/>
      <c r="I14" s="3"/>
      <c r="J14" s="3"/>
      <c r="K14" s="4"/>
      <c r="L14" s="3"/>
      <c r="M14" s="3"/>
    </row>
    <row r="15" spans="1:13" x14ac:dyDescent="0.15">
      <c r="A15" s="5" t="s">
        <v>15</v>
      </c>
      <c r="B15" s="30">
        <v>0.5</v>
      </c>
      <c r="C15" s="5" t="s">
        <v>25</v>
      </c>
      <c r="D15" s="5" t="s">
        <v>93</v>
      </c>
      <c r="G15" s="3"/>
      <c r="H15" s="3"/>
      <c r="I15" s="3"/>
      <c r="J15" s="3"/>
      <c r="K15" s="4"/>
      <c r="L15" s="3"/>
      <c r="M15" s="3"/>
    </row>
    <row r="16" spans="1:13" x14ac:dyDescent="0.15">
      <c r="A16" s="7" t="s">
        <v>187</v>
      </c>
      <c r="B16" s="7">
        <f>VOSL*Vout</f>
        <v>0.5</v>
      </c>
      <c r="C16" s="7" t="s">
        <v>25</v>
      </c>
      <c r="D16" s="7" t="s">
        <v>218</v>
      </c>
      <c r="G16" s="3"/>
      <c r="H16" s="3"/>
      <c r="I16" s="3"/>
      <c r="J16" s="3"/>
      <c r="K16" s="4"/>
      <c r="L16" s="3"/>
      <c r="M16" s="3"/>
    </row>
    <row r="17" spans="1:13" x14ac:dyDescent="0.15">
      <c r="A17" s="5" t="s">
        <v>28</v>
      </c>
      <c r="B17" s="30">
        <v>10</v>
      </c>
      <c r="C17" s="5" t="s">
        <v>29</v>
      </c>
      <c r="D17" s="5" t="s">
        <v>153</v>
      </c>
      <c r="G17" s="3"/>
      <c r="H17" s="3"/>
      <c r="I17" s="3"/>
      <c r="J17" s="3"/>
      <c r="K17" s="4"/>
      <c r="L17" s="3"/>
      <c r="M17" s="3"/>
    </row>
    <row r="18" spans="1:13" x14ac:dyDescent="0.15">
      <c r="A18" s="5" t="s">
        <v>144</v>
      </c>
      <c r="B18" s="30">
        <v>1</v>
      </c>
      <c r="C18" s="5" t="s">
        <v>146</v>
      </c>
      <c r="D18" s="5" t="s">
        <v>145</v>
      </c>
      <c r="G18" s="3"/>
      <c r="H18" s="3"/>
      <c r="I18" s="3"/>
      <c r="J18" s="3"/>
      <c r="K18" s="4"/>
      <c r="L18" s="3"/>
      <c r="M18" s="3"/>
    </row>
    <row r="19" spans="1:13" x14ac:dyDescent="0.15">
      <c r="A19" s="7" t="s">
        <v>154</v>
      </c>
      <c r="B19" s="7">
        <f>Iout/Phases</f>
        <v>10</v>
      </c>
      <c r="C19" s="7" t="s">
        <v>29</v>
      </c>
      <c r="D19" s="7" t="s">
        <v>219</v>
      </c>
      <c r="G19" s="3"/>
      <c r="H19" s="3"/>
      <c r="I19" s="3"/>
      <c r="J19" s="3"/>
      <c r="K19" s="4"/>
      <c r="L19" s="3"/>
      <c r="M19" s="3"/>
    </row>
    <row r="20" spans="1:13" x14ac:dyDescent="0.15">
      <c r="A20" s="5" t="s">
        <v>30</v>
      </c>
      <c r="B20" s="30">
        <v>15</v>
      </c>
      <c r="C20" s="5" t="s">
        <v>29</v>
      </c>
      <c r="D20" s="5" t="s">
        <v>31</v>
      </c>
      <c r="G20" s="3"/>
      <c r="H20" s="3"/>
      <c r="I20" s="3"/>
      <c r="J20" s="3"/>
      <c r="K20" s="4"/>
      <c r="L20" s="3"/>
      <c r="M20" s="3"/>
    </row>
    <row r="21" spans="1:13" x14ac:dyDescent="0.15">
      <c r="A21" s="5" t="s">
        <v>32</v>
      </c>
      <c r="B21" s="30">
        <f>Vout*15</f>
        <v>15</v>
      </c>
      <c r="C21" s="5" t="s">
        <v>33</v>
      </c>
      <c r="D21" s="5" t="s">
        <v>34</v>
      </c>
      <c r="G21" s="3"/>
      <c r="H21" s="3"/>
      <c r="I21" s="3"/>
      <c r="J21" s="3"/>
      <c r="K21" s="4"/>
      <c r="L21" s="3"/>
      <c r="M21" s="3"/>
    </row>
    <row r="22" spans="1:13" x14ac:dyDescent="0.15">
      <c r="A22" s="5" t="s">
        <v>35</v>
      </c>
      <c r="B22" s="30">
        <f>Vout*40</f>
        <v>40</v>
      </c>
      <c r="C22" s="5" t="s">
        <v>33</v>
      </c>
      <c r="D22" s="5" t="s">
        <v>36</v>
      </c>
      <c r="G22" s="3"/>
      <c r="H22" s="3"/>
      <c r="I22" s="3"/>
      <c r="J22" s="3"/>
      <c r="K22" s="4"/>
      <c r="L22" s="3"/>
      <c r="M22" s="3"/>
    </row>
    <row r="23" spans="1:13" x14ac:dyDescent="0.15">
      <c r="A23" s="5" t="s">
        <v>37</v>
      </c>
      <c r="B23" s="30">
        <f>Vout*40</f>
        <v>40</v>
      </c>
      <c r="C23" s="5" t="s">
        <v>33</v>
      </c>
      <c r="D23" s="5" t="s">
        <v>38</v>
      </c>
      <c r="G23" s="3"/>
      <c r="H23" s="3"/>
      <c r="I23" s="3"/>
      <c r="J23" s="3"/>
      <c r="K23" s="4"/>
      <c r="L23" s="3"/>
      <c r="M23" s="3"/>
    </row>
    <row r="24" spans="1:13" x14ac:dyDescent="0.15">
      <c r="A24" s="6" t="s">
        <v>39</v>
      </c>
      <c r="B24" s="31">
        <v>1500</v>
      </c>
      <c r="C24" s="6" t="s">
        <v>11</v>
      </c>
      <c r="D24" s="6" t="s">
        <v>383</v>
      </c>
    </row>
    <row r="26" spans="1:13" x14ac:dyDescent="0.15">
      <c r="A26" s="7" t="s">
        <v>47</v>
      </c>
      <c r="B26" s="16">
        <f>(Pvin-Vout)*(Vout/Pvin)/(fsw*10^3)*10^6</f>
        <v>0.61111111111111105</v>
      </c>
      <c r="C26" s="7" t="s">
        <v>48</v>
      </c>
      <c r="D26" s="7" t="s">
        <v>49</v>
      </c>
    </row>
    <row r="27" spans="1:13" x14ac:dyDescent="0.15">
      <c r="A27" s="10" t="s">
        <v>50</v>
      </c>
      <c r="B27" s="14">
        <f>B26/(0.1*Iout/Phases)</f>
        <v>0.61111111111111105</v>
      </c>
      <c r="C27" s="10" t="s">
        <v>44</v>
      </c>
      <c r="D27" s="10" t="s">
        <v>51</v>
      </c>
    </row>
    <row r="28" spans="1:13" x14ac:dyDescent="0.15">
      <c r="A28" s="10" t="s">
        <v>45</v>
      </c>
      <c r="B28" s="14">
        <f>B26/(0.4*Iout/Phases)</f>
        <v>0.15277777777777776</v>
      </c>
      <c r="C28" s="10" t="s">
        <v>44</v>
      </c>
      <c r="D28" s="10" t="s">
        <v>46</v>
      </c>
    </row>
    <row r="29" spans="1:13" x14ac:dyDescent="0.15">
      <c r="A29" s="6" t="s">
        <v>335</v>
      </c>
      <c r="B29" s="31">
        <v>0.3</v>
      </c>
      <c r="C29" s="6" t="s">
        <v>44</v>
      </c>
      <c r="D29" s="6" t="s">
        <v>336</v>
      </c>
    </row>
    <row r="30" spans="1:13" x14ac:dyDescent="0.15">
      <c r="A30" s="5" t="s">
        <v>337</v>
      </c>
      <c r="B30" s="30">
        <f>0.8*80</f>
        <v>64</v>
      </c>
      <c r="C30" s="5" t="s">
        <v>184</v>
      </c>
      <c r="D30" s="5" t="s">
        <v>389</v>
      </c>
    </row>
    <row r="31" spans="1:13" x14ac:dyDescent="0.15">
      <c r="A31" s="7" t="s">
        <v>42</v>
      </c>
      <c r="B31" s="7">
        <f>B29*B30/100</f>
        <v>0.192</v>
      </c>
      <c r="C31" s="7" t="s">
        <v>44</v>
      </c>
      <c r="D31" s="7" t="s">
        <v>52</v>
      </c>
    </row>
    <row r="32" spans="1:13" x14ac:dyDescent="0.15">
      <c r="A32" s="7" t="s">
        <v>53</v>
      </c>
      <c r="B32" s="8">
        <f>B26/Lout</f>
        <v>3.1828703703703698</v>
      </c>
      <c r="C32" s="7" t="s">
        <v>29</v>
      </c>
      <c r="D32" s="7" t="s">
        <v>170</v>
      </c>
    </row>
    <row r="33" spans="1:4" x14ac:dyDescent="0.15">
      <c r="A33" s="7" t="s">
        <v>167</v>
      </c>
      <c r="B33" s="8">
        <f>1/(fsw*10^3)/(Lout*10^-6)</f>
        <v>3.4722222222222223</v>
      </c>
      <c r="C33" s="7" t="s">
        <v>168</v>
      </c>
      <c r="D33" s="7" t="s">
        <v>169</v>
      </c>
    </row>
    <row r="34" spans="1:4" x14ac:dyDescent="0.15">
      <c r="A34" s="7" t="s">
        <v>54</v>
      </c>
      <c r="B34" s="16">
        <f>Iripple/Iphase</f>
        <v>0.31828703703703698</v>
      </c>
      <c r="C34" s="7" t="s">
        <v>55</v>
      </c>
      <c r="D34" s="7" t="s">
        <v>56</v>
      </c>
    </row>
    <row r="35" spans="1:4" x14ac:dyDescent="0.15">
      <c r="A35" s="7" t="s">
        <v>57</v>
      </c>
      <c r="B35" s="8">
        <f>Iphase+Iripple/2</f>
        <v>11.591435185185185</v>
      </c>
      <c r="C35" s="7" t="s">
        <v>55</v>
      </c>
      <c r="D35" s="7" t="s">
        <v>58</v>
      </c>
    </row>
    <row r="36" spans="1:4" x14ac:dyDescent="0.15">
      <c r="A36" s="7" t="s">
        <v>59</v>
      </c>
      <c r="B36" s="8">
        <f>SQRT(Iphase^2+1/12*(Iripple)^2)</f>
        <v>10.042122384380795</v>
      </c>
      <c r="C36" s="7" t="s">
        <v>60</v>
      </c>
      <c r="D36" s="7" t="s">
        <v>61</v>
      </c>
    </row>
    <row r="38" spans="1:4" x14ac:dyDescent="0.15">
      <c r="A38" s="10" t="s">
        <v>62</v>
      </c>
      <c r="B38" s="15">
        <f>Iripple/(8*fsw*B21)*10^6</f>
        <v>17.682613168724274</v>
      </c>
      <c r="C38" s="10" t="s">
        <v>43</v>
      </c>
      <c r="D38" s="10" t="s">
        <v>195</v>
      </c>
    </row>
    <row r="39" spans="1:4" x14ac:dyDescent="0.15">
      <c r="A39" s="10" t="s">
        <v>63</v>
      </c>
      <c r="B39" s="22">
        <f>1/(2*PI()*(B22*10^-3)/(B20/Phases)*(fsw*10^3)/10)*10^6</f>
        <v>397.88735772973831</v>
      </c>
      <c r="C39" s="10" t="s">
        <v>43</v>
      </c>
      <c r="D39" s="10" t="s">
        <v>196</v>
      </c>
    </row>
    <row r="40" spans="1:4" x14ac:dyDescent="0.15">
      <c r="A40" s="10" t="s">
        <v>64</v>
      </c>
      <c r="B40" s="22">
        <f>1/(2*PI()*(B23*10^-3)/(B20/Phases)*(fsw*10^3)/10)*10^6</f>
        <v>397.88735772973831</v>
      </c>
      <c r="C40" s="10" t="s">
        <v>43</v>
      </c>
      <c r="D40" s="10" t="s">
        <v>197</v>
      </c>
    </row>
    <row r="41" spans="1:4" x14ac:dyDescent="0.15">
      <c r="A41" s="9"/>
    </row>
    <row r="42" spans="1:4" x14ac:dyDescent="0.15">
      <c r="A42" s="6" t="s">
        <v>338</v>
      </c>
      <c r="B42" s="31">
        <v>470</v>
      </c>
      <c r="C42" s="6" t="s">
        <v>43</v>
      </c>
      <c r="D42" s="6" t="s">
        <v>339</v>
      </c>
    </row>
    <row r="43" spans="1:4" x14ac:dyDescent="0.15">
      <c r="A43" s="5" t="s">
        <v>396</v>
      </c>
      <c r="B43" s="30">
        <f>0.8*85</f>
        <v>68</v>
      </c>
      <c r="C43" s="5" t="s">
        <v>184</v>
      </c>
      <c r="D43" s="5" t="s">
        <v>388</v>
      </c>
    </row>
    <row r="44" spans="1:4" x14ac:dyDescent="0.15">
      <c r="A44" s="7" t="s">
        <v>65</v>
      </c>
      <c r="B44" s="7">
        <f>B42*B43/100</f>
        <v>319.60000000000002</v>
      </c>
      <c r="C44" s="7" t="s">
        <v>43</v>
      </c>
      <c r="D44" s="7" t="s">
        <v>68</v>
      </c>
    </row>
    <row r="45" spans="1:4" x14ac:dyDescent="0.15">
      <c r="A45" s="6" t="s">
        <v>66</v>
      </c>
      <c r="B45" s="31">
        <v>10</v>
      </c>
      <c r="C45" s="6" t="s">
        <v>131</v>
      </c>
      <c r="D45" s="6" t="s">
        <v>69</v>
      </c>
    </row>
    <row r="46" spans="1:4" x14ac:dyDescent="0.15">
      <c r="A46" s="6" t="s">
        <v>67</v>
      </c>
      <c r="B46" s="31">
        <v>2</v>
      </c>
      <c r="C46" s="6"/>
      <c r="D46" s="6" t="s">
        <v>70</v>
      </c>
    </row>
    <row r="47" spans="1:4" x14ac:dyDescent="0.15">
      <c r="A47" s="7" t="s">
        <v>71</v>
      </c>
      <c r="B47" s="11">
        <f>IF(B46=0,0.001,B46*B44)</f>
        <v>639.20000000000005</v>
      </c>
      <c r="C47" s="7" t="s">
        <v>43</v>
      </c>
      <c r="D47" s="7" t="s">
        <v>73</v>
      </c>
    </row>
    <row r="48" spans="1:4" x14ac:dyDescent="0.15">
      <c r="A48" s="7" t="s">
        <v>72</v>
      </c>
      <c r="B48" s="7">
        <f>IF(B46=0,0,B45/B46)</f>
        <v>5</v>
      </c>
      <c r="C48" s="7" t="s">
        <v>131</v>
      </c>
      <c r="D48" s="7" t="s">
        <v>74</v>
      </c>
    </row>
    <row r="50" spans="1:6" x14ac:dyDescent="0.15">
      <c r="A50" s="6" t="s">
        <v>340</v>
      </c>
      <c r="B50" s="31">
        <v>47</v>
      </c>
      <c r="C50" s="6" t="s">
        <v>43</v>
      </c>
      <c r="D50" s="6" t="s">
        <v>341</v>
      </c>
    </row>
    <row r="51" spans="1:6" x14ac:dyDescent="0.15">
      <c r="A51" s="5" t="s">
        <v>342</v>
      </c>
      <c r="B51" s="30">
        <f>0.8*70</f>
        <v>56</v>
      </c>
      <c r="C51" s="5" t="s">
        <v>184</v>
      </c>
      <c r="D51" s="5" t="s">
        <v>390</v>
      </c>
    </row>
    <row r="52" spans="1:6" x14ac:dyDescent="0.15">
      <c r="A52" s="7" t="s">
        <v>75</v>
      </c>
      <c r="B52" s="7">
        <f>B50*B51/100</f>
        <v>26.32</v>
      </c>
      <c r="C52" s="7" t="s">
        <v>43</v>
      </c>
      <c r="D52" s="7" t="s">
        <v>84</v>
      </c>
      <c r="F52" s="19"/>
    </row>
    <row r="53" spans="1:6" x14ac:dyDescent="0.15">
      <c r="A53" s="6" t="s">
        <v>76</v>
      </c>
      <c r="B53" s="31">
        <v>3</v>
      </c>
      <c r="C53" s="6" t="s">
        <v>131</v>
      </c>
      <c r="D53" s="6" t="s">
        <v>83</v>
      </c>
    </row>
    <row r="54" spans="1:6" x14ac:dyDescent="0.15">
      <c r="A54" s="6" t="s">
        <v>77</v>
      </c>
      <c r="B54" s="31">
        <v>14</v>
      </c>
      <c r="C54" s="6"/>
      <c r="D54" s="6" t="s">
        <v>82</v>
      </c>
    </row>
    <row r="55" spans="1:6" x14ac:dyDescent="0.15">
      <c r="A55" s="7" t="s">
        <v>78</v>
      </c>
      <c r="B55" s="11">
        <f>IF(B54=0,0.001,B54*B52)</f>
        <v>368.48</v>
      </c>
      <c r="C55" s="7" t="s">
        <v>43</v>
      </c>
      <c r="D55" s="7" t="s">
        <v>81</v>
      </c>
    </row>
    <row r="56" spans="1:6" x14ac:dyDescent="0.15">
      <c r="A56" s="7" t="s">
        <v>79</v>
      </c>
      <c r="B56" s="16">
        <f>IF(B54=0,0,B53/B54)</f>
        <v>0.21428571428571427</v>
      </c>
      <c r="C56" s="7" t="s">
        <v>131</v>
      </c>
      <c r="D56" s="7" t="s">
        <v>80</v>
      </c>
    </row>
    <row r="58" spans="1:6" x14ac:dyDescent="0.15">
      <c r="A58" s="12" t="s">
        <v>137</v>
      </c>
      <c r="B58" s="13">
        <f>Cout_bulk+Cout_cer</f>
        <v>1007.6800000000001</v>
      </c>
      <c r="C58" s="12" t="s">
        <v>43</v>
      </c>
      <c r="D58" s="12" t="s">
        <v>138</v>
      </c>
    </row>
    <row r="59" spans="1:6" ht="15" customHeight="1" x14ac:dyDescent="0.15">
      <c r="A59" s="5" t="s">
        <v>395</v>
      </c>
      <c r="B59" s="30">
        <v>2500</v>
      </c>
      <c r="C59" s="5" t="s">
        <v>43</v>
      </c>
      <c r="D59" s="124" t="s">
        <v>393</v>
      </c>
    </row>
    <row r="60" spans="1:6" ht="27" x14ac:dyDescent="0.15">
      <c r="A60" s="7" t="s">
        <v>110</v>
      </c>
      <c r="B60" s="11">
        <f>MAX(B59,Cout_cer+Cout_bulk,B42*B46+B50*B54)</f>
        <v>2500</v>
      </c>
      <c r="C60" s="7" t="s">
        <v>43</v>
      </c>
      <c r="D60" s="123" t="s">
        <v>394</v>
      </c>
    </row>
    <row r="61" spans="1:6" x14ac:dyDescent="0.15">
      <c r="A61" s="7" t="s">
        <v>135</v>
      </c>
      <c r="B61" s="16">
        <f>IF(Cout_total&lt;Cout_max,1/(2*PI()*(Cout_max*10^-6)/GM_PS),1/(2*PI()*(Cout_total*10^-6)/GM_PS))/1000</f>
        <v>5.1715659818649975</v>
      </c>
      <c r="C61" s="7" t="s">
        <v>11</v>
      </c>
      <c r="D61" s="7" t="s">
        <v>136</v>
      </c>
    </row>
    <row r="63" spans="1:6" x14ac:dyDescent="0.15">
      <c r="A63" s="7" t="s">
        <v>85</v>
      </c>
      <c r="B63" s="16">
        <f>1/(1/(SQRT((ESR_bulk*10^-3)^2+1/(2*PI()*fsw*10^3*Cout_bulk*10^-6)^2))+1/(SQRT((ESR_cer*10^-3)^2+1/(2*PI()*fsw*10^3*Cout_cer*10^-6)^2)))*1000</f>
        <v>0.33490440444280517</v>
      </c>
      <c r="C63" s="7" t="s">
        <v>131</v>
      </c>
      <c r="D63" s="7" t="s">
        <v>129</v>
      </c>
    </row>
    <row r="64" spans="1:6" x14ac:dyDescent="0.15">
      <c r="A64" s="7" t="s">
        <v>193</v>
      </c>
      <c r="B64" s="16">
        <f>B63*Iripple</f>
        <v>1.0659573058075393</v>
      </c>
      <c r="C64" s="7" t="s">
        <v>33</v>
      </c>
      <c r="D64" s="7" t="s">
        <v>194</v>
      </c>
    </row>
    <row r="65" spans="1:8" x14ac:dyDescent="0.15">
      <c r="A65" s="7" t="s">
        <v>86</v>
      </c>
      <c r="B65" s="8">
        <f>1/(1/(SQRT((ESR_bulk*10^-3)^2+1/(2*PI()*fsw*10^2*Cout_bulk*10^-6)^2))+1/(SQRT((ESR_cer*10^-3)^2+1/(2*PI()*fsw*10^2*Cout_cer*10^-6)^2)))*1000</f>
        <v>1.8651855189798525</v>
      </c>
      <c r="C65" s="7" t="s">
        <v>131</v>
      </c>
      <c r="D65" s="7" t="s">
        <v>130</v>
      </c>
    </row>
    <row r="67" spans="1:8" x14ac:dyDescent="0.15">
      <c r="A67" s="7" t="s">
        <v>87</v>
      </c>
      <c r="B67" s="7">
        <f>Iout*(Vout/Pvin*1/(fsw*10^3))*10^6</f>
        <v>0.55555555555555547</v>
      </c>
      <c r="C67" s="7" t="s">
        <v>88</v>
      </c>
      <c r="D67" s="7" t="s">
        <v>89</v>
      </c>
    </row>
    <row r="68" spans="1:8" x14ac:dyDescent="0.15">
      <c r="A68" s="10" t="s">
        <v>90</v>
      </c>
      <c r="B68" s="10">
        <f>B67*4</f>
        <v>2.2222222222222219</v>
      </c>
      <c r="C68" s="10" t="s">
        <v>43</v>
      </c>
      <c r="D68" s="10" t="s">
        <v>188</v>
      </c>
    </row>
    <row r="69" spans="1:8" x14ac:dyDescent="0.15">
      <c r="A69" s="6" t="s">
        <v>91</v>
      </c>
      <c r="B69" s="31">
        <v>88</v>
      </c>
      <c r="C69" s="6" t="s">
        <v>43</v>
      </c>
      <c r="D69" s="6"/>
    </row>
    <row r="70" spans="1:8" x14ac:dyDescent="0.15">
      <c r="A70" s="7" t="s">
        <v>92</v>
      </c>
      <c r="B70" s="8">
        <f>B67/Cin_cer*1000</f>
        <v>6.3131313131313123</v>
      </c>
      <c r="C70" s="7" t="s">
        <v>33</v>
      </c>
      <c r="D70" s="7"/>
    </row>
    <row r="71" spans="1:8" ht="27" x14ac:dyDescent="0.15">
      <c r="A71" s="24" t="s">
        <v>206</v>
      </c>
      <c r="B71" s="25">
        <f>(Iout-(Iout*Vout/Pvin))*SQRT(Vout/Pvin)+Iout*(Vout/Pvin)*SQRT(1-(Vout/Pvin))</f>
        <v>3.4440446569160663</v>
      </c>
      <c r="C71" s="24" t="s">
        <v>29</v>
      </c>
      <c r="D71" s="26" t="s">
        <v>207</v>
      </c>
    </row>
    <row r="73" spans="1:8" x14ac:dyDescent="0.15">
      <c r="A73" s="7" t="s">
        <v>94</v>
      </c>
      <c r="B73" s="7">
        <v>5.5</v>
      </c>
      <c r="C73" s="7"/>
      <c r="D73" s="7" t="s">
        <v>142</v>
      </c>
    </row>
    <row r="74" spans="1:8" x14ac:dyDescent="0.15">
      <c r="A74" s="7" t="s">
        <v>95</v>
      </c>
      <c r="B74" s="7">
        <f>VLOOKUP(B11,'Compensation References'!A2:C4,3,FALSE)</f>
        <v>12.31</v>
      </c>
      <c r="C74" s="7" t="s">
        <v>12</v>
      </c>
      <c r="D74" s="7" t="s">
        <v>149</v>
      </c>
    </row>
    <row r="75" spans="1:8" x14ac:dyDescent="0.15">
      <c r="A75" s="7" t="s">
        <v>150</v>
      </c>
      <c r="B75" s="32">
        <f>Phases/CSA*1000</f>
        <v>81.234768480909821</v>
      </c>
      <c r="C75" s="7" t="s">
        <v>151</v>
      </c>
      <c r="D75" s="7" t="s">
        <v>148</v>
      </c>
    </row>
    <row r="76" spans="1:8" x14ac:dyDescent="0.15">
      <c r="A76" s="5" t="s">
        <v>97</v>
      </c>
      <c r="B76" s="30">
        <v>4</v>
      </c>
      <c r="C76" s="5"/>
      <c r="D76" s="5" t="s">
        <v>133</v>
      </c>
    </row>
    <row r="77" spans="1:8" x14ac:dyDescent="0.15">
      <c r="A77" s="7" t="s">
        <v>98</v>
      </c>
      <c r="B77" s="8">
        <f>fsw/B76</f>
        <v>375</v>
      </c>
      <c r="C77" s="7" t="s">
        <v>11</v>
      </c>
      <c r="D77" s="7" t="s">
        <v>99</v>
      </c>
    </row>
    <row r="78" spans="1:8" x14ac:dyDescent="0.15">
      <c r="A78" s="7" t="s">
        <v>141</v>
      </c>
      <c r="B78" s="8">
        <f>Mod_ratio/(fcoi_trgt*10^3*Lout*10^-6)</f>
        <v>76.3888888888889</v>
      </c>
      <c r="C78" s="7" t="s">
        <v>96</v>
      </c>
      <c r="D78" s="7"/>
      <c r="F78" s="125" t="s">
        <v>189</v>
      </c>
      <c r="G78" s="126"/>
      <c r="H78" s="127"/>
    </row>
    <row r="79" spans="1:8" x14ac:dyDescent="0.15">
      <c r="A79" s="5" t="s">
        <v>111</v>
      </c>
      <c r="B79" s="30">
        <v>10</v>
      </c>
      <c r="C79" s="5"/>
      <c r="D79" s="5" t="s">
        <v>134</v>
      </c>
      <c r="F79" s="128"/>
      <c r="G79" s="129"/>
      <c r="H79" s="130"/>
    </row>
    <row r="80" spans="1:8" x14ac:dyDescent="0.15">
      <c r="A80" s="7" t="s">
        <v>112</v>
      </c>
      <c r="B80" s="7">
        <f>fsw/B79</f>
        <v>150</v>
      </c>
      <c r="C80" s="7" t="s">
        <v>11</v>
      </c>
      <c r="D80" s="7" t="s">
        <v>113</v>
      </c>
      <c r="F80" s="128"/>
      <c r="G80" s="129"/>
      <c r="H80" s="130"/>
    </row>
    <row r="81" spans="1:9" ht="15" customHeight="1" x14ac:dyDescent="0.15">
      <c r="A81" s="7" t="s">
        <v>124</v>
      </c>
      <c r="B81" s="8">
        <f>1/(1/(SQRT((ESR_bulk*10^-3)^2+1/(2*PI()*fcov_trgt*10^3*Cout_bulk*10^-6)^2))+1/(SQRT((ESR_cer*10^-3)^2+1/(2*PI()*fcov_trgt*10^3*Cout_cer*10^-6)^2)))*1000</f>
        <v>1.8651855189798525</v>
      </c>
      <c r="C81" s="7" t="s">
        <v>131</v>
      </c>
      <c r="D81" s="7" t="s">
        <v>125</v>
      </c>
      <c r="F81" s="128"/>
      <c r="G81" s="129"/>
      <c r="H81" s="130"/>
    </row>
    <row r="82" spans="1:9" x14ac:dyDescent="0.15">
      <c r="F82" s="128"/>
      <c r="G82" s="129"/>
      <c r="H82" s="130"/>
    </row>
    <row r="83" spans="1:9" ht="15" customHeight="1" x14ac:dyDescent="0.15">
      <c r="A83" s="152" t="s">
        <v>220</v>
      </c>
      <c r="B83" s="152"/>
      <c r="C83" s="152"/>
      <c r="D83" s="152"/>
      <c r="F83" s="131"/>
      <c r="G83" s="132"/>
      <c r="H83" s="133"/>
    </row>
    <row r="84" spans="1:9" x14ac:dyDescent="0.15">
      <c r="A84" s="140" t="s">
        <v>378</v>
      </c>
      <c r="B84" s="140"/>
      <c r="C84" s="140"/>
      <c r="D84" s="140"/>
      <c r="E84" s="28" t="s">
        <v>221</v>
      </c>
      <c r="F84" s="134" t="s">
        <v>175</v>
      </c>
      <c r="G84" s="135"/>
      <c r="H84" s="136"/>
    </row>
    <row r="85" spans="1:9" x14ac:dyDescent="0.15">
      <c r="A85" s="5" t="s">
        <v>380</v>
      </c>
      <c r="B85" s="30">
        <v>15</v>
      </c>
      <c r="C85" s="5"/>
      <c r="D85" s="5" t="s">
        <v>391</v>
      </c>
      <c r="F85" s="20" t="s">
        <v>172</v>
      </c>
      <c r="G85" s="20" t="s">
        <v>173</v>
      </c>
      <c r="H85" s="20" t="s">
        <v>174</v>
      </c>
    </row>
    <row r="86" spans="1:9" x14ac:dyDescent="0.15">
      <c r="A86" s="7" t="s">
        <v>356</v>
      </c>
      <c r="B86" s="7">
        <f>VLOOKUP(Comp_Code,F86:H117,2)</f>
        <v>4</v>
      </c>
      <c r="C86" s="7"/>
      <c r="D86" s="7" t="s">
        <v>385</v>
      </c>
      <c r="F86" s="20">
        <v>0</v>
      </c>
      <c r="G86" s="20" t="s">
        <v>41</v>
      </c>
      <c r="H86" s="20" t="s">
        <v>41</v>
      </c>
    </row>
    <row r="87" spans="1:9" x14ac:dyDescent="0.15">
      <c r="A87" s="7" t="s">
        <v>369</v>
      </c>
      <c r="B87" s="7">
        <f>VLOOKUP(Comp_Code,F86:H117,3)</f>
        <v>8</v>
      </c>
      <c r="C87" s="7"/>
      <c r="D87" s="7" t="s">
        <v>384</v>
      </c>
      <c r="F87" s="20">
        <v>1</v>
      </c>
      <c r="G87" s="20">
        <v>2</v>
      </c>
      <c r="H87" s="20">
        <v>0.5</v>
      </c>
      <c r="I87" s="2">
        <f t="shared" ref="I87:I117" si="0">MIN(G87*B$116/B$98,VLOOP_trgt)</f>
        <v>4.6482070085948708</v>
      </c>
    </row>
    <row r="88" spans="1:9" x14ac:dyDescent="0.15">
      <c r="A88" s="7" t="s">
        <v>176</v>
      </c>
      <c r="B88" s="32">
        <f>fcoi_trgt/ILOOP_trgt*B86</f>
        <v>264.10748583423469</v>
      </c>
      <c r="C88" s="7" t="s">
        <v>11</v>
      </c>
      <c r="D88" s="7" t="s">
        <v>386</v>
      </c>
      <c r="F88" s="20">
        <v>2</v>
      </c>
      <c r="G88" s="20">
        <v>2</v>
      </c>
      <c r="H88" s="20">
        <v>1</v>
      </c>
      <c r="I88" s="2">
        <f t="shared" si="0"/>
        <v>4.6482070085948708</v>
      </c>
    </row>
    <row r="89" spans="1:9" x14ac:dyDescent="0.15">
      <c r="A89" s="7" t="s">
        <v>177</v>
      </c>
      <c r="B89" s="32">
        <f>fcov_trgt/VLOOP_trgt*B87</f>
        <v>90.91074828496437</v>
      </c>
      <c r="C89" s="7" t="s">
        <v>11</v>
      </c>
      <c r="D89" s="7" t="s">
        <v>387</v>
      </c>
      <c r="F89" s="20">
        <v>3</v>
      </c>
      <c r="G89" s="20">
        <v>2</v>
      </c>
      <c r="H89" s="20">
        <v>2</v>
      </c>
      <c r="I89" s="2">
        <f t="shared" si="0"/>
        <v>4.6482070085948708</v>
      </c>
    </row>
    <row r="90" spans="1:9" x14ac:dyDescent="0.15">
      <c r="A90" s="7" t="s">
        <v>178</v>
      </c>
      <c r="B90" s="8">
        <f>B88/B89</f>
        <v>2.9051293803717941</v>
      </c>
      <c r="C90" s="7"/>
      <c r="D90" s="7" t="s">
        <v>190</v>
      </c>
      <c r="F90" s="20">
        <v>4</v>
      </c>
      <c r="G90" s="20">
        <v>2</v>
      </c>
      <c r="H90" s="20">
        <v>4</v>
      </c>
      <c r="I90" s="2">
        <f t="shared" si="0"/>
        <v>4.6482070085948708</v>
      </c>
    </row>
    <row r="91" spans="1:9" x14ac:dyDescent="0.15">
      <c r="A91" s="7" t="s">
        <v>180</v>
      </c>
      <c r="B91" s="16">
        <f>1/(1/(SQRT((ESR_bulk*10^-3)^2+1/(2*PI()*B89*10^3*Cout_bulk*10^-6)^2))+1/(SQRT((ESR_cer*10^-3)^2+1/(2*PI()*B89*10^3*Cout_cer*10^-6)^2)))*1000</f>
        <v>2.5928669544837302</v>
      </c>
      <c r="C91" s="7" t="s">
        <v>131</v>
      </c>
      <c r="D91" s="7" t="s">
        <v>181</v>
      </c>
      <c r="F91" s="20">
        <v>5</v>
      </c>
      <c r="G91" s="20">
        <v>2</v>
      </c>
      <c r="H91" s="20">
        <v>8</v>
      </c>
      <c r="I91" s="2">
        <f t="shared" si="0"/>
        <v>4.6482070085948708</v>
      </c>
    </row>
    <row r="92" spans="1:9" x14ac:dyDescent="0.15">
      <c r="A92" s="7" t="s">
        <v>182</v>
      </c>
      <c r="B92" s="32">
        <f>B91*B20</f>
        <v>38.893004317255951</v>
      </c>
      <c r="C92" s="7" t="s">
        <v>33</v>
      </c>
      <c r="D92" s="7" t="s">
        <v>185</v>
      </c>
      <c r="F92" s="20">
        <v>6</v>
      </c>
      <c r="G92" s="20">
        <v>3</v>
      </c>
      <c r="H92" s="20">
        <v>0.5</v>
      </c>
      <c r="I92" s="2">
        <f t="shared" si="0"/>
        <v>6.9723105128923057</v>
      </c>
    </row>
    <row r="93" spans="1:9" x14ac:dyDescent="0.15">
      <c r="A93" s="7" t="s">
        <v>183</v>
      </c>
      <c r="B93" s="8">
        <f>B92/Vout/10</f>
        <v>3.8893004317255953</v>
      </c>
      <c r="C93" s="7" t="s">
        <v>184</v>
      </c>
      <c r="D93" s="7" t="s">
        <v>186</v>
      </c>
      <c r="F93" s="20">
        <v>7</v>
      </c>
      <c r="G93" s="20">
        <v>3</v>
      </c>
      <c r="H93" s="20">
        <v>1</v>
      </c>
      <c r="I93" s="2">
        <f t="shared" si="0"/>
        <v>6.9723105128923057</v>
      </c>
    </row>
    <row r="94" spans="1:9" ht="14.25" thickBot="1" x14ac:dyDescent="0.2">
      <c r="F94" s="20">
        <v>8</v>
      </c>
      <c r="G94" s="20">
        <v>3</v>
      </c>
      <c r="H94" s="20">
        <v>2</v>
      </c>
      <c r="I94" s="2">
        <f t="shared" si="0"/>
        <v>6.9723105128923057</v>
      </c>
    </row>
    <row r="95" spans="1:9" ht="15" thickBot="1" x14ac:dyDescent="0.2">
      <c r="A95" s="153" t="s">
        <v>379</v>
      </c>
      <c r="B95" s="154"/>
      <c r="C95" s="154"/>
      <c r="D95" s="155"/>
      <c r="F95" s="20">
        <v>9</v>
      </c>
      <c r="G95" s="20">
        <v>3</v>
      </c>
      <c r="H95" s="20">
        <v>4</v>
      </c>
      <c r="I95" s="2">
        <f t="shared" si="0"/>
        <v>6.9723105128923057</v>
      </c>
    </row>
    <row r="96" spans="1:9" ht="14.25" thickBot="1" x14ac:dyDescent="0.2">
      <c r="A96" s="137" t="s">
        <v>351</v>
      </c>
      <c r="B96" s="138"/>
      <c r="C96" s="138"/>
      <c r="D96" s="139"/>
      <c r="F96" s="20">
        <v>10</v>
      </c>
      <c r="G96" s="20">
        <v>3</v>
      </c>
      <c r="H96" s="20">
        <v>8</v>
      </c>
      <c r="I96" s="2">
        <f t="shared" si="0"/>
        <v>6.9723105128923057</v>
      </c>
    </row>
    <row r="97" spans="1:9" x14ac:dyDescent="0.15">
      <c r="F97" s="20">
        <v>11</v>
      </c>
      <c r="G97" s="20">
        <v>4</v>
      </c>
      <c r="H97" s="20">
        <v>0.5</v>
      </c>
      <c r="I97" s="2">
        <f t="shared" si="0"/>
        <v>9.2964140171897416</v>
      </c>
    </row>
    <row r="98" spans="1:9" x14ac:dyDescent="0.15">
      <c r="A98" s="7" t="s">
        <v>372</v>
      </c>
      <c r="B98" s="8">
        <f>1.7/(B78*CSA/1000)*PI()</f>
        <v>5.6795058090154438</v>
      </c>
      <c r="C98" s="7"/>
      <c r="D98" s="7" t="s">
        <v>102</v>
      </c>
      <c r="F98" s="20">
        <v>12</v>
      </c>
      <c r="G98" s="20">
        <v>4</v>
      </c>
      <c r="H98" s="20">
        <v>1</v>
      </c>
      <c r="I98" s="2">
        <f t="shared" si="0"/>
        <v>9.2964140171897416</v>
      </c>
    </row>
    <row r="99" spans="1:9" x14ac:dyDescent="0.15">
      <c r="A99" s="7" t="s">
        <v>103</v>
      </c>
      <c r="B99" s="16">
        <f>fsw/12</f>
        <v>125</v>
      </c>
      <c r="C99" s="7" t="s">
        <v>11</v>
      </c>
      <c r="D99" s="7" t="s">
        <v>104</v>
      </c>
      <c r="F99" s="20">
        <v>13</v>
      </c>
      <c r="G99" s="20">
        <v>4</v>
      </c>
      <c r="H99" s="20">
        <v>2</v>
      </c>
      <c r="I99" s="2">
        <f t="shared" si="0"/>
        <v>9.2964140171897416</v>
      </c>
    </row>
    <row r="100" spans="1:9" x14ac:dyDescent="0.15">
      <c r="A100" s="7" t="s">
        <v>105</v>
      </c>
      <c r="B100" s="7">
        <f>fsw</f>
        <v>1500</v>
      </c>
      <c r="C100" s="7" t="s">
        <v>11</v>
      </c>
      <c r="D100" s="7" t="s">
        <v>106</v>
      </c>
      <c r="F100" s="20">
        <v>14</v>
      </c>
      <c r="G100" s="20">
        <v>4</v>
      </c>
      <c r="H100" s="20">
        <v>4</v>
      </c>
      <c r="I100" s="2">
        <f t="shared" si="0"/>
        <v>9.2964140171897416</v>
      </c>
    </row>
    <row r="101" spans="1:9" x14ac:dyDescent="0.15">
      <c r="F101" s="20">
        <v>15</v>
      </c>
      <c r="G101" s="20">
        <v>4</v>
      </c>
      <c r="H101" s="20">
        <v>8</v>
      </c>
      <c r="I101" s="2">
        <f t="shared" si="0"/>
        <v>9.2964140171897416</v>
      </c>
    </row>
    <row r="102" spans="1:9" x14ac:dyDescent="0.15">
      <c r="A102" s="6" t="s">
        <v>1</v>
      </c>
      <c r="B102" s="31">
        <v>50</v>
      </c>
      <c r="C102" s="6" t="s">
        <v>9</v>
      </c>
      <c r="D102" s="6" t="s">
        <v>108</v>
      </c>
      <c r="F102" s="20">
        <v>16</v>
      </c>
      <c r="G102" s="20">
        <v>5</v>
      </c>
      <c r="H102" s="20">
        <v>0.5</v>
      </c>
      <c r="I102" s="2">
        <f t="shared" si="0"/>
        <v>11.620517521487177</v>
      </c>
    </row>
    <row r="103" spans="1:9" x14ac:dyDescent="0.15">
      <c r="A103" s="10" t="s">
        <v>352</v>
      </c>
      <c r="B103" s="15">
        <f>ILOOP_trgt/(B102*10^-6)/1000</f>
        <v>113.5901161803089</v>
      </c>
      <c r="C103" s="10" t="s">
        <v>109</v>
      </c>
      <c r="D103" s="10" t="s">
        <v>107</v>
      </c>
      <c r="F103" s="20">
        <v>17</v>
      </c>
      <c r="G103" s="20">
        <v>5</v>
      </c>
      <c r="H103" s="20">
        <v>1</v>
      </c>
      <c r="I103" s="2">
        <f t="shared" si="0"/>
        <v>11.620517521487177</v>
      </c>
    </row>
    <row r="104" spans="1:9" x14ac:dyDescent="0.15">
      <c r="A104" s="6" t="s">
        <v>5</v>
      </c>
      <c r="B104" s="31">
        <v>110</v>
      </c>
      <c r="C104" s="6" t="s">
        <v>109</v>
      </c>
      <c r="D104" s="6" t="s">
        <v>343</v>
      </c>
      <c r="F104" s="20">
        <v>18</v>
      </c>
      <c r="G104" s="20">
        <v>5</v>
      </c>
      <c r="H104" s="20">
        <v>2</v>
      </c>
      <c r="I104" s="2">
        <f t="shared" si="0"/>
        <v>11.620517521487177</v>
      </c>
    </row>
    <row r="105" spans="1:9" x14ac:dyDescent="0.15">
      <c r="A105" s="10" t="s">
        <v>353</v>
      </c>
      <c r="B105" s="15">
        <f>1/(2*PI()*B104*10^3*fzi_trgt*10^3)*10^12</f>
        <v>11.574904952137842</v>
      </c>
      <c r="C105" s="10" t="s">
        <v>10</v>
      </c>
      <c r="D105" s="10" t="s">
        <v>101</v>
      </c>
      <c r="F105" s="20">
        <v>19</v>
      </c>
      <c r="G105" s="20">
        <v>5</v>
      </c>
      <c r="H105" s="20">
        <v>4</v>
      </c>
      <c r="I105" s="2">
        <f t="shared" si="0"/>
        <v>11.620517521487177</v>
      </c>
    </row>
    <row r="106" spans="1:9" x14ac:dyDescent="0.15">
      <c r="A106" s="6" t="s">
        <v>355</v>
      </c>
      <c r="B106" s="33">
        <v>40</v>
      </c>
      <c r="C106" s="6"/>
      <c r="D106" s="6" t="s">
        <v>377</v>
      </c>
      <c r="F106" s="20">
        <v>20</v>
      </c>
      <c r="G106" s="20">
        <v>5</v>
      </c>
      <c r="H106" s="20">
        <v>8</v>
      </c>
      <c r="I106" s="2">
        <f t="shared" si="0"/>
        <v>11.620517521487177</v>
      </c>
    </row>
    <row r="107" spans="1:9" x14ac:dyDescent="0.15">
      <c r="A107" s="6" t="s">
        <v>100</v>
      </c>
      <c r="B107" s="31">
        <v>13.32</v>
      </c>
      <c r="C107" s="6" t="s">
        <v>10</v>
      </c>
      <c r="D107" s="6" t="s">
        <v>344</v>
      </c>
      <c r="F107" s="20">
        <v>21</v>
      </c>
      <c r="G107" s="20">
        <v>6</v>
      </c>
      <c r="H107" s="20">
        <v>0.5</v>
      </c>
      <c r="I107" s="2">
        <f t="shared" si="0"/>
        <v>13.199759353410434</v>
      </c>
    </row>
    <row r="108" spans="1:9" x14ac:dyDescent="0.15">
      <c r="A108" s="10" t="s">
        <v>354</v>
      </c>
      <c r="B108" s="15">
        <f>1/(2*PI()*B104*10^3*fpi_trgt*10^3)*10^12</f>
        <v>0.9645754126781535</v>
      </c>
      <c r="C108" s="10" t="s">
        <v>10</v>
      </c>
      <c r="D108" s="10" t="s">
        <v>123</v>
      </c>
      <c r="F108" s="20">
        <v>22</v>
      </c>
      <c r="G108" s="20">
        <v>6</v>
      </c>
      <c r="H108" s="20">
        <v>1</v>
      </c>
      <c r="I108" s="2">
        <f t="shared" si="0"/>
        <v>13.199759353410434</v>
      </c>
    </row>
    <row r="109" spans="1:9" x14ac:dyDescent="0.15">
      <c r="A109" s="6" t="s">
        <v>7</v>
      </c>
      <c r="B109" s="31">
        <v>3.2</v>
      </c>
      <c r="C109" s="6" t="s">
        <v>10</v>
      </c>
      <c r="D109" s="6" t="s">
        <v>345</v>
      </c>
      <c r="F109" s="20">
        <v>23</v>
      </c>
      <c r="G109" s="20">
        <v>6</v>
      </c>
      <c r="H109" s="20">
        <v>2</v>
      </c>
      <c r="I109" s="2">
        <f t="shared" si="0"/>
        <v>13.199759353410434</v>
      </c>
    </row>
    <row r="110" spans="1:9" x14ac:dyDescent="0.15">
      <c r="A110" s="7" t="s">
        <v>356</v>
      </c>
      <c r="B110" s="7">
        <f>B104*B102/1000</f>
        <v>5.5</v>
      </c>
      <c r="C110" s="7"/>
      <c r="D110" s="7" t="s">
        <v>359</v>
      </c>
      <c r="F110" s="20">
        <v>24</v>
      </c>
      <c r="G110" s="20">
        <v>6</v>
      </c>
      <c r="H110" s="20">
        <v>4</v>
      </c>
      <c r="I110" s="2">
        <f t="shared" si="0"/>
        <v>13.199759353410434</v>
      </c>
    </row>
    <row r="111" spans="1:9" x14ac:dyDescent="0.15">
      <c r="A111" s="7" t="s">
        <v>357</v>
      </c>
      <c r="B111" s="32">
        <f>1/(2*PI()*B107*B104*10^-6)</f>
        <v>108.62335728357587</v>
      </c>
      <c r="C111" s="7" t="s">
        <v>11</v>
      </c>
      <c r="D111" s="7" t="s">
        <v>360</v>
      </c>
      <c r="F111" s="20">
        <v>25</v>
      </c>
      <c r="G111" s="20">
        <v>6</v>
      </c>
      <c r="H111" s="20">
        <v>8</v>
      </c>
      <c r="I111" s="2">
        <f t="shared" si="0"/>
        <v>13.199759353410434</v>
      </c>
    </row>
    <row r="112" spans="1:9" x14ac:dyDescent="0.15">
      <c r="A112" s="7" t="s">
        <v>358</v>
      </c>
      <c r="B112" s="32">
        <f>1/(2*PI()*B104*B109*10^-6)</f>
        <v>452.14472469288444</v>
      </c>
      <c r="C112" s="7" t="s">
        <v>11</v>
      </c>
      <c r="D112" s="7" t="s">
        <v>361</v>
      </c>
      <c r="F112" s="20">
        <v>26</v>
      </c>
      <c r="G112" s="20">
        <v>7</v>
      </c>
      <c r="H112" s="20">
        <v>0.5</v>
      </c>
      <c r="I112" s="2">
        <f t="shared" si="0"/>
        <v>13.199759353410434</v>
      </c>
    </row>
    <row r="113" spans="1:9" x14ac:dyDescent="0.15">
      <c r="A113" s="7" t="s">
        <v>176</v>
      </c>
      <c r="B113" s="32">
        <f>fcoi_trgt/ILOOP_trgt*ILOOP</f>
        <v>363.14779302207273</v>
      </c>
      <c r="C113" s="7" t="s">
        <v>11</v>
      </c>
      <c r="D113" s="7" t="s">
        <v>365</v>
      </c>
      <c r="F113" s="20">
        <v>27</v>
      </c>
      <c r="G113" s="20">
        <v>7</v>
      </c>
      <c r="H113" s="20">
        <v>1</v>
      </c>
      <c r="I113" s="2">
        <f t="shared" si="0"/>
        <v>13.199759353410434</v>
      </c>
    </row>
    <row r="114" spans="1:9" x14ac:dyDescent="0.15">
      <c r="F114" s="20">
        <v>28</v>
      </c>
      <c r="G114" s="20">
        <v>7</v>
      </c>
      <c r="H114" s="20">
        <v>2</v>
      </c>
      <c r="I114" s="2">
        <f t="shared" si="0"/>
        <v>13.199759353410434</v>
      </c>
    </row>
    <row r="115" spans="1:9" x14ac:dyDescent="0.15">
      <c r="A115" s="7" t="s">
        <v>152</v>
      </c>
      <c r="B115" s="8">
        <f>Zout_fco_trgt*GM_PS/1000</f>
        <v>0.15151791380827395</v>
      </c>
      <c r="C115" s="7"/>
      <c r="D115" s="7" t="s">
        <v>222</v>
      </c>
      <c r="F115" s="20">
        <v>29</v>
      </c>
      <c r="G115" s="20">
        <v>7</v>
      </c>
      <c r="H115" s="20">
        <v>4</v>
      </c>
      <c r="I115" s="2">
        <f t="shared" si="0"/>
        <v>13.199759353410434</v>
      </c>
    </row>
    <row r="116" spans="1:9" x14ac:dyDescent="0.15">
      <c r="A116" s="7" t="s">
        <v>373</v>
      </c>
      <c r="B116" s="8">
        <f>1/(B115*VOSL)</f>
        <v>13.199759353410434</v>
      </c>
      <c r="C116" s="7"/>
      <c r="D116" s="7" t="s">
        <v>116</v>
      </c>
      <c r="F116" s="27">
        <v>30</v>
      </c>
      <c r="G116" s="27">
        <v>7</v>
      </c>
      <c r="H116" s="27">
        <v>8</v>
      </c>
      <c r="I116" s="2">
        <f t="shared" si="0"/>
        <v>13.199759353410434</v>
      </c>
    </row>
    <row r="117" spans="1:9" x14ac:dyDescent="0.15">
      <c r="A117" s="7" t="s">
        <v>114</v>
      </c>
      <c r="B117" s="8">
        <f>IF(B61*B115&lt;fcov_trgt/3,B61*B115,fcov_trgt/3)</f>
        <v>0.78358488869402232</v>
      </c>
      <c r="C117" s="7" t="s">
        <v>11</v>
      </c>
      <c r="D117" s="7" t="s">
        <v>117</v>
      </c>
      <c r="F117" s="27">
        <v>31</v>
      </c>
      <c r="G117" s="27">
        <v>10</v>
      </c>
      <c r="H117" s="27">
        <v>2</v>
      </c>
      <c r="I117" s="2">
        <f t="shared" si="0"/>
        <v>13.199759353410434</v>
      </c>
    </row>
    <row r="118" spans="1:9" x14ac:dyDescent="0.15">
      <c r="A118" s="7" t="s">
        <v>115</v>
      </c>
      <c r="B118" s="7">
        <f>fsw/2</f>
        <v>750</v>
      </c>
      <c r="C118" s="7" t="s">
        <v>11</v>
      </c>
      <c r="D118" s="7" t="s">
        <v>118</v>
      </c>
    </row>
    <row r="120" spans="1:9" x14ac:dyDescent="0.15">
      <c r="A120" s="6" t="s">
        <v>0</v>
      </c>
      <c r="B120" s="31">
        <v>100</v>
      </c>
      <c r="C120" s="6" t="s">
        <v>9</v>
      </c>
      <c r="D120" s="6" t="s">
        <v>119</v>
      </c>
    </row>
    <row r="121" spans="1:9" x14ac:dyDescent="0.15">
      <c r="A121" s="10" t="s">
        <v>362</v>
      </c>
      <c r="B121" s="15">
        <f>VLOOP_trgt/B120*1000</f>
        <v>131.99759353410434</v>
      </c>
      <c r="C121" s="10" t="s">
        <v>109</v>
      </c>
      <c r="D121" s="10" t="s">
        <v>120</v>
      </c>
    </row>
    <row r="122" spans="1:9" x14ac:dyDescent="0.15">
      <c r="A122" s="6" t="s">
        <v>2</v>
      </c>
      <c r="B122" s="31">
        <v>80</v>
      </c>
      <c r="C122" s="6" t="s">
        <v>109</v>
      </c>
      <c r="D122" s="6" t="s">
        <v>346</v>
      </c>
    </row>
    <row r="123" spans="1:9" x14ac:dyDescent="0.15">
      <c r="A123" s="10" t="s">
        <v>363</v>
      </c>
      <c r="B123" s="15">
        <f>1/(2*PI()*B122*10^3*B117*10^3)*10^12</f>
        <v>2538.8912131325387</v>
      </c>
      <c r="C123" s="10" t="s">
        <v>10</v>
      </c>
      <c r="D123" s="10" t="s">
        <v>121</v>
      </c>
    </row>
    <row r="124" spans="1:9" x14ac:dyDescent="0.15">
      <c r="A124" s="6" t="s">
        <v>126</v>
      </c>
      <c r="B124" s="31">
        <v>2500</v>
      </c>
      <c r="C124" s="6" t="s">
        <v>10</v>
      </c>
      <c r="D124" s="6" t="s">
        <v>347</v>
      </c>
    </row>
    <row r="125" spans="1:9" x14ac:dyDescent="0.15">
      <c r="A125" s="10" t="s">
        <v>364</v>
      </c>
      <c r="B125" s="15">
        <f>1/(2*PI()*B122*10^3*B118*10^3)*10^12</f>
        <v>2.6525823848649228</v>
      </c>
      <c r="C125" s="10" t="s">
        <v>10</v>
      </c>
      <c r="D125" s="10" t="s">
        <v>122</v>
      </c>
    </row>
    <row r="126" spans="1:9" x14ac:dyDescent="0.15">
      <c r="A126" s="6" t="s">
        <v>4</v>
      </c>
      <c r="B126" s="31">
        <v>6.25</v>
      </c>
      <c r="C126" s="6" t="s">
        <v>10</v>
      </c>
      <c r="D126" s="6" t="s">
        <v>348</v>
      </c>
    </row>
    <row r="127" spans="1:9" x14ac:dyDescent="0.15">
      <c r="A127" s="7" t="s">
        <v>369</v>
      </c>
      <c r="B127" s="7">
        <f>B122*B120/1000</f>
        <v>8</v>
      </c>
      <c r="C127" s="7"/>
      <c r="D127" s="7" t="s">
        <v>368</v>
      </c>
    </row>
    <row r="128" spans="1:9" x14ac:dyDescent="0.15">
      <c r="A128" s="7" t="s">
        <v>370</v>
      </c>
      <c r="B128" s="32">
        <f>1/(2*PI()*B124*B122*10^-6)</f>
        <v>0.79577471545947676</v>
      </c>
      <c r="C128" s="7" t="s">
        <v>11</v>
      </c>
      <c r="D128" s="7" t="s">
        <v>367</v>
      </c>
    </row>
    <row r="129" spans="1:4" x14ac:dyDescent="0.15">
      <c r="A129" s="7" t="s">
        <v>371</v>
      </c>
      <c r="B129" s="32">
        <f>1/(2*PI()*B122*B126*10^-6)</f>
        <v>318.3098861837907</v>
      </c>
      <c r="C129" s="7" t="s">
        <v>11</v>
      </c>
      <c r="D129" s="7" t="s">
        <v>366</v>
      </c>
    </row>
    <row r="130" spans="1:4" x14ac:dyDescent="0.15">
      <c r="A130" s="7" t="s">
        <v>177</v>
      </c>
      <c r="B130" s="32">
        <f>fcov_trgt/VLOOP_trgt*VLOOP</f>
        <v>90.91074828496437</v>
      </c>
      <c r="C130" s="7" t="s">
        <v>11</v>
      </c>
      <c r="D130" s="7" t="s">
        <v>179</v>
      </c>
    </row>
    <row r="131" spans="1:4" x14ac:dyDescent="0.15">
      <c r="A131" s="7" t="s">
        <v>178</v>
      </c>
      <c r="B131" s="8">
        <f>B113/B130</f>
        <v>3.9945528980112175</v>
      </c>
      <c r="C131" s="7"/>
      <c r="D131" s="7" t="s">
        <v>190</v>
      </c>
    </row>
    <row r="132" spans="1:4" x14ac:dyDescent="0.15">
      <c r="A132" s="7" t="s">
        <v>180</v>
      </c>
      <c r="B132" s="8">
        <f>1/(1/(SQRT((ESR_bulk*10^-3)^2+1/(2*PI()*B130*10^3*Cout_bulk*10^-6)^2))+1/(SQRT((ESR_cer*10^-3)^2+1/(2*PI()*B130*10^3*Cout_cer*10^-6)^2)))*1000</f>
        <v>2.5928669544837302</v>
      </c>
      <c r="C132" s="7" t="s">
        <v>131</v>
      </c>
      <c r="D132" s="7" t="s">
        <v>181</v>
      </c>
    </row>
    <row r="133" spans="1:4" x14ac:dyDescent="0.15">
      <c r="A133" s="7" t="s">
        <v>182</v>
      </c>
      <c r="B133" s="32">
        <f>B132*B20</f>
        <v>38.893004317255951</v>
      </c>
      <c r="C133" s="7" t="s">
        <v>33</v>
      </c>
      <c r="D133" s="7" t="s">
        <v>185</v>
      </c>
    </row>
    <row r="134" spans="1:4" x14ac:dyDescent="0.15">
      <c r="A134" s="7" t="s">
        <v>183</v>
      </c>
      <c r="B134" s="8">
        <f>B133/Vout/10</f>
        <v>3.8893004317255953</v>
      </c>
      <c r="C134" s="7" t="s">
        <v>184</v>
      </c>
      <c r="D134" s="7" t="s">
        <v>186</v>
      </c>
    </row>
    <row r="136" spans="1:4" x14ac:dyDescent="0.15">
      <c r="A136" s="24" t="s">
        <v>139</v>
      </c>
      <c r="B136" s="24" t="str">
        <f>DEC2HEX(B139+2*B141+2^6*B140+2^10*B138+2^17*B145+2^22*B144+2^26*B143+2^32*B137+2^36*B142,10)</f>
        <v>2141425842</v>
      </c>
      <c r="C136" s="24" t="s">
        <v>140</v>
      </c>
      <c r="D136" s="24"/>
    </row>
    <row r="137" spans="1:4" x14ac:dyDescent="0.15">
      <c r="A137" s="24" t="str">
        <f>"GMI = " &amp; REPT(" ",15) &amp; B102 &amp; " µS"</f>
        <v>GMI =                50 µS</v>
      </c>
      <c r="B137" s="24">
        <f>VLOOKUP(B102,'Compensation References'!E1:P9,12,FALSE)</f>
        <v>1</v>
      </c>
      <c r="C137" s="24" t="s">
        <v>14</v>
      </c>
      <c r="D137" s="24"/>
    </row>
    <row r="138" spans="1:4" x14ac:dyDescent="0.15">
      <c r="A138" s="24" t="str">
        <f>"RVI = " &amp; REPT(" ",16) &amp; B104 &amp; " kΩ"</f>
        <v>RVI =                 110 kΩ</v>
      </c>
      <c r="B138" s="24">
        <f>VLOOKUP(B104,'Compensation References'!I2:P65,8,FALSE)</f>
        <v>22</v>
      </c>
      <c r="C138" s="24" t="s">
        <v>14</v>
      </c>
      <c r="D138" s="24"/>
    </row>
    <row r="139" spans="1:4" ht="27" x14ac:dyDescent="0.15">
      <c r="A139" s="24" t="str">
        <f>"CZI_MULT = " &amp; REPT(" ",3) &amp; B106</f>
        <v>CZI_MULT =    40</v>
      </c>
      <c r="B139" s="24">
        <f>VLOOKUP(B106,'Compensation References'!M2:P3,4,FALSE)</f>
        <v>0</v>
      </c>
      <c r="C139" s="24" t="s">
        <v>14</v>
      </c>
      <c r="D139" s="26" t="s">
        <v>376</v>
      </c>
    </row>
    <row r="140" spans="1:4" x14ac:dyDescent="0.15">
      <c r="A140" s="24" t="str">
        <f>"CZI = " &amp; REPT(" ",16) &amp; B107 &amp; " pF"</f>
        <v>CZI =                 13.32 pF</v>
      </c>
      <c r="B140" s="24">
        <f>VLOOKUP(B107,'Compensation References'!N2:P17,3,FALSE)</f>
        <v>1</v>
      </c>
      <c r="C140" s="24" t="s">
        <v>14</v>
      </c>
      <c r="D140" s="24" t="s">
        <v>191</v>
      </c>
    </row>
    <row r="141" spans="1:4" x14ac:dyDescent="0.15">
      <c r="A141" s="24" t="str">
        <f>"CPI = " &amp; REPT(" ",16) &amp; B109 &amp; " pF"</f>
        <v>CPI =                 3.2 pF</v>
      </c>
      <c r="B141" s="24">
        <f>VLOOKUP(B109,'Compensation References'!K2:P33,6,FALSE)</f>
        <v>1</v>
      </c>
      <c r="C141" s="24" t="s">
        <v>14</v>
      </c>
      <c r="D141" s="24"/>
    </row>
    <row r="142" spans="1:4" x14ac:dyDescent="0.15">
      <c r="A142" s="24" t="str">
        <f>"GMV = " &amp; REPT(" ",13) &amp; B120 &amp; " µS"</f>
        <v>GMV =              100 µS</v>
      </c>
      <c r="B142" s="24">
        <f>VLOOKUP(B120,'Compensation References'!D1:P9,13,FALSE)</f>
        <v>2</v>
      </c>
      <c r="C142" s="24" t="s">
        <v>14</v>
      </c>
      <c r="D142" s="24"/>
    </row>
    <row r="143" spans="1:4" x14ac:dyDescent="0.15">
      <c r="A143" s="24" t="str">
        <f>"RVV = " &amp; REPT(" ",14) &amp; B122 &amp; " kΩ"</f>
        <v>RVV =               80 kΩ</v>
      </c>
      <c r="B143" s="24">
        <f>VLOOKUP(B122,'Compensation References'!F2:P65,11,FALSE)</f>
        <v>16</v>
      </c>
      <c r="C143" s="24" t="s">
        <v>14</v>
      </c>
      <c r="D143" s="24"/>
    </row>
    <row r="144" spans="1:4" x14ac:dyDescent="0.15">
      <c r="A144" s="24" t="str">
        <f>"CZV = " &amp; REPT(" ",15) &amp; B124 &amp; " pF"</f>
        <v>CZV =                2500 pF</v>
      </c>
      <c r="B144" s="24">
        <f>VLOOKUP(B124,'Compensation References'!O2:P17,2,FALSE)</f>
        <v>5</v>
      </c>
      <c r="C144" s="24" t="s">
        <v>14</v>
      </c>
      <c r="D144" s="24" t="s">
        <v>192</v>
      </c>
    </row>
    <row r="145" spans="1:4" x14ac:dyDescent="0.15">
      <c r="A145" s="24" t="str">
        <f>"CPV = " &amp; REPT(" ",14) &amp; B126 &amp; " pF"</f>
        <v>CPV =               6.25 pF</v>
      </c>
      <c r="B145" s="24">
        <f>VLOOKUP(B126,'Compensation References'!H2:P33,9,FALSE)</f>
        <v>1</v>
      </c>
      <c r="C145" s="24" t="s">
        <v>14</v>
      </c>
      <c r="D145" s="24"/>
    </row>
  </sheetData>
  <sheetProtection sheet="1" objects="1" scenarios="1"/>
  <mergeCells count="15">
    <mergeCell ref="F78:H83"/>
    <mergeCell ref="F84:H84"/>
    <mergeCell ref="A96:D96"/>
    <mergeCell ref="A84:D84"/>
    <mergeCell ref="A1:D2"/>
    <mergeCell ref="A3:C3"/>
    <mergeCell ref="D3:D9"/>
    <mergeCell ref="A4:C4"/>
    <mergeCell ref="A5:C5"/>
    <mergeCell ref="A6:C6"/>
    <mergeCell ref="A7:C7"/>
    <mergeCell ref="A8:C8"/>
    <mergeCell ref="A9:C9"/>
    <mergeCell ref="A83:D83"/>
    <mergeCell ref="A95:D95"/>
  </mergeCells>
  <phoneticPr fontId="11" type="noConversion"/>
  <conditionalFormatting sqref="B14">
    <cfRule type="cellIs" dxfId="62" priority="38" operator="lessThan">
      <formula>0.6</formula>
    </cfRule>
    <cfRule type="cellIs" dxfId="61" priority="39" operator="greaterThan">
      <formula>5.5</formula>
    </cfRule>
  </conditionalFormatting>
  <conditionalFormatting sqref="B18">
    <cfRule type="cellIs" dxfId="60" priority="36" operator="greaterThan">
      <formula>40</formula>
    </cfRule>
    <cfRule type="cellIs" dxfId="59" priority="37" operator="between">
      <formula>35.1</formula>
      <formula>40</formula>
    </cfRule>
  </conditionalFormatting>
  <conditionalFormatting sqref="B13">
    <cfRule type="cellIs" dxfId="58" priority="11" operator="lessThan">
      <formula>1.8</formula>
    </cfRule>
    <cfRule type="cellIs" dxfId="57" priority="34" stopIfTrue="1" operator="greaterThan">
      <formula>16</formula>
    </cfRule>
    <cfRule type="cellIs" dxfId="56" priority="35" stopIfTrue="1" operator="between">
      <formula>1.8</formula>
      <formula>4</formula>
    </cfRule>
  </conditionalFormatting>
  <conditionalFormatting sqref="B16">
    <cfRule type="cellIs" dxfId="55" priority="27" operator="lessThan">
      <formula>0.25</formula>
    </cfRule>
    <cfRule type="cellIs" dxfId="54" priority="28" operator="greaterThan">
      <formula>0.7</formula>
    </cfRule>
  </conditionalFormatting>
  <conditionalFormatting sqref="B19">
    <cfRule type="cellIs" dxfId="53" priority="26" operator="greaterThan">
      <formula>$B$12</formula>
    </cfRule>
  </conditionalFormatting>
  <conditionalFormatting sqref="B131">
    <cfRule type="cellIs" dxfId="52" priority="24" operator="lessThan">
      <formula>2</formula>
    </cfRule>
  </conditionalFormatting>
  <conditionalFormatting sqref="B133">
    <cfRule type="cellIs" dxfId="51" priority="22" operator="greaterThan">
      <formula>$B$23</formula>
    </cfRule>
    <cfRule type="cellIs" dxfId="50" priority="23" operator="greaterThan">
      <formula>$B$22</formula>
    </cfRule>
  </conditionalFormatting>
  <conditionalFormatting sqref="B113">
    <cfRule type="cellIs" dxfId="49" priority="13" operator="greaterThan">
      <formula>$B$24/3</formula>
    </cfRule>
  </conditionalFormatting>
  <conditionalFormatting sqref="B64">
    <cfRule type="cellIs" dxfId="48" priority="12" operator="greaterThan">
      <formula>$B$21</formula>
    </cfRule>
  </conditionalFormatting>
  <conditionalFormatting sqref="B79">
    <cfRule type="cellIs" dxfId="47" priority="10" operator="lessThan">
      <formula>2*$B$76</formula>
    </cfRule>
  </conditionalFormatting>
  <conditionalFormatting sqref="B32">
    <cfRule type="cellIs" dxfId="46" priority="8" operator="lessThan">
      <formula>$B$12*0.05</formula>
    </cfRule>
  </conditionalFormatting>
  <conditionalFormatting sqref="H87:H117">
    <cfRule type="cellIs" dxfId="45" priority="40" operator="greaterThan">
      <formula>I87</formula>
    </cfRule>
    <cfRule type="cellIs" dxfId="44" priority="41" operator="lessThan">
      <formula>I87</formula>
    </cfRule>
  </conditionalFormatting>
  <conditionalFormatting sqref="B104">
    <cfRule type="cellIs" dxfId="43" priority="7" operator="greaterThan">
      <formula>$B$103</formula>
    </cfRule>
  </conditionalFormatting>
  <conditionalFormatting sqref="B122">
    <cfRule type="cellIs" dxfId="42" priority="6" operator="greaterThan">
      <formula>$B$121</formula>
    </cfRule>
  </conditionalFormatting>
  <conditionalFormatting sqref="G87:G117">
    <cfRule type="cellIs" dxfId="41" priority="50" operator="lessThan">
      <formula>$B$98</formula>
    </cfRule>
    <cfRule type="cellIs" dxfId="40" priority="51" operator="greaterThan">
      <formula>$B$98</formula>
    </cfRule>
  </conditionalFormatting>
  <conditionalFormatting sqref="B110">
    <cfRule type="cellIs" dxfId="39" priority="52" operator="greaterThan">
      <formula>$B$98</formula>
    </cfRule>
  </conditionalFormatting>
  <conditionalFormatting sqref="B24">
    <cfRule type="expression" dxfId="38" priority="5">
      <formula>AND(fsw&lt;&gt;275,fsw&lt;&gt;325,fsw&lt;&gt;450,fsw&lt;&gt;550,fsw&lt;&gt;650,fsw&lt;&gt;900,fsw&lt;&gt;1100,fsw&lt;&gt;1500)</formula>
    </cfRule>
  </conditionalFormatting>
  <conditionalFormatting sqref="B90">
    <cfRule type="cellIs" dxfId="37" priority="4" operator="lessThan">
      <formula>2</formula>
    </cfRule>
  </conditionalFormatting>
  <conditionalFormatting sqref="B92">
    <cfRule type="cellIs" dxfId="36" priority="2" operator="greaterThan">
      <formula>$B$23</formula>
    </cfRule>
    <cfRule type="cellIs" dxfId="35" priority="3" operator="greaterThan">
      <formula>$B$22</formula>
    </cfRule>
  </conditionalFormatting>
  <conditionalFormatting sqref="B88">
    <cfRule type="cellIs" dxfId="34" priority="1" operator="greaterThan">
      <formula>$B$24/3</formula>
    </cfRule>
  </conditionalFormatting>
  <dataValidations count="1">
    <dataValidation type="list" allowBlank="1" showInputMessage="1" showErrorMessage="1" sqref="B85" xr:uid="{00000000-0002-0000-0000-000000000000}">
      <formula1>$F$87:$F$117</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1047" r:id="rId4">
          <objectPr defaultSize="0" r:id="rId5">
            <anchor moveWithCells="1">
              <from>
                <xdr:col>1</xdr:col>
                <xdr:colOff>0</xdr:colOff>
                <xdr:row>146</xdr:row>
                <xdr:rowOff>9525</xdr:rowOff>
              </from>
              <to>
                <xdr:col>6</xdr:col>
                <xdr:colOff>409575</xdr:colOff>
                <xdr:row>175</xdr:row>
                <xdr:rowOff>9525</xdr:rowOff>
              </to>
            </anchor>
          </objectPr>
        </oleObject>
      </mc:Choice>
      <mc:Fallback>
        <oleObject progId="Visio.Drawing.11" shapeId="1047" r:id="rId4"/>
      </mc:Fallback>
    </mc:AlternateContent>
  </oleObjects>
  <extLst>
    <ext xmlns:x14="http://schemas.microsoft.com/office/spreadsheetml/2009/9/main" uri="{78C0D931-6437-407d-A8EE-F0AAD7539E65}">
      <x14:conditionalFormattings>
        <x14:conditionalFormatting xmlns:xm="http://schemas.microsoft.com/office/excel/2006/main">
          <x14:cfRule type="cellIs" priority="14" operator="lessThan" id="{489B2235-93E0-48B1-AED6-C188103F09D4}">
            <xm:f>'Compensation References'!$M$2</xm:f>
            <x14:dxf>
              <font>
                <color rgb="FF9C0006"/>
              </font>
              <fill>
                <patternFill>
                  <bgColor rgb="FFFFC7CE"/>
                </patternFill>
              </fill>
            </x14:dxf>
          </x14:cfRule>
          <x14:cfRule type="cellIs" priority="15" operator="greaterThan" id="{7A1E6BB6-387F-4127-8EA1-5C71E572B938}">
            <xm:f>'Compensation References'!$M$3</xm:f>
            <x14:dxf>
              <font>
                <color rgb="FF9C0006"/>
              </font>
              <fill>
                <patternFill>
                  <bgColor rgb="FFFFC7CE"/>
                </patternFill>
              </fill>
            </x14:dxf>
          </x14:cfRule>
          <xm:sqref>B106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'Compensation References'!$R$2:$R$13</xm:f>
          </x14:formula1>
          <xm:sqref>B24</xm:sqref>
        </x14:dataValidation>
        <x14:dataValidation type="list" allowBlank="1" showInputMessage="1" showErrorMessage="1" xr:uid="{00000000-0002-0000-0000-000002000000}">
          <x14:formula1>
            <xm:f>'Compensation References'!$E$2:$E$5</xm:f>
          </x14:formula1>
          <xm:sqref>B102</xm:sqref>
        </x14:dataValidation>
        <x14:dataValidation type="list" allowBlank="1" showInputMessage="1" showErrorMessage="1" xr:uid="{00000000-0002-0000-0000-000003000000}">
          <x14:formula1>
            <xm:f>'Compensation References'!$I$2:$I$65</xm:f>
          </x14:formula1>
          <xm:sqref>B104</xm:sqref>
        </x14:dataValidation>
        <x14:dataValidation type="list" allowBlank="1" showInputMessage="1" showErrorMessage="1" xr:uid="{00000000-0002-0000-0000-000004000000}">
          <x14:formula1>
            <xm:f>'Compensation References'!$K$2:$K$33</xm:f>
          </x14:formula1>
          <xm:sqref>B109</xm:sqref>
        </x14:dataValidation>
        <x14:dataValidation type="list" allowBlank="1" showInputMessage="1" showErrorMessage="1" xr:uid="{00000000-0002-0000-0000-000005000000}">
          <x14:formula1>
            <xm:f>'Compensation References'!$N$2:$N$17</xm:f>
          </x14:formula1>
          <xm:sqref>B107</xm:sqref>
        </x14:dataValidation>
        <x14:dataValidation type="list" allowBlank="1" showInputMessage="1" showErrorMessage="1" xr:uid="{00000000-0002-0000-0000-000006000000}">
          <x14:formula1>
            <xm:f>'Compensation References'!$D$2:$D$5</xm:f>
          </x14:formula1>
          <xm:sqref>B120</xm:sqref>
        </x14:dataValidation>
        <x14:dataValidation type="list" allowBlank="1" showInputMessage="1" showErrorMessage="1" xr:uid="{00000000-0002-0000-0000-000007000000}">
          <x14:formula1>
            <xm:f>'Compensation References'!$F$2:$F$65</xm:f>
          </x14:formula1>
          <xm:sqref>B122</xm:sqref>
        </x14:dataValidation>
        <x14:dataValidation type="list" allowBlank="1" showInputMessage="1" showErrorMessage="1" xr:uid="{00000000-0002-0000-0000-000008000000}">
          <x14:formula1>
            <xm:f>'Compensation References'!$O$2:$O$17</xm:f>
          </x14:formula1>
          <xm:sqref>B124</xm:sqref>
        </x14:dataValidation>
        <x14:dataValidation type="list" allowBlank="1" showInputMessage="1" showErrorMessage="1" xr:uid="{00000000-0002-0000-0000-000009000000}">
          <x14:formula1>
            <xm:f>'Compensation References'!$H$2:$H$33</xm:f>
          </x14:formula1>
          <xm:sqref>B126</xm:sqref>
        </x14:dataValidation>
        <x14:dataValidation type="list" allowBlank="1" showInputMessage="1" showErrorMessage="1" xr:uid="{00000000-0002-0000-0000-00000A000000}">
          <x14:formula1>
            <xm:f>'Compensation References'!$M$2:$M$3</xm:f>
          </x14:formula1>
          <xm:sqref>B106</xm:sqref>
        </x14:dataValidation>
        <x14:dataValidation type="list" allowBlank="1" showInputMessage="1" showErrorMessage="1" xr:uid="{00000000-0002-0000-0000-00000B000000}">
          <x14:formula1>
            <xm:f>'Compensation References'!$Q$2:$Q$5</xm:f>
          </x14:formula1>
          <xm:sqref>B18</xm:sqref>
        </x14:dataValidation>
        <x14:dataValidation type="list" allowBlank="1" showInputMessage="1" showErrorMessage="1" xr:uid="{00000000-0002-0000-0000-00000C000000}">
          <x14:formula1>
            <xm:f>'Compensation References'!$T$2:$T$5</xm:f>
          </x14:formula1>
          <xm:sqref>B15</xm:sqref>
        </x14:dataValidation>
        <x14:dataValidation type="list" allowBlank="1" showInputMessage="1" showErrorMessage="1" xr:uid="{00000000-0002-0000-0000-00000D000000}">
          <x14:formula1>
            <xm:f>'Compensation References'!$A$2:$A$4</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2"/>
  <sheetViews>
    <sheetView tabSelected="1" workbookViewId="0">
      <selection activeCell="C5" sqref="C5"/>
    </sheetView>
  </sheetViews>
  <sheetFormatPr defaultRowHeight="13.5" x14ac:dyDescent="0.15"/>
  <cols>
    <col min="2" max="2" width="23.875" bestFit="1" customWidth="1"/>
    <col min="3" max="3" width="17.375" customWidth="1"/>
    <col min="8" max="9" width="16.375" bestFit="1" customWidth="1"/>
    <col min="10" max="10" width="9.75" style="37" customWidth="1"/>
    <col min="11" max="11" width="19.625" style="37" bestFit="1" customWidth="1"/>
    <col min="12" max="12" width="11.75" style="37" bestFit="1" customWidth="1"/>
    <col min="15" max="17" width="12.75" style="37" customWidth="1"/>
    <col min="18" max="18" width="9.75" style="37" customWidth="1"/>
  </cols>
  <sheetData>
    <row r="1" spans="1:17" ht="14.25" thickBot="1" x14ac:dyDescent="0.2">
      <c r="A1" s="169" t="s">
        <v>225</v>
      </c>
      <c r="B1" s="169"/>
      <c r="C1" s="169"/>
      <c r="D1" s="169"/>
      <c r="E1" s="169"/>
      <c r="F1" s="169"/>
      <c r="G1" s="169"/>
      <c r="H1" s="169"/>
      <c r="I1" s="169"/>
      <c r="K1" s="162" t="s">
        <v>381</v>
      </c>
      <c r="L1" s="163"/>
      <c r="M1" s="164"/>
      <c r="O1" s="175" t="s">
        <v>175</v>
      </c>
      <c r="P1" s="176"/>
      <c r="Q1" s="177"/>
    </row>
    <row r="2" spans="1:17" ht="14.25" thickBot="1" x14ac:dyDescent="0.2">
      <c r="A2" s="178" t="s">
        <v>226</v>
      </c>
      <c r="B2" s="178"/>
      <c r="C2" s="179" t="str">
        <f>'Design Worksheet'!B11</f>
        <v>TPS546B24A</v>
      </c>
      <c r="D2" s="179"/>
      <c r="E2" s="179"/>
      <c r="F2" s="179"/>
      <c r="G2" s="179"/>
      <c r="H2" s="179"/>
      <c r="I2" s="179"/>
      <c r="K2" s="113" t="s">
        <v>333</v>
      </c>
      <c r="L2" s="112" t="s">
        <v>23</v>
      </c>
      <c r="M2" s="114" t="s">
        <v>229</v>
      </c>
      <c r="O2" s="38" t="s">
        <v>172</v>
      </c>
      <c r="P2" s="39" t="s">
        <v>173</v>
      </c>
      <c r="Q2" s="40" t="s">
        <v>174</v>
      </c>
    </row>
    <row r="3" spans="1:17" ht="14.25" thickBot="1" x14ac:dyDescent="0.2">
      <c r="A3" s="38" t="s">
        <v>227</v>
      </c>
      <c r="B3" s="39" t="s">
        <v>228</v>
      </c>
      <c r="C3" s="39" t="s">
        <v>23</v>
      </c>
      <c r="D3" s="39" t="s">
        <v>229</v>
      </c>
      <c r="E3" s="39" t="s">
        <v>14</v>
      </c>
      <c r="F3" s="39" t="s">
        <v>230</v>
      </c>
      <c r="G3" s="39" t="s">
        <v>231</v>
      </c>
      <c r="H3" s="39" t="s">
        <v>232</v>
      </c>
      <c r="I3" s="40" t="s">
        <v>233</v>
      </c>
      <c r="K3" s="120" t="s">
        <v>210</v>
      </c>
      <c r="L3" s="115" t="str">
        <f>'Design Worksheet'!B11</f>
        <v>TPS546B24A</v>
      </c>
      <c r="M3" s="116"/>
      <c r="O3" s="41">
        <v>0</v>
      </c>
      <c r="P3" s="42" t="s">
        <v>41</v>
      </c>
      <c r="Q3" s="43" t="s">
        <v>41</v>
      </c>
    </row>
    <row r="4" spans="1:17" x14ac:dyDescent="0.15">
      <c r="A4" s="165" t="s">
        <v>234</v>
      </c>
      <c r="B4" s="44" t="s">
        <v>139</v>
      </c>
      <c r="C4" s="100">
        <v>15</v>
      </c>
      <c r="D4" s="45"/>
      <c r="E4" s="46">
        <f>IF(AND(C5=550,OR(C4=7,C4=8,C4=9,C4=10,C4=12,C4=13,C4=14,C4=15,C4=17,C4=18,C4=19,C4=20,C4=22,C4=23,C4=24,C4=25)),VLOOKUP(C4,'Resistor References'!I2:J17,2,FALSE),VLOOKUP(C4,'Resistor References'!G2:H35,2,FALSE))</f>
        <v>15</v>
      </c>
      <c r="F4" s="47" t="str">
        <f>'Resistor References'!G3</f>
        <v>SHORT</v>
      </c>
      <c r="G4" s="48" t="str">
        <f>'Resistor References'!G2</f>
        <v>EEPROM</v>
      </c>
      <c r="H4" s="49"/>
      <c r="I4" s="167" t="str">
        <f>IF(AND(C4=F4,C5=F5),"SHORT",IF(AND(G4=C4,G5=C5),"FLOAT","Resistor"))</f>
        <v>Resistor</v>
      </c>
      <c r="K4" s="106" t="s">
        <v>374</v>
      </c>
      <c r="L4" s="107">
        <f>ILOOP_trgt</f>
        <v>5.6795058090154438</v>
      </c>
      <c r="M4" s="117"/>
      <c r="O4" s="50">
        <v>1</v>
      </c>
      <c r="P4" s="51">
        <v>2</v>
      </c>
      <c r="Q4" s="52">
        <v>0.5</v>
      </c>
    </row>
    <row r="5" spans="1:17" ht="14.25" thickBot="1" x14ac:dyDescent="0.2">
      <c r="A5" s="166"/>
      <c r="B5" s="53" t="s">
        <v>39</v>
      </c>
      <c r="C5" s="101">
        <v>1500</v>
      </c>
      <c r="D5" s="54" t="s">
        <v>11</v>
      </c>
      <c r="E5" s="55">
        <f>IF(AND(C5=550,OR(C4=7,C4=8,C4=9,C4=10,C4=12, C4=13, C4=14, C4=15, C4=17, C4=18, C4=19, C4=20, C4=22, C4=23, C4=24, C4=25)),"Open",VLOOKUP(C5,'Resistor References'!K3:L10,2,FALSE))</f>
        <v>7</v>
      </c>
      <c r="F5" s="56">
        <v>550</v>
      </c>
      <c r="G5" s="57" t="s">
        <v>41</v>
      </c>
      <c r="H5" s="58">
        <v>450</v>
      </c>
      <c r="I5" s="168"/>
      <c r="K5" s="106" t="s">
        <v>375</v>
      </c>
      <c r="L5" s="107">
        <f>VLOOP_trgt</f>
        <v>13.199759353410434</v>
      </c>
      <c r="M5" s="117"/>
      <c r="O5" s="41">
        <v>2</v>
      </c>
      <c r="P5" s="59">
        <v>2</v>
      </c>
      <c r="Q5" s="60">
        <v>1</v>
      </c>
    </row>
    <row r="6" spans="1:17" x14ac:dyDescent="0.15">
      <c r="A6" s="165" t="s">
        <v>235</v>
      </c>
      <c r="B6" s="44" t="s">
        <v>236</v>
      </c>
      <c r="C6" s="100">
        <v>3</v>
      </c>
      <c r="D6" s="45" t="s">
        <v>237</v>
      </c>
      <c r="E6" s="46">
        <f>VLOOKUP(C6,'Resistor References'!M3:N10,2,FALSE)</f>
        <v>2</v>
      </c>
      <c r="F6" s="47">
        <v>3</v>
      </c>
      <c r="G6" s="48">
        <v>3</v>
      </c>
      <c r="H6" s="49">
        <v>3</v>
      </c>
      <c r="I6" s="167" t="str">
        <f>IF(AND(C6=F6,C7=F7,F8=C8),"SHORT",IF(AND(G6=C6,G7=C7,G8=C8),"FLOAT","Resistor"))</f>
        <v>Resistor</v>
      </c>
      <c r="K6" s="108" t="s">
        <v>380</v>
      </c>
      <c r="L6" s="109">
        <f>Comp_Code</f>
        <v>15</v>
      </c>
      <c r="M6" s="118"/>
      <c r="O6" s="50">
        <v>3</v>
      </c>
      <c r="P6" s="51">
        <v>2</v>
      </c>
      <c r="Q6" s="52">
        <v>2</v>
      </c>
    </row>
    <row r="7" spans="1:17" x14ac:dyDescent="0.15">
      <c r="A7" s="170"/>
      <c r="B7" s="61" t="s">
        <v>238</v>
      </c>
      <c r="C7" s="30" t="s">
        <v>296</v>
      </c>
      <c r="D7" s="20" t="s">
        <v>29</v>
      </c>
      <c r="E7" s="62">
        <f>VLOOKUP(C7,'Resistor References'!O3:P6,2,FALSE)</f>
        <v>1</v>
      </c>
      <c r="F7" s="63" t="str">
        <f>'Resistor References'!O3</f>
        <v>20/26</v>
      </c>
      <c r="G7" s="64" t="str">
        <f>'Resistor References'!O3</f>
        <v>20/26</v>
      </c>
      <c r="H7" s="65" t="s">
        <v>240</v>
      </c>
      <c r="I7" s="171"/>
      <c r="K7" s="108" t="s">
        <v>40</v>
      </c>
      <c r="L7" s="109">
        <f>fsw</f>
        <v>1500</v>
      </c>
      <c r="M7" s="118" t="s">
        <v>11</v>
      </c>
      <c r="O7" s="41">
        <v>4</v>
      </c>
      <c r="P7" s="59">
        <v>2</v>
      </c>
      <c r="Q7" s="60">
        <v>4</v>
      </c>
    </row>
    <row r="8" spans="1:17" ht="14.25" thickBot="1" x14ac:dyDescent="0.2">
      <c r="A8" s="166"/>
      <c r="B8" s="66" t="s">
        <v>241</v>
      </c>
      <c r="C8" s="102">
        <v>1</v>
      </c>
      <c r="D8" s="67"/>
      <c r="E8" s="68">
        <f>VLOOKUP(C8,'Resistor References'!Q3:R6,2,FALSE)</f>
        <v>0</v>
      </c>
      <c r="F8" s="69">
        <v>1</v>
      </c>
      <c r="G8" s="70">
        <v>2</v>
      </c>
      <c r="H8" s="71" t="s">
        <v>240</v>
      </c>
      <c r="I8" s="171"/>
      <c r="K8" s="108" t="s">
        <v>382</v>
      </c>
      <c r="L8" s="109">
        <f>Phases</f>
        <v>1</v>
      </c>
      <c r="M8" s="118"/>
      <c r="O8" s="50">
        <v>5</v>
      </c>
      <c r="P8" s="51">
        <v>2</v>
      </c>
      <c r="Q8" s="52">
        <v>8</v>
      </c>
    </row>
    <row r="9" spans="1:17" x14ac:dyDescent="0.15">
      <c r="A9" s="172" t="s">
        <v>242</v>
      </c>
      <c r="B9" s="44" t="s">
        <v>243</v>
      </c>
      <c r="C9" s="103" t="s">
        <v>244</v>
      </c>
      <c r="D9" s="45" t="s">
        <v>25</v>
      </c>
      <c r="E9" s="46" t="str">
        <f>VLOOKUP(C9,'Resistor References'!S2:T17,2,FALSE)</f>
        <v>FLOAT</v>
      </c>
      <c r="F9" s="47" t="s">
        <v>41</v>
      </c>
      <c r="G9" s="72">
        <v>1</v>
      </c>
      <c r="H9" s="49" t="s">
        <v>245</v>
      </c>
      <c r="I9" s="167" t="str">
        <f>IF(AND(C9=F9,C10=F10),"SHORT",IF(AND(G9=C9,G10=C10),"FLOAT","Resistor"))</f>
        <v>Resistor</v>
      </c>
      <c r="K9" s="108" t="s">
        <v>334</v>
      </c>
      <c r="L9" s="109">
        <f>Iphase</f>
        <v>10</v>
      </c>
      <c r="M9" s="118" t="s">
        <v>29</v>
      </c>
      <c r="O9" s="41">
        <v>6</v>
      </c>
      <c r="P9" s="59">
        <v>3</v>
      </c>
      <c r="Q9" s="60">
        <v>0.5</v>
      </c>
    </row>
    <row r="10" spans="1:17" x14ac:dyDescent="0.15">
      <c r="A10" s="173"/>
      <c r="B10" s="61" t="s">
        <v>246</v>
      </c>
      <c r="C10" s="104">
        <v>1</v>
      </c>
      <c r="D10" s="20" t="s">
        <v>25</v>
      </c>
      <c r="E10" s="62">
        <f>IF(C9='Resistor References'!S2,'Resistor References'!S2,VLOOKUP(C10,'Resistor References'!X3:Y18,2,FALSE))</f>
        <v>10</v>
      </c>
      <c r="F10" s="63" t="s">
        <v>41</v>
      </c>
      <c r="G10" s="73">
        <v>1</v>
      </c>
      <c r="H10" s="74">
        <v>0.8</v>
      </c>
      <c r="I10" s="171"/>
      <c r="K10" s="108" t="s">
        <v>246</v>
      </c>
      <c r="L10" s="109">
        <f>Vout</f>
        <v>1</v>
      </c>
      <c r="M10" s="118" t="s">
        <v>25</v>
      </c>
      <c r="O10" s="50">
        <v>7</v>
      </c>
      <c r="P10" s="51">
        <v>3</v>
      </c>
      <c r="Q10" s="52">
        <v>1</v>
      </c>
    </row>
    <row r="11" spans="1:17" ht="14.25" thickBot="1" x14ac:dyDescent="0.2">
      <c r="A11" s="174"/>
      <c r="B11" s="53" t="s">
        <v>247</v>
      </c>
      <c r="C11" s="121">
        <f>VLOOKUP(C9,'Resistor References'!S2:U17,3,FALSE)</f>
        <v>0.5</v>
      </c>
      <c r="D11" s="54"/>
      <c r="E11" s="55" t="s">
        <v>240</v>
      </c>
      <c r="F11" s="56" t="s">
        <v>41</v>
      </c>
      <c r="G11" s="75">
        <v>0.5</v>
      </c>
      <c r="H11" s="76">
        <v>0.5</v>
      </c>
      <c r="I11" s="168"/>
      <c r="K11" s="110" t="s">
        <v>247</v>
      </c>
      <c r="L11" s="111">
        <f>VOSL</f>
        <v>0.5</v>
      </c>
      <c r="M11" s="119" t="s">
        <v>25</v>
      </c>
      <c r="O11" s="41">
        <v>8</v>
      </c>
      <c r="P11" s="59">
        <v>3</v>
      </c>
      <c r="Q11" s="60">
        <v>2</v>
      </c>
    </row>
    <row r="12" spans="1:17" x14ac:dyDescent="0.15">
      <c r="A12" s="165" t="s">
        <v>248</v>
      </c>
      <c r="B12" s="77" t="s">
        <v>249</v>
      </c>
      <c r="C12" s="105">
        <v>20</v>
      </c>
      <c r="D12" s="78" t="s">
        <v>250</v>
      </c>
      <c r="E12" s="79">
        <f>VLOOKUP(C12,'Resistor References'!Z2:AA34,2,FALSE)</f>
        <v>4</v>
      </c>
      <c r="F12" s="80" t="s">
        <v>251</v>
      </c>
      <c r="G12" s="81" t="s">
        <v>41</v>
      </c>
      <c r="H12" s="82">
        <v>36</v>
      </c>
      <c r="I12" s="171" t="str">
        <f>IF(AND(C12=F12,C13=F13),"SHORT",IF(AND(G12=C12,G13=C13),"FLOAT","Resistor"))</f>
        <v>Resistor</v>
      </c>
      <c r="O12" s="50">
        <v>9</v>
      </c>
      <c r="P12" s="51">
        <v>3</v>
      </c>
      <c r="Q12" s="52">
        <v>4</v>
      </c>
    </row>
    <row r="13" spans="1:17" ht="14.25" thickBot="1" x14ac:dyDescent="0.2">
      <c r="A13" s="166"/>
      <c r="B13" s="53" t="str">
        <f>IF(C8=1,"INTERLEAVE","SYNC_CONFIG")</f>
        <v>INTERLEAVE</v>
      </c>
      <c r="C13" s="101" t="s">
        <v>252</v>
      </c>
      <c r="D13" s="54"/>
      <c r="E13" s="55" t="str">
        <f>VLOOKUP(C13,'Resistor References'!AB2:AC11,2,FALSE)</f>
        <v>Open</v>
      </c>
      <c r="F13" s="56" t="str">
        <f>'Resistor References'!AB3</f>
        <v>0, Auto</v>
      </c>
      <c r="G13" s="57" t="str">
        <f>'Resistor References'!AB3</f>
        <v>0, Auto</v>
      </c>
      <c r="H13" s="58" t="s">
        <v>252</v>
      </c>
      <c r="I13" s="168"/>
      <c r="O13" s="41">
        <v>10</v>
      </c>
      <c r="P13" s="59">
        <v>3</v>
      </c>
      <c r="Q13" s="60">
        <v>8</v>
      </c>
    </row>
    <row r="14" spans="1:17" ht="14.25" thickBot="1" x14ac:dyDescent="0.2">
      <c r="O14" s="50">
        <v>11</v>
      </c>
      <c r="P14" s="51">
        <v>4</v>
      </c>
      <c r="Q14" s="52">
        <v>0.5</v>
      </c>
    </row>
    <row r="15" spans="1:17" ht="15.75" customHeight="1" thickBot="1" x14ac:dyDescent="0.2">
      <c r="A15" s="83" t="s">
        <v>227</v>
      </c>
      <c r="B15" s="39" t="s">
        <v>23</v>
      </c>
      <c r="C15" s="84" t="s">
        <v>253</v>
      </c>
      <c r="D15" s="39" t="s">
        <v>254</v>
      </c>
      <c r="E15" s="39"/>
      <c r="F15" s="39" t="s">
        <v>255</v>
      </c>
      <c r="G15" s="40" t="s">
        <v>256</v>
      </c>
      <c r="H15" s="156" t="s">
        <v>257</v>
      </c>
      <c r="I15" s="157"/>
      <c r="O15" s="41">
        <v>12</v>
      </c>
      <c r="P15" s="59">
        <v>4</v>
      </c>
      <c r="Q15" s="60">
        <v>1</v>
      </c>
    </row>
    <row r="16" spans="1:17" x14ac:dyDescent="0.15">
      <c r="A16" s="85" t="str">
        <f>A$4</f>
        <v>MSEL1</v>
      </c>
      <c r="B16" s="45" t="s">
        <v>258</v>
      </c>
      <c r="C16" s="46">
        <f>IF(OR(I4="SHORT",I4="FLOAT"),I4,IF(E4&lt;16,E4,E4-16))</f>
        <v>15</v>
      </c>
      <c r="D16" s="46">
        <f>IF(OR(I4="SHORT",I4="FLOAT", E5="Open"),"Open",IF(E4&lt;16,2*E5,2*E5+1))</f>
        <v>14</v>
      </c>
      <c r="E16" s="45"/>
      <c r="F16" s="86">
        <f>IF(OR(C16="FLOAT",C16="SHORT"),C16,HLOOKUP(C16,'Resistor Selection'!C$13:R$14,2,FALSE))</f>
        <v>82500</v>
      </c>
      <c r="G16" s="87">
        <f>IF(D16="Open","Open",VLOOKUP(D16,'Resistor Selection'!B$15:R$30,'Pin Detect Programming'!C16+2,FALSE))</f>
        <v>12700</v>
      </c>
      <c r="H16" s="158"/>
      <c r="I16" s="159"/>
      <c r="O16" s="50">
        <v>13</v>
      </c>
      <c r="P16" s="51">
        <v>4</v>
      </c>
      <c r="Q16" s="52">
        <v>2</v>
      </c>
    </row>
    <row r="17" spans="1:17" x14ac:dyDescent="0.15">
      <c r="A17" s="88" t="str">
        <f>A$6</f>
        <v>MSEL2</v>
      </c>
      <c r="B17" s="20" t="s">
        <v>259</v>
      </c>
      <c r="C17" s="62">
        <f>IF(OR(I6="SHORT",I6="FLOAT"),I6,E8+4*E7)</f>
        <v>4</v>
      </c>
      <c r="D17" s="62" t="str">
        <f>IF(OR(C6=3,I6="FLOAT",I6="SHORT"),"Open",E6)</f>
        <v>Open</v>
      </c>
      <c r="E17" s="20"/>
      <c r="F17" s="34">
        <f>IF(OR(C17="FLOAT",C17="SHORT"),C17,HLOOKUP(C17,'Resistor Selection'!C$13:R$14,2,FALSE))</f>
        <v>10000</v>
      </c>
      <c r="G17" s="89" t="str">
        <f>IF(D17="Open","Open",VLOOKUP(D17,'Resistor Selection'!B$15:R$30,'Pin Detect Programming'!C17+2,FALSE))</f>
        <v>Open</v>
      </c>
      <c r="H17" s="158"/>
      <c r="I17" s="159"/>
      <c r="O17" s="41">
        <v>14</v>
      </c>
      <c r="P17" s="59">
        <v>4</v>
      </c>
      <c r="Q17" s="60">
        <v>4</v>
      </c>
    </row>
    <row r="18" spans="1:17" x14ac:dyDescent="0.15">
      <c r="A18" s="88" t="str">
        <f>A$9</f>
        <v>VSEL</v>
      </c>
      <c r="B18" s="20" t="s">
        <v>260</v>
      </c>
      <c r="C18" s="62">
        <f>IF(OR(I9="SHORT",I9="FLOAT"),I9,E10)</f>
        <v>10</v>
      </c>
      <c r="D18" s="62" t="str">
        <f>IF(OR(E9="Float",E9="Short"),"Open",E9)</f>
        <v>Open</v>
      </c>
      <c r="E18" s="20"/>
      <c r="F18" s="34">
        <f>IF(OR(C18="FLOAT",C18="SHORT"),C18,HLOOKUP(C18,'Resistor Selection'!C$13:R$14,2,FALSE))</f>
        <v>31600</v>
      </c>
      <c r="G18" s="89" t="str">
        <f>IF(D18="Open","Open",VLOOKUP(D18,'Resistor Selection'!B$15:R$30,'Pin Detect Programming'!C18+2,FALSE))</f>
        <v>Open</v>
      </c>
      <c r="H18" s="158"/>
      <c r="I18" s="159"/>
      <c r="O18" s="50">
        <v>15</v>
      </c>
      <c r="P18" s="51">
        <v>4</v>
      </c>
      <c r="Q18" s="52">
        <v>8</v>
      </c>
    </row>
    <row r="19" spans="1:17" ht="14.25" thickBot="1" x14ac:dyDescent="0.2">
      <c r="A19" s="90" t="str">
        <f>A$12</f>
        <v>ADRSEL</v>
      </c>
      <c r="B19" s="54" t="s">
        <v>261</v>
      </c>
      <c r="C19" s="55">
        <f>IF(OR(I12="SHORT",I12="FLOAT"),I12,IF(AND(C13='Resistor References'!AB3,'Pin Detect Programming'!C12&gt;31),'Resistor References'!AK1,IF(E12='Resistor References'!T3,'Resistor References'!T3,IF(E12&lt;16,E12,E12-16))))</f>
        <v>4</v>
      </c>
      <c r="D19" s="55" t="str">
        <f>IF(OR(E12="Float",E12="Short"),"Open",IF(AND(E13='Resistor References'!AC3,E12&lt;16),E13,IF(E12&lt;16,2*E13,2*E13+1)))</f>
        <v>Open</v>
      </c>
      <c r="E19" s="54"/>
      <c r="F19" s="91">
        <f>IF(OR(C19="FLOAT",C19="SHORT"),C19,HLOOKUP(C19,'Resistor Selection'!C$13:R$14,2,FALSE))</f>
        <v>10000</v>
      </c>
      <c r="G19" s="92" t="str">
        <f>IF(D19="Open","Open",VLOOKUP(D19,'Resistor Selection'!B$15:R$30,'Pin Detect Programming'!C19+2,FALSE))</f>
        <v>Open</v>
      </c>
      <c r="H19" s="160"/>
      <c r="I19" s="161"/>
      <c r="O19" s="41">
        <v>16</v>
      </c>
      <c r="P19" s="59">
        <v>5</v>
      </c>
      <c r="Q19" s="60">
        <v>0.5</v>
      </c>
    </row>
    <row r="20" spans="1:17" x14ac:dyDescent="0.15">
      <c r="O20" s="50">
        <v>17</v>
      </c>
      <c r="P20" s="51">
        <v>5</v>
      </c>
      <c r="Q20" s="52">
        <v>1</v>
      </c>
    </row>
    <row r="21" spans="1:17" ht="14.25" thickBot="1" x14ac:dyDescent="0.2">
      <c r="A21" s="169" t="s">
        <v>262</v>
      </c>
      <c r="B21" s="169"/>
      <c r="C21" s="169"/>
      <c r="D21" s="169"/>
      <c r="E21" s="169"/>
      <c r="F21" s="169"/>
      <c r="G21" s="169"/>
      <c r="H21" s="169"/>
      <c r="I21" s="169"/>
      <c r="O21" s="41">
        <v>18</v>
      </c>
      <c r="P21" s="59">
        <v>5</v>
      </c>
      <c r="Q21" s="60">
        <v>2</v>
      </c>
    </row>
    <row r="22" spans="1:17" ht="14.25" thickBot="1" x14ac:dyDescent="0.2">
      <c r="A22" s="38" t="s">
        <v>227</v>
      </c>
      <c r="B22" s="39" t="s">
        <v>228</v>
      </c>
      <c r="C22" s="39" t="s">
        <v>23</v>
      </c>
      <c r="D22" s="39" t="s">
        <v>229</v>
      </c>
      <c r="E22" s="39" t="s">
        <v>14</v>
      </c>
      <c r="F22" s="39" t="s">
        <v>230</v>
      </c>
      <c r="G22" s="39" t="s">
        <v>231</v>
      </c>
      <c r="H22" s="39" t="s">
        <v>232</v>
      </c>
      <c r="I22" s="40" t="s">
        <v>233</v>
      </c>
      <c r="O22" s="50">
        <v>19</v>
      </c>
      <c r="P22" s="51">
        <v>5</v>
      </c>
      <c r="Q22" s="52">
        <v>4</v>
      </c>
    </row>
    <row r="23" spans="1:17" x14ac:dyDescent="0.15">
      <c r="A23" s="165" t="str">
        <f>A6</f>
        <v>MSEL2</v>
      </c>
      <c r="B23" s="44" t="s">
        <v>263</v>
      </c>
      <c r="C23" s="100" t="s">
        <v>264</v>
      </c>
      <c r="D23" s="45"/>
      <c r="E23" s="46">
        <f>IF(AND(C23=F23,C24=F24),"SHORT",IF(AND(C23=G23,C24=G24),"FLOAT",VLOOKUP(C23,'Resistor References'!AD$4:AE$11,2,FALSE)))</f>
        <v>3</v>
      </c>
      <c r="F23" s="47" t="str">
        <f>'Resistor References'!AD$2</f>
        <v>180, 2</v>
      </c>
      <c r="G23" s="48" t="str">
        <f>'Resistor References'!AD$3</f>
        <v>180, 2</v>
      </c>
      <c r="H23" s="49" t="s">
        <v>240</v>
      </c>
      <c r="I23" s="167" t="str">
        <f>IF(AND(C23=F23,C24=F24),"SHORT",IF(AND(G23=C23,G24=C24),"FLOAT","Resistor"))</f>
        <v>Resistor</v>
      </c>
      <c r="O23" s="41">
        <v>20</v>
      </c>
      <c r="P23" s="59">
        <v>5</v>
      </c>
      <c r="Q23" s="60">
        <v>8</v>
      </c>
    </row>
    <row r="24" spans="1:17" ht="14.25" thickBot="1" x14ac:dyDescent="0.2">
      <c r="A24" s="166"/>
      <c r="B24" s="53" t="s">
        <v>238</v>
      </c>
      <c r="C24" s="101" t="s">
        <v>265</v>
      </c>
      <c r="D24" s="54" t="s">
        <v>29</v>
      </c>
      <c r="E24" s="55" t="e">
        <f>VLOOKUP(C24,'Resistor References'!O$3:P$6,2,FALSE)</f>
        <v>#N/A</v>
      </c>
      <c r="F24" s="56" t="str">
        <f>'Resistor References'!O$3</f>
        <v>20/26</v>
      </c>
      <c r="G24" s="57" t="str">
        <f>'Resistor References'!O$4</f>
        <v>15/19</v>
      </c>
      <c r="H24" s="58">
        <v>52</v>
      </c>
      <c r="I24" s="168"/>
      <c r="O24" s="50">
        <v>21</v>
      </c>
      <c r="P24" s="51">
        <v>6</v>
      </c>
      <c r="Q24" s="52">
        <v>0.5</v>
      </c>
    </row>
    <row r="25" spans="1:17" ht="14.25" thickBot="1" x14ac:dyDescent="0.2">
      <c r="O25" s="41">
        <v>22</v>
      </c>
      <c r="P25" s="59">
        <v>6</v>
      </c>
      <c r="Q25" s="60">
        <v>1</v>
      </c>
    </row>
    <row r="26" spans="1:17" ht="14.25" thickBot="1" x14ac:dyDescent="0.2">
      <c r="A26" s="93" t="s">
        <v>227</v>
      </c>
      <c r="B26" s="39" t="s">
        <v>23</v>
      </c>
      <c r="C26" s="84" t="s">
        <v>253</v>
      </c>
      <c r="D26" s="39" t="s">
        <v>254</v>
      </c>
      <c r="E26" s="39"/>
      <c r="F26" s="39" t="s">
        <v>255</v>
      </c>
      <c r="G26" s="40" t="s">
        <v>256</v>
      </c>
      <c r="H26" s="156" t="s">
        <v>266</v>
      </c>
      <c r="I26" s="157"/>
      <c r="O26" s="50">
        <v>23</v>
      </c>
      <c r="P26" s="51">
        <v>6</v>
      </c>
      <c r="Q26" s="52">
        <v>2</v>
      </c>
    </row>
    <row r="27" spans="1:17" x14ac:dyDescent="0.15">
      <c r="A27" s="85" t="str">
        <f>A$4</f>
        <v>MSEL1</v>
      </c>
      <c r="B27" s="44" t="s">
        <v>240</v>
      </c>
      <c r="C27" s="46" t="s">
        <v>230</v>
      </c>
      <c r="D27" s="46" t="s">
        <v>267</v>
      </c>
      <c r="E27" s="45"/>
      <c r="F27" s="86" t="s">
        <v>268</v>
      </c>
      <c r="G27" s="87" t="s">
        <v>268</v>
      </c>
      <c r="H27" s="158"/>
      <c r="I27" s="159"/>
      <c r="O27" s="41">
        <v>24</v>
      </c>
      <c r="P27" s="59">
        <v>6</v>
      </c>
      <c r="Q27" s="60">
        <v>4</v>
      </c>
    </row>
    <row r="28" spans="1:17" x14ac:dyDescent="0.15">
      <c r="A28" s="88" t="str">
        <f>A$6</f>
        <v>MSEL2</v>
      </c>
      <c r="B28" s="61" t="s">
        <v>269</v>
      </c>
      <c r="C28" s="62" t="e">
        <f>IF(OR(I23="SHORT",I23="FLOAT"),I23,2*E23+MOD(E24,2))</f>
        <v>#N/A</v>
      </c>
      <c r="D28" s="62" t="e">
        <f>IF(OR(I23='Resistor References'!AE$2,I23='Resistor References'!AE$3,'Pin Detect Programming'!E24&lt;2),"OPEN",2)</f>
        <v>#N/A</v>
      </c>
      <c r="E28" s="20"/>
      <c r="F28" s="34" t="e">
        <f>IF(OR(C28="FLOAT",C28="SHORT"),C28,HLOOKUP(C28,'Resistor Selection'!C13:R14,2,FALSE))</f>
        <v>#N/A</v>
      </c>
      <c r="G28" s="89" t="e">
        <f>IF(D28="Open","Open",VLOOKUP(D28,'Resistor Selection'!B$13:AH$30,'Pin Detect Programming'!C28+2,FALSE))</f>
        <v>#N/A</v>
      </c>
      <c r="H28" s="158"/>
      <c r="I28" s="159"/>
      <c r="O28" s="50">
        <v>25</v>
      </c>
      <c r="P28" s="51">
        <v>6</v>
      </c>
      <c r="Q28" s="52">
        <v>8</v>
      </c>
    </row>
    <row r="29" spans="1:17" x14ac:dyDescent="0.15">
      <c r="A29" s="88" t="str">
        <f>A$9</f>
        <v>VSEL</v>
      </c>
      <c r="B29" s="61" t="s">
        <v>240</v>
      </c>
      <c r="C29" s="62" t="s">
        <v>230</v>
      </c>
      <c r="D29" s="62" t="s">
        <v>267</v>
      </c>
      <c r="E29" s="20"/>
      <c r="F29" s="34" t="s">
        <v>268</v>
      </c>
      <c r="G29" s="89" t="s">
        <v>268</v>
      </c>
      <c r="H29" s="158"/>
      <c r="I29" s="159"/>
      <c r="O29" s="41">
        <v>26</v>
      </c>
      <c r="P29" s="59">
        <v>7</v>
      </c>
      <c r="Q29" s="60">
        <v>0.5</v>
      </c>
    </row>
    <row r="30" spans="1:17" ht="14.25" thickBot="1" x14ac:dyDescent="0.2">
      <c r="A30" s="90" t="str">
        <f>A$12</f>
        <v>ADRSEL</v>
      </c>
      <c r="B30" s="53" t="s">
        <v>240</v>
      </c>
      <c r="C30" s="55" t="s">
        <v>230</v>
      </c>
      <c r="D30" s="55" t="s">
        <v>267</v>
      </c>
      <c r="E30" s="54"/>
      <c r="F30" s="91" t="s">
        <v>268</v>
      </c>
      <c r="G30" s="92" t="s">
        <v>268</v>
      </c>
      <c r="H30" s="160"/>
      <c r="I30" s="161"/>
      <c r="O30" s="50">
        <v>27</v>
      </c>
      <c r="P30" s="51">
        <v>7</v>
      </c>
      <c r="Q30" s="52">
        <v>1</v>
      </c>
    </row>
    <row r="31" spans="1:17" x14ac:dyDescent="0.15">
      <c r="O31" s="41">
        <v>28</v>
      </c>
      <c r="P31" s="59">
        <v>7</v>
      </c>
      <c r="Q31" s="60">
        <v>2</v>
      </c>
    </row>
    <row r="32" spans="1:17" ht="14.25" thickBot="1" x14ac:dyDescent="0.2">
      <c r="A32" s="169" t="s">
        <v>270</v>
      </c>
      <c r="B32" s="169"/>
      <c r="C32" s="169"/>
      <c r="D32" s="169"/>
      <c r="E32" s="169"/>
      <c r="F32" s="169"/>
      <c r="G32" s="169"/>
      <c r="H32" s="169"/>
      <c r="I32" s="169"/>
      <c r="O32" s="50">
        <v>29</v>
      </c>
      <c r="P32" s="51">
        <v>7</v>
      </c>
      <c r="Q32" s="52">
        <v>4</v>
      </c>
    </row>
    <row r="33" spans="1:17" ht="14.25" thickBot="1" x14ac:dyDescent="0.2">
      <c r="A33" s="38" t="s">
        <v>227</v>
      </c>
      <c r="B33" s="39" t="s">
        <v>228</v>
      </c>
      <c r="C33" s="39" t="s">
        <v>23</v>
      </c>
      <c r="D33" s="39" t="s">
        <v>229</v>
      </c>
      <c r="E33" s="39" t="s">
        <v>14</v>
      </c>
      <c r="F33" s="39" t="s">
        <v>230</v>
      </c>
      <c r="G33" s="39" t="s">
        <v>231</v>
      </c>
      <c r="H33" s="39" t="s">
        <v>232</v>
      </c>
      <c r="I33" s="40" t="s">
        <v>233</v>
      </c>
      <c r="O33" s="41">
        <v>30</v>
      </c>
      <c r="P33" s="59">
        <v>7</v>
      </c>
      <c r="Q33" s="60">
        <v>8</v>
      </c>
    </row>
    <row r="34" spans="1:17" ht="14.25" thickBot="1" x14ac:dyDescent="0.2">
      <c r="A34" s="165" t="str">
        <f>A6</f>
        <v>MSEL2</v>
      </c>
      <c r="B34" s="44" t="s">
        <v>263</v>
      </c>
      <c r="C34" s="100" t="s">
        <v>271</v>
      </c>
      <c r="D34" s="45"/>
      <c r="E34" s="46">
        <f>IF(AND(C34=F34,C35=F35),"SHORT",IF(AND(C34=G34,C35=G35),"FLOAT",VLOOKUP(C34,'Resistor References'!AD$4:AE$11,2,FALSE)))</f>
        <v>7</v>
      </c>
      <c r="F34" s="47" t="s">
        <v>240</v>
      </c>
      <c r="G34" s="48" t="s">
        <v>240</v>
      </c>
      <c r="H34" s="49" t="s">
        <v>240</v>
      </c>
      <c r="I34" s="167" t="str">
        <f>IF(AND(C34=F34,C35=F35),"SHORT",IF(AND(G34=C34,G35=C35),"FLOAT","Resistor"))</f>
        <v>Resistor</v>
      </c>
      <c r="O34" s="94">
        <v>31</v>
      </c>
      <c r="P34" s="95">
        <v>10</v>
      </c>
      <c r="Q34" s="96">
        <v>2</v>
      </c>
    </row>
    <row r="35" spans="1:17" ht="14.25" thickBot="1" x14ac:dyDescent="0.2">
      <c r="A35" s="166"/>
      <c r="B35" s="53" t="s">
        <v>238</v>
      </c>
      <c r="C35" s="101" t="s">
        <v>265</v>
      </c>
      <c r="D35" s="54" t="s">
        <v>29</v>
      </c>
      <c r="E35" s="55" t="e">
        <f>VLOOKUP(C35,'Resistor References'!O$3:P$6,2,FALSE)</f>
        <v>#N/A</v>
      </c>
      <c r="F35" s="56" t="s">
        <v>240</v>
      </c>
      <c r="G35" s="57" t="s">
        <v>240</v>
      </c>
      <c r="H35" s="58">
        <v>52</v>
      </c>
      <c r="I35" s="168"/>
    </row>
    <row r="36" spans="1:17" ht="14.25" thickBot="1" x14ac:dyDescent="0.2"/>
    <row r="37" spans="1:17" ht="15.75" customHeight="1" thickBot="1" x14ac:dyDescent="0.2">
      <c r="A37" s="93" t="s">
        <v>227</v>
      </c>
      <c r="B37" s="39" t="s">
        <v>23</v>
      </c>
      <c r="C37" s="84" t="s">
        <v>253</v>
      </c>
      <c r="D37" s="39" t="s">
        <v>254</v>
      </c>
      <c r="E37" s="39"/>
      <c r="F37" s="39" t="s">
        <v>255</v>
      </c>
      <c r="G37" s="40" t="s">
        <v>256</v>
      </c>
      <c r="H37" s="156" t="s">
        <v>266</v>
      </c>
      <c r="I37" s="157"/>
    </row>
    <row r="38" spans="1:17" x14ac:dyDescent="0.15">
      <c r="A38" s="85" t="str">
        <f>A$4</f>
        <v>MSEL1</v>
      </c>
      <c r="B38" s="44" t="s">
        <v>240</v>
      </c>
      <c r="C38" s="46" t="s">
        <v>230</v>
      </c>
      <c r="D38" s="46" t="s">
        <v>267</v>
      </c>
      <c r="E38" s="45"/>
      <c r="F38" s="86" t="s">
        <v>268</v>
      </c>
      <c r="G38" s="87" t="s">
        <v>268</v>
      </c>
      <c r="H38" s="158"/>
      <c r="I38" s="159"/>
    </row>
    <row r="39" spans="1:17" x14ac:dyDescent="0.15">
      <c r="A39" s="88" t="str">
        <f>A$6</f>
        <v>MSEL2</v>
      </c>
      <c r="B39" s="61" t="s">
        <v>269</v>
      </c>
      <c r="C39" s="62" t="e">
        <f>IF(OR(I34="SHORT",I34="FLOAT"),I34,2*E34+MOD(E35,2))</f>
        <v>#N/A</v>
      </c>
      <c r="D39" s="62" t="e">
        <f>IF(OR(I34='Resistor References'!AE$2,I34='Resistor References'!AE$3,'Pin Detect Programming'!E35&lt;2),"OPEN",2)</f>
        <v>#N/A</v>
      </c>
      <c r="E39" s="20"/>
      <c r="F39" s="34" t="e">
        <f>IF(OR(C39="FLOAT",C39="SHORT"),C39,HLOOKUP(C39,'Resistor Selection'!C13:R14,2,FALSE))</f>
        <v>#N/A</v>
      </c>
      <c r="G39" s="89" t="e">
        <f>IF(D39="Open","Open",VLOOKUP(D39,'Resistor Selection'!B$13:AH$30,'Pin Detect Programming'!C39+2,FALSE))</f>
        <v>#N/A</v>
      </c>
      <c r="H39" s="158"/>
      <c r="I39" s="159"/>
    </row>
    <row r="40" spans="1:17" x14ac:dyDescent="0.15">
      <c r="A40" s="88" t="str">
        <f>A$9</f>
        <v>VSEL</v>
      </c>
      <c r="B40" s="61" t="s">
        <v>240</v>
      </c>
      <c r="C40" s="62" t="s">
        <v>230</v>
      </c>
      <c r="D40" s="62" t="s">
        <v>267</v>
      </c>
      <c r="E40" s="20"/>
      <c r="F40" s="34" t="s">
        <v>268</v>
      </c>
      <c r="G40" s="89" t="s">
        <v>268</v>
      </c>
      <c r="H40" s="158"/>
      <c r="I40" s="159"/>
    </row>
    <row r="41" spans="1:17" ht="14.25" thickBot="1" x14ac:dyDescent="0.2">
      <c r="A41" s="90" t="str">
        <f>A$12</f>
        <v>ADRSEL</v>
      </c>
      <c r="B41" s="53" t="s">
        <v>240</v>
      </c>
      <c r="C41" s="55" t="s">
        <v>230</v>
      </c>
      <c r="D41" s="55" t="s">
        <v>267</v>
      </c>
      <c r="E41" s="54"/>
      <c r="F41" s="91" t="s">
        <v>268</v>
      </c>
      <c r="G41" s="92" t="s">
        <v>268</v>
      </c>
      <c r="H41" s="160"/>
      <c r="I41" s="161"/>
    </row>
    <row r="43" spans="1:17" ht="14.25" thickBot="1" x14ac:dyDescent="0.2">
      <c r="A43" s="169" t="s">
        <v>272</v>
      </c>
      <c r="B43" s="169"/>
      <c r="C43" s="169"/>
      <c r="D43" s="169"/>
      <c r="E43" s="169"/>
      <c r="F43" s="169"/>
      <c r="G43" s="169"/>
      <c r="H43" s="169"/>
      <c r="I43" s="169"/>
    </row>
    <row r="44" spans="1:17" ht="14.25" thickBot="1" x14ac:dyDescent="0.2">
      <c r="A44" s="38" t="s">
        <v>227</v>
      </c>
      <c r="B44" s="39" t="s">
        <v>228</v>
      </c>
      <c r="C44" s="39" t="s">
        <v>23</v>
      </c>
      <c r="D44" s="39" t="s">
        <v>229</v>
      </c>
      <c r="E44" s="39" t="s">
        <v>14</v>
      </c>
      <c r="F44" s="39" t="s">
        <v>230</v>
      </c>
      <c r="G44" s="39" t="s">
        <v>231</v>
      </c>
      <c r="H44" s="39" t="s">
        <v>232</v>
      </c>
      <c r="I44" s="40" t="s">
        <v>233</v>
      </c>
    </row>
    <row r="45" spans="1:17" x14ac:dyDescent="0.15">
      <c r="A45" s="165" t="str">
        <f>A6</f>
        <v>MSEL2</v>
      </c>
      <c r="B45" s="44" t="s">
        <v>263</v>
      </c>
      <c r="C45" s="100" t="s">
        <v>273</v>
      </c>
      <c r="D45" s="45"/>
      <c r="E45" s="46">
        <f>IF(AND(C45=F45,C46=F46),"SHORT",IF(AND(C45=G45,C46=G46),"FLOAT",VLOOKUP(C45,'Resistor References'!AD$4:AE$11,2,FALSE)))</f>
        <v>5</v>
      </c>
      <c r="F45" s="47" t="s">
        <v>240</v>
      </c>
      <c r="G45" s="48" t="s">
        <v>240</v>
      </c>
      <c r="H45" s="49" t="s">
        <v>240</v>
      </c>
      <c r="I45" s="167" t="str">
        <f>IF(AND(C45=F45,C46=F46),"SHORT",IF(AND(G45=C45,G46=C46),"FLOAT","Resistor"))</f>
        <v>Resistor</v>
      </c>
    </row>
    <row r="46" spans="1:17" ht="14.25" thickBot="1" x14ac:dyDescent="0.2">
      <c r="A46" s="166"/>
      <c r="B46" s="53" t="s">
        <v>238</v>
      </c>
      <c r="C46" s="101" t="s">
        <v>265</v>
      </c>
      <c r="D46" s="54" t="s">
        <v>29</v>
      </c>
      <c r="E46" s="55" t="e">
        <f>VLOOKUP(C46,'Resistor References'!O$3:P$6,2,FALSE)</f>
        <v>#N/A</v>
      </c>
      <c r="F46" s="56" t="s">
        <v>240</v>
      </c>
      <c r="G46" s="57" t="s">
        <v>240</v>
      </c>
      <c r="H46" s="58">
        <v>52</v>
      </c>
      <c r="I46" s="168"/>
    </row>
    <row r="47" spans="1:17" ht="14.25" thickBot="1" x14ac:dyDescent="0.2"/>
    <row r="48" spans="1:17" ht="15.75" customHeight="1" thickBot="1" x14ac:dyDescent="0.2">
      <c r="A48" s="93" t="s">
        <v>227</v>
      </c>
      <c r="B48" s="39" t="s">
        <v>23</v>
      </c>
      <c r="C48" s="84" t="s">
        <v>253</v>
      </c>
      <c r="D48" s="39" t="s">
        <v>254</v>
      </c>
      <c r="E48" s="39"/>
      <c r="F48" s="39" t="s">
        <v>255</v>
      </c>
      <c r="G48" s="40" t="s">
        <v>256</v>
      </c>
      <c r="H48" s="156" t="s">
        <v>266</v>
      </c>
      <c r="I48" s="157"/>
    </row>
    <row r="49" spans="1:9" x14ac:dyDescent="0.15">
      <c r="A49" s="85" t="str">
        <f>A$4</f>
        <v>MSEL1</v>
      </c>
      <c r="B49" s="44" t="s">
        <v>240</v>
      </c>
      <c r="C49" s="46" t="s">
        <v>230</v>
      </c>
      <c r="D49" s="46" t="s">
        <v>267</v>
      </c>
      <c r="E49" s="45"/>
      <c r="F49" s="86" t="s">
        <v>268</v>
      </c>
      <c r="G49" s="87" t="s">
        <v>268</v>
      </c>
      <c r="H49" s="158"/>
      <c r="I49" s="159"/>
    </row>
    <row r="50" spans="1:9" x14ac:dyDescent="0.15">
      <c r="A50" s="88" t="str">
        <f>A$6</f>
        <v>MSEL2</v>
      </c>
      <c r="B50" s="61" t="s">
        <v>269</v>
      </c>
      <c r="C50" s="62" t="e">
        <f>IF(OR(I45="SHORT",I45="FLOAT"),I45,2*E45+MOD(E46,2))</f>
        <v>#N/A</v>
      </c>
      <c r="D50" s="62" t="e">
        <f>IF(OR(I45='Resistor References'!AE$2,I45='Resistor References'!AE$3,'Pin Detect Programming'!E46&lt;2),"OPEN",2)</f>
        <v>#N/A</v>
      </c>
      <c r="E50" s="20"/>
      <c r="F50" s="34" t="e">
        <f>IF(OR(C50="FLOAT",C50="SHORT"),C50,HLOOKUP(C50,'Resistor Selection'!C13:R14,2,FALSE))</f>
        <v>#N/A</v>
      </c>
      <c r="G50" s="89" t="e">
        <f>IF(D50="Open","Open",VLOOKUP(D50,'Resistor Selection'!B$13:AH$30,'Pin Detect Programming'!C50+2,FALSE))</f>
        <v>#N/A</v>
      </c>
      <c r="H50" s="158"/>
      <c r="I50" s="159"/>
    </row>
    <row r="51" spans="1:9" x14ac:dyDescent="0.15">
      <c r="A51" s="88" t="str">
        <f>A$9</f>
        <v>VSEL</v>
      </c>
      <c r="B51" s="61" t="s">
        <v>240</v>
      </c>
      <c r="C51" s="62" t="s">
        <v>230</v>
      </c>
      <c r="D51" s="62" t="s">
        <v>267</v>
      </c>
      <c r="E51" s="20"/>
      <c r="F51" s="34" t="s">
        <v>268</v>
      </c>
      <c r="G51" s="89" t="s">
        <v>268</v>
      </c>
      <c r="H51" s="158"/>
      <c r="I51" s="159"/>
    </row>
    <row r="52" spans="1:9" ht="14.25" thickBot="1" x14ac:dyDescent="0.2">
      <c r="A52" s="90" t="str">
        <f>A$12</f>
        <v>ADRSEL</v>
      </c>
      <c r="B52" s="53" t="s">
        <v>240</v>
      </c>
      <c r="C52" s="55" t="s">
        <v>230</v>
      </c>
      <c r="D52" s="55" t="s">
        <v>267</v>
      </c>
      <c r="E52" s="54"/>
      <c r="F52" s="91" t="s">
        <v>268</v>
      </c>
      <c r="G52" s="92" t="s">
        <v>268</v>
      </c>
      <c r="H52" s="160"/>
      <c r="I52" s="161"/>
    </row>
  </sheetData>
  <sheetProtection sheet="1" objects="1" scenarios="1"/>
  <dataConsolidate/>
  <mergeCells count="26">
    <mergeCell ref="O1:Q1"/>
    <mergeCell ref="A2:B2"/>
    <mergeCell ref="C2:I2"/>
    <mergeCell ref="A4:A5"/>
    <mergeCell ref="I4:I5"/>
    <mergeCell ref="A9:A11"/>
    <mergeCell ref="I9:I11"/>
    <mergeCell ref="A12:A13"/>
    <mergeCell ref="I12:I13"/>
    <mergeCell ref="A1:I1"/>
    <mergeCell ref="H48:I52"/>
    <mergeCell ref="K1:M1"/>
    <mergeCell ref="A34:A35"/>
    <mergeCell ref="I34:I35"/>
    <mergeCell ref="H37:I41"/>
    <mergeCell ref="A43:I43"/>
    <mergeCell ref="A45:A46"/>
    <mergeCell ref="I45:I46"/>
    <mergeCell ref="H15:I19"/>
    <mergeCell ref="A21:I21"/>
    <mergeCell ref="A23:A24"/>
    <mergeCell ref="I23:I24"/>
    <mergeCell ref="H26:I30"/>
    <mergeCell ref="A32:I32"/>
    <mergeCell ref="A6:A8"/>
    <mergeCell ref="I6:I8"/>
  </mergeCells>
  <phoneticPr fontId="11" type="noConversion"/>
  <conditionalFormatting sqref="C16">
    <cfRule type="cellIs" dxfId="31" priority="34" stopIfTrue="1" operator="equal">
      <formula>$G$3</formula>
    </cfRule>
    <cfRule type="cellIs" dxfId="30" priority="35" stopIfTrue="1" operator="equal">
      <formula>$F$3</formula>
    </cfRule>
    <cfRule type="cellIs" dxfId="29" priority="36" operator="greaterThan">
      <formula>29.5</formula>
    </cfRule>
  </conditionalFormatting>
  <conditionalFormatting sqref="C17">
    <cfRule type="cellIs" dxfId="28" priority="31" stopIfTrue="1" operator="equal">
      <formula>$G$3</formula>
    </cfRule>
    <cfRule type="cellIs" dxfId="27" priority="32" stopIfTrue="1" operator="equal">
      <formula>$F$3</formula>
    </cfRule>
    <cfRule type="cellIs" dxfId="26" priority="33" operator="greaterThan">
      <formula>29.5</formula>
    </cfRule>
  </conditionalFormatting>
  <conditionalFormatting sqref="C18">
    <cfRule type="cellIs" dxfId="25" priority="28" stopIfTrue="1" operator="equal">
      <formula>$G$3</formula>
    </cfRule>
    <cfRule type="cellIs" dxfId="24" priority="29" stopIfTrue="1" operator="equal">
      <formula>$F$3</formula>
    </cfRule>
    <cfRule type="cellIs" dxfId="23" priority="30" operator="greaterThan">
      <formula>29.5</formula>
    </cfRule>
  </conditionalFormatting>
  <conditionalFormatting sqref="C19">
    <cfRule type="cellIs" dxfId="22" priority="25" stopIfTrue="1" operator="equal">
      <formula>$G$3</formula>
    </cfRule>
    <cfRule type="cellIs" dxfId="21" priority="26" stopIfTrue="1" operator="equal">
      <formula>$F$3</formula>
    </cfRule>
    <cfRule type="cellIs" dxfId="20" priority="27" operator="greaterThan">
      <formula>29.5</formula>
    </cfRule>
  </conditionalFormatting>
  <conditionalFormatting sqref="C28">
    <cfRule type="cellIs" dxfId="19" priority="22" stopIfTrue="1" operator="equal">
      <formula>$G$3</formula>
    </cfRule>
    <cfRule type="cellIs" dxfId="18" priority="23" stopIfTrue="1" operator="equal">
      <formula>$F$3</formula>
    </cfRule>
    <cfRule type="cellIs" dxfId="17" priority="24" operator="greaterThan">
      <formula>29.5</formula>
    </cfRule>
  </conditionalFormatting>
  <conditionalFormatting sqref="C39">
    <cfRule type="cellIs" dxfId="16" priority="19" stopIfTrue="1" operator="equal">
      <formula>$G$3</formula>
    </cfRule>
    <cfRule type="cellIs" dxfId="15" priority="20" stopIfTrue="1" operator="equal">
      <formula>$F$3</formula>
    </cfRule>
    <cfRule type="cellIs" dxfId="14" priority="21" operator="greaterThan">
      <formula>29.5</formula>
    </cfRule>
  </conditionalFormatting>
  <conditionalFormatting sqref="C50">
    <cfRule type="cellIs" dxfId="13" priority="16" stopIfTrue="1" operator="equal">
      <formula>$G$3</formula>
    </cfRule>
    <cfRule type="cellIs" dxfId="12" priority="17" stopIfTrue="1" operator="equal">
      <formula>$F$3</formula>
    </cfRule>
    <cfRule type="cellIs" dxfId="11" priority="18" operator="greaterThan">
      <formula>29.5</formula>
    </cfRule>
  </conditionalFormatting>
  <conditionalFormatting sqref="P3">
    <cfRule type="expression" dxfId="10" priority="9">
      <formula>"K3=$C$4"</formula>
    </cfRule>
  </conditionalFormatting>
  <conditionalFormatting sqref="Q3">
    <cfRule type="expression" dxfId="9" priority="8">
      <formula>"K3=$C$4"</formula>
    </cfRule>
  </conditionalFormatting>
  <conditionalFormatting sqref="C10">
    <cfRule type="cellIs" dxfId="8" priority="3" operator="notEqual">
      <formula>Vout</formula>
    </cfRule>
  </conditionalFormatting>
  <conditionalFormatting sqref="P4:P34">
    <cfRule type="cellIs" dxfId="7" priority="6" operator="greaterThan">
      <formula>ILOOP_trgt</formula>
    </cfRule>
  </conditionalFormatting>
  <conditionalFormatting sqref="C5">
    <cfRule type="cellIs" dxfId="6" priority="4" operator="notEqual">
      <formula>fsw</formula>
    </cfRule>
  </conditionalFormatting>
  <conditionalFormatting sqref="C11">
    <cfRule type="cellIs" dxfId="5" priority="2" operator="notEqual">
      <formula>VOSL</formula>
    </cfRule>
  </conditionalFormatting>
  <conditionalFormatting sqref="O3:O34">
    <cfRule type="cellIs" dxfId="4" priority="1" operator="equal">
      <formula>$C$4</formula>
    </cfRule>
  </conditionalFormatting>
  <dataValidations count="1">
    <dataValidation type="list" allowBlank="1" showInputMessage="1" showErrorMessage="1" sqref="C45 C34" xr:uid="{00000000-0002-0000-0100-000000000000}">
      <formula1>$W$2:$W$11</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4" operator="greaterThan" id="{456142BB-AD7D-493F-88C2-9F6F4383311F}">
            <xm:f>'Resistor References'!$X$18</xm:f>
            <x14:dxf>
              <font>
                <color rgb="FF9C0006"/>
              </font>
              <fill>
                <patternFill>
                  <bgColor rgb="FFFFC7CE"/>
                </patternFill>
              </fill>
            </x14:dxf>
          </x14:cfRule>
          <x14:cfRule type="cellIs" priority="15" operator="lessThan" id="{691D62A3-AD42-4D4C-B5B2-A86356ADB033}">
            <xm:f>'Resistor References'!$X$3</xm:f>
            <x14:dxf>
              <font>
                <color rgb="FF9C0006"/>
              </font>
              <fill>
                <patternFill>
                  <bgColor rgb="FFFFC7CE"/>
                </patternFill>
              </fill>
            </x14:dxf>
          </x14:cfRule>
          <xm:sqref>C10</xm:sqref>
        </x14:conditionalFormatting>
        <x14:conditionalFormatting xmlns:xm="http://schemas.microsoft.com/office/excel/2006/main">
          <x14:cfRule type="cellIs" priority="43" operator="greaterThan" id="{4A4205D8-AD0D-4981-A583-BB20AE834379}">
            <xm:f>'Design Worksheet'!#REF!</xm:f>
            <x14:dxf>
              <font>
                <color rgb="FF9C0006"/>
              </font>
              <fill>
                <patternFill>
                  <bgColor rgb="FFFFC7CE"/>
                </patternFill>
              </fill>
            </x14:dxf>
          </x14:cfRule>
          <xm:sqref>Q34</xm:sqref>
        </x14:conditionalFormatting>
        <x14:conditionalFormatting xmlns:xm="http://schemas.microsoft.com/office/excel/2006/main">
          <x14:cfRule type="cellIs" priority="44" operator="greaterThan" id="{962165AF-371E-429A-9EEB-1504A04499E3}">
            <xm:f>'Design Worksheet'!$I87</xm:f>
            <x14:dxf>
              <font>
                <color rgb="FF9C0006"/>
              </font>
              <fill>
                <patternFill>
                  <bgColor rgb="FFFFC7CE"/>
                </patternFill>
              </fill>
            </x14:dxf>
          </x14:cfRule>
          <xm:sqref>Q4:Q33</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1000000}">
          <x14:formula1>
            <xm:f>'Resistor References'!$A$2:$A$4</xm:f>
          </x14:formula1>
          <xm:sqref>C2:I2</xm:sqref>
        </x14:dataValidation>
        <x14:dataValidation type="list" allowBlank="1" showInputMessage="1" showErrorMessage="1" xr:uid="{00000000-0002-0000-0100-000002000000}">
          <x14:formula1>
            <xm:f>'Resistor References'!$O$3:$O$6</xm:f>
          </x14:formula1>
          <xm:sqref>C46 C35 C24 C7</xm:sqref>
        </x14:dataValidation>
        <x14:dataValidation type="list" allowBlank="1" showInputMessage="1" showErrorMessage="1" xr:uid="{00000000-0002-0000-0100-000003000000}">
          <x14:formula1>
            <xm:f>'Resistor References'!$AD$2:$AD$11</xm:f>
          </x14:formula1>
          <xm:sqref>C23</xm:sqref>
        </x14:dataValidation>
        <x14:dataValidation type="list" allowBlank="1" showInputMessage="1" showErrorMessage="1" xr:uid="{00000000-0002-0000-0100-000004000000}">
          <x14:formula1>
            <xm:f>'Resistor References'!$G$2:$G$35</xm:f>
          </x14:formula1>
          <xm:sqref>C4</xm:sqref>
        </x14:dataValidation>
        <x14:dataValidation type="list" allowBlank="1" showInputMessage="1" showErrorMessage="1" xr:uid="{00000000-0002-0000-0100-000005000000}">
          <x14:formula1>
            <xm:f>'Resistor References'!$AB$3:$AB$11</xm:f>
          </x14:formula1>
          <xm:sqref>C13</xm:sqref>
        </x14:dataValidation>
        <x14:dataValidation type="list" allowBlank="1" showInputMessage="1" showErrorMessage="1" xr:uid="{00000000-0002-0000-0100-000006000000}">
          <x14:formula1>
            <xm:f>'Resistor References'!$Z$2:$Z$32</xm:f>
          </x14:formula1>
          <xm:sqref>C12</xm:sqref>
        </x14:dataValidation>
        <x14:dataValidation type="list" allowBlank="1" showInputMessage="1" showErrorMessage="1" xr:uid="{00000000-0002-0000-0100-000007000000}">
          <x14:formula1>
            <xm:f>'Resistor References'!$S$2:$S$17</xm:f>
          </x14:formula1>
          <xm:sqref>C9</xm:sqref>
        </x14:dataValidation>
        <x14:dataValidation type="list" allowBlank="1" showInputMessage="1" showErrorMessage="1" xr:uid="{00000000-0002-0000-0100-000008000000}">
          <x14:formula1>
            <xm:f>'Resistor References'!$X$3:$X$19</xm:f>
          </x14:formula1>
          <xm:sqref>C10</xm:sqref>
        </x14:dataValidation>
        <x14:dataValidation type="list" allowBlank="1" showInputMessage="1" showErrorMessage="1" xr:uid="{00000000-0002-0000-0100-000009000000}">
          <x14:formula1>
            <xm:f>'Resistor References'!$Q$3:$Q$6</xm:f>
          </x14:formula1>
          <xm:sqref>C8</xm:sqref>
        </x14:dataValidation>
        <x14:dataValidation type="list" allowBlank="1" showInputMessage="1" showErrorMessage="1" xr:uid="{00000000-0002-0000-0100-00000A000000}">
          <x14:formula1>
            <xm:f>'Resistor References'!$M$3:$M$10</xm:f>
          </x14:formula1>
          <xm:sqref>C6</xm:sqref>
        </x14:dataValidation>
        <x14:dataValidation type="list" allowBlank="1" showInputMessage="1" showErrorMessage="1" xr:uid="{00000000-0002-0000-0100-00000B000000}">
          <x14:formula1>
            <xm:f>'Resistor References'!$K$3:$K$10</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
  <sheetViews>
    <sheetView workbookViewId="0">
      <selection activeCell="G30" sqref="G30"/>
    </sheetView>
  </sheetViews>
  <sheetFormatPr defaultRowHeight="13.5" x14ac:dyDescent="0.15"/>
  <cols>
    <col min="11" max="11" width="12.875" customWidth="1"/>
    <col min="12" max="12" width="12.75" customWidth="1"/>
  </cols>
  <sheetData>
    <row r="1" spans="1:12" x14ac:dyDescent="0.15">
      <c r="A1" s="185" t="s">
        <v>160</v>
      </c>
      <c r="B1" s="185"/>
      <c r="C1" s="185" t="s">
        <v>161</v>
      </c>
      <c r="D1" s="185"/>
      <c r="E1" s="185" t="s">
        <v>162</v>
      </c>
      <c r="F1" s="185"/>
      <c r="G1" s="185" t="s">
        <v>163</v>
      </c>
      <c r="H1" s="185"/>
      <c r="I1" s="185" t="s">
        <v>164</v>
      </c>
      <c r="J1" s="185"/>
      <c r="K1" s="20" t="s">
        <v>201</v>
      </c>
      <c r="L1" s="20" t="s">
        <v>202</v>
      </c>
    </row>
    <row r="2" spans="1:12" x14ac:dyDescent="0.15">
      <c r="A2" s="21" t="str">
        <f>DEC2HEX(MOD(L2-MOD(L2,16^9),16^10)/16^9)</f>
        <v>2</v>
      </c>
      <c r="B2" s="21" t="str">
        <f>DEC2HEX(MOD(L2-MOD(L2,16^8),16^9)/16^8)</f>
        <v>1</v>
      </c>
      <c r="C2" s="21" t="str">
        <f>DEC2HEX(MOD(L2-MOD(L2,16^7),16^8)/16^7)</f>
        <v>4</v>
      </c>
      <c r="D2" s="21" t="str">
        <f>DEC2HEX(MOD(L2-MOD(L2,16^6),16^7)/16^6)</f>
        <v>1</v>
      </c>
      <c r="E2" s="21" t="str">
        <f>DEC2HEX(MOD(L2-MOD(L2,16^5),16^6)/16^5)</f>
        <v>4</v>
      </c>
      <c r="F2" s="21" t="str">
        <f>DEC2HEX(MOD(L2-MOD(L2,16^4),16^5)/16^4)</f>
        <v>2</v>
      </c>
      <c r="G2" s="21" t="str">
        <f>DEC2HEX(MOD(L2-MOD(L2,16^3),16^4)/16^3)</f>
        <v>5</v>
      </c>
      <c r="H2" s="21" t="str">
        <f>DEC2HEX(MOD(L2-MOD(L2,16^2),16^3)/16^2)</f>
        <v>8</v>
      </c>
      <c r="I2" s="21" t="str">
        <f>DEC2HEX(MOD(L2-MOD(L2,16),16^2)/16)</f>
        <v>4</v>
      </c>
      <c r="J2" s="21" t="str">
        <f>DEC2HEX(MOD(L2,16))</f>
        <v>2</v>
      </c>
      <c r="K2" s="31" t="str">
        <f>'Design Worksheet'!B136</f>
        <v>2141425842</v>
      </c>
      <c r="L2" s="20">
        <f>HEX2DEC(K2)</f>
        <v>142828787778</v>
      </c>
    </row>
    <row r="3" spans="1:12" x14ac:dyDescent="0.15">
      <c r="A3" s="17">
        <f>HEX2DEC(A2)</f>
        <v>2</v>
      </c>
      <c r="B3" s="17">
        <f t="shared" ref="B3:J3" si="0">HEX2DEC(B2)</f>
        <v>1</v>
      </c>
      <c r="C3" s="17">
        <f t="shared" si="0"/>
        <v>4</v>
      </c>
      <c r="D3" s="17">
        <f t="shared" si="0"/>
        <v>1</v>
      </c>
      <c r="E3" s="17">
        <f t="shared" si="0"/>
        <v>4</v>
      </c>
      <c r="F3" s="17">
        <f t="shared" si="0"/>
        <v>2</v>
      </c>
      <c r="G3" s="17">
        <f t="shared" si="0"/>
        <v>5</v>
      </c>
      <c r="H3" s="17">
        <f t="shared" si="0"/>
        <v>8</v>
      </c>
      <c r="I3" s="17">
        <f t="shared" si="0"/>
        <v>4</v>
      </c>
      <c r="J3" s="17">
        <f t="shared" si="0"/>
        <v>2</v>
      </c>
      <c r="K3" s="180" t="s">
        <v>204</v>
      </c>
      <c r="L3" s="181"/>
    </row>
    <row r="4" spans="1:12" x14ac:dyDescent="0.15">
      <c r="A4" s="17" t="str">
        <f>HEX2BIN(A2,4)</f>
        <v>0010</v>
      </c>
      <c r="B4" s="17" t="str">
        <f t="shared" ref="B4:J4" si="1">HEX2BIN(B2,4)</f>
        <v>0001</v>
      </c>
      <c r="C4" s="17" t="str">
        <f t="shared" si="1"/>
        <v>0100</v>
      </c>
      <c r="D4" s="17" t="str">
        <f t="shared" si="1"/>
        <v>0001</v>
      </c>
      <c r="E4" s="17" t="str">
        <f t="shared" si="1"/>
        <v>0100</v>
      </c>
      <c r="F4" s="17" t="str">
        <f t="shared" si="1"/>
        <v>0010</v>
      </c>
      <c r="G4" s="17" t="str">
        <f t="shared" si="1"/>
        <v>0101</v>
      </c>
      <c r="H4" s="17" t="str">
        <f t="shared" si="1"/>
        <v>1000</v>
      </c>
      <c r="I4" s="17" t="str">
        <f t="shared" si="1"/>
        <v>0100</v>
      </c>
      <c r="J4" s="17" t="str">
        <f t="shared" si="1"/>
        <v>0010</v>
      </c>
      <c r="K4" s="182"/>
      <c r="L4" s="183"/>
    </row>
    <row r="6" spans="1:12" x14ac:dyDescent="0.15">
      <c r="A6" t="s">
        <v>0</v>
      </c>
      <c r="B6">
        <f>MOD(A3,4)</f>
        <v>2</v>
      </c>
      <c r="C6">
        <f>2^B6*25</f>
        <v>100</v>
      </c>
      <c r="D6" t="s">
        <v>9</v>
      </c>
      <c r="E6" t="s">
        <v>155</v>
      </c>
      <c r="F6">
        <f>C6*C8*10^-3</f>
        <v>8</v>
      </c>
      <c r="G6" t="s">
        <v>158</v>
      </c>
    </row>
    <row r="7" spans="1:12" x14ac:dyDescent="0.15">
      <c r="A7" t="s">
        <v>1</v>
      </c>
      <c r="B7">
        <f>MOD(B3,4)</f>
        <v>1</v>
      </c>
      <c r="C7">
        <f>2^B7*25</f>
        <v>50</v>
      </c>
      <c r="D7" t="s">
        <v>9</v>
      </c>
      <c r="E7" t="s">
        <v>156</v>
      </c>
      <c r="F7">
        <f>1/(2*PI()*C8*10^3*C9*10^-12*4*10^6*C6*10^-6)/1000</f>
        <v>0.79577471545947676</v>
      </c>
      <c r="G7" t="s">
        <v>11</v>
      </c>
    </row>
    <row r="8" spans="1:12" x14ac:dyDescent="0.15">
      <c r="A8" t="s">
        <v>2</v>
      </c>
      <c r="B8">
        <f>4*C3+(D3-MOD(D3,4))/4</f>
        <v>16</v>
      </c>
      <c r="C8">
        <f>B8*5</f>
        <v>80</v>
      </c>
      <c r="D8" t="s">
        <v>109</v>
      </c>
      <c r="E8" t="s">
        <v>157</v>
      </c>
      <c r="F8">
        <f>1/(2*PI()*C8*10^3*C10*10^-12)/1000</f>
        <v>318.3098861837907</v>
      </c>
      <c r="G8" t="s">
        <v>11</v>
      </c>
    </row>
    <row r="9" spans="1:12" x14ac:dyDescent="0.15">
      <c r="A9" t="s">
        <v>3</v>
      </c>
      <c r="B9">
        <f>4*MOD(D3,4)+(E3-MOD(E3,4))/4</f>
        <v>5</v>
      </c>
      <c r="C9">
        <f>B9*1.25</f>
        <v>6.25</v>
      </c>
      <c r="D9" t="s">
        <v>10</v>
      </c>
      <c r="E9" t="s">
        <v>128</v>
      </c>
      <c r="F9">
        <f>C9*C6*4</f>
        <v>2500</v>
      </c>
      <c r="G9" t="s">
        <v>10</v>
      </c>
    </row>
    <row r="10" spans="1:12" x14ac:dyDescent="0.15">
      <c r="A10" t="s">
        <v>4</v>
      </c>
      <c r="B10">
        <f>8*MOD(E3,4)+(F3-MOD(F3,2))/2</f>
        <v>1</v>
      </c>
      <c r="C10">
        <f>B10*'Compensation References'!H$3</f>
        <v>6.25</v>
      </c>
      <c r="D10" t="s">
        <v>10</v>
      </c>
    </row>
    <row r="11" spans="1:12" x14ac:dyDescent="0.15">
      <c r="A11" t="s">
        <v>5</v>
      </c>
      <c r="B11">
        <f>4*G3+(H3-MOD(H3,4))/4</f>
        <v>22</v>
      </c>
      <c r="C11">
        <f>B11*5</f>
        <v>110</v>
      </c>
      <c r="D11" t="s">
        <v>109</v>
      </c>
      <c r="E11" t="s">
        <v>159</v>
      </c>
      <c r="F11">
        <f>C7*C11*10^-3</f>
        <v>5.5</v>
      </c>
      <c r="G11" t="s">
        <v>158</v>
      </c>
    </row>
    <row r="12" spans="1:12" x14ac:dyDescent="0.15">
      <c r="A12" t="s">
        <v>6</v>
      </c>
      <c r="B12">
        <f>4*MOD(H3,4)+(I3-MOD(I3,4))/4</f>
        <v>1</v>
      </c>
      <c r="C12">
        <f>B12*'Compensation References'!J$3</f>
        <v>0.33300000000000002</v>
      </c>
      <c r="D12" t="s">
        <v>10</v>
      </c>
      <c r="E12" t="s">
        <v>165</v>
      </c>
      <c r="F12">
        <f>1/(2*PI()*C7*C14*10^-3*C12*C11*10^-12*10^3)/1000</f>
        <v>108.62335728357584</v>
      </c>
      <c r="G12" t="s">
        <v>11</v>
      </c>
    </row>
    <row r="13" spans="1:12" x14ac:dyDescent="0.15">
      <c r="A13" t="s">
        <v>7</v>
      </c>
      <c r="B13">
        <f>8*MOD(I3,4)+(J3-MOD(J3,2))/2</f>
        <v>1</v>
      </c>
      <c r="C13">
        <f>B13*3.2</f>
        <v>3.2</v>
      </c>
      <c r="D13" t="s">
        <v>10</v>
      </c>
      <c r="E13" t="s">
        <v>166</v>
      </c>
      <c r="F13">
        <f>1/(2*PI()*C11*10^3*C13*10^-12)/1000</f>
        <v>452.14472469288444</v>
      </c>
      <c r="G13" t="s">
        <v>11</v>
      </c>
    </row>
    <row r="14" spans="1:12" x14ac:dyDescent="0.15">
      <c r="A14" t="s">
        <v>132</v>
      </c>
      <c r="B14">
        <f>MOD(J3,2)</f>
        <v>0</v>
      </c>
      <c r="C14">
        <f>(B14+1)*800</f>
        <v>800</v>
      </c>
      <c r="D14" t="s">
        <v>109</v>
      </c>
      <c r="E14" t="s">
        <v>127</v>
      </c>
      <c r="F14">
        <f>C12*C14*C7/1000</f>
        <v>13.320000000000002</v>
      </c>
      <c r="G14" t="s">
        <v>10</v>
      </c>
    </row>
    <row r="17" spans="1:12" x14ac:dyDescent="0.15">
      <c r="A17" s="185" t="s">
        <v>160</v>
      </c>
      <c r="B17" s="185"/>
      <c r="C17" s="185" t="s">
        <v>161</v>
      </c>
      <c r="D17" s="185"/>
      <c r="E17" s="185" t="s">
        <v>162</v>
      </c>
      <c r="F17" s="185"/>
      <c r="G17" s="185" t="s">
        <v>163</v>
      </c>
      <c r="H17" s="185"/>
      <c r="I17" s="185" t="s">
        <v>164</v>
      </c>
      <c r="J17" s="185"/>
      <c r="K17" s="20" t="s">
        <v>201</v>
      </c>
      <c r="L17" s="20" t="s">
        <v>202</v>
      </c>
    </row>
    <row r="18" spans="1:12" x14ac:dyDescent="0.15">
      <c r="A18" s="21" t="str">
        <f>DEC2HEX(MOD(L18-MOD(L18,16^9),16^10)/16^9)</f>
        <v>1</v>
      </c>
      <c r="B18" s="21" t="str">
        <f>DEC2HEX(MOD(L18-MOD(L18,16^8),16^9)/16^8)</f>
        <v>1</v>
      </c>
      <c r="C18" s="21" t="str">
        <f>DEC2HEX(MOD(L18-MOD(L18,16^7),16^8)/16^7)</f>
        <v>1</v>
      </c>
      <c r="D18" s="21" t="str">
        <f>DEC2HEX(MOD(L18-MOD(L18,16^6),16^7)/16^6)</f>
        <v>C</v>
      </c>
      <c r="E18" s="21" t="str">
        <f>DEC2HEX(MOD(L18-MOD(L18,16^5),16^6)/16^5)</f>
        <v>C</v>
      </c>
      <c r="F18" s="21" t="str">
        <f>DEC2HEX(MOD(L18-MOD(L18,16^4),16^5)/16^4)</f>
        <v>C</v>
      </c>
      <c r="G18" s="21" t="str">
        <f>DEC2HEX(MOD(L18-MOD(L18,16^3),16^4)/16^3)</f>
        <v>1</v>
      </c>
      <c r="H18" s="21" t="str">
        <f>DEC2HEX(MOD(L18-MOD(L18,16^2),16^3)/16^2)</f>
        <v>7</v>
      </c>
      <c r="I18" s="21" t="str">
        <f>DEC2HEX(MOD(L18-MOD(L18,16),16^2)/16)</f>
        <v>C</v>
      </c>
      <c r="J18" s="21" t="str">
        <f>DEC2HEX(MOD(L18,16))</f>
        <v>C</v>
      </c>
      <c r="K18" s="31" t="s">
        <v>171</v>
      </c>
      <c r="L18" s="20">
        <f>HEX2DEC(K18)</f>
        <v>73497581516</v>
      </c>
    </row>
    <row r="19" spans="1:12" x14ac:dyDescent="0.15">
      <c r="A19" s="17">
        <f>HEX2DEC(A18)</f>
        <v>1</v>
      </c>
      <c r="B19" s="17">
        <f t="shared" ref="B19" si="2">HEX2DEC(B18)</f>
        <v>1</v>
      </c>
      <c r="C19" s="17">
        <f t="shared" ref="C19" si="3">HEX2DEC(C18)</f>
        <v>1</v>
      </c>
      <c r="D19" s="17">
        <f t="shared" ref="D19" si="4">HEX2DEC(D18)</f>
        <v>12</v>
      </c>
      <c r="E19" s="17">
        <f t="shared" ref="E19" si="5">HEX2DEC(E18)</f>
        <v>12</v>
      </c>
      <c r="F19" s="17">
        <f t="shared" ref="F19" si="6">HEX2DEC(F18)</f>
        <v>12</v>
      </c>
      <c r="G19" s="17">
        <f t="shared" ref="G19" si="7">HEX2DEC(G18)</f>
        <v>1</v>
      </c>
      <c r="H19" s="17">
        <f t="shared" ref="H19" si="8">HEX2DEC(H18)</f>
        <v>7</v>
      </c>
      <c r="I19" s="17">
        <f t="shared" ref="I19" si="9">HEX2DEC(I18)</f>
        <v>12</v>
      </c>
      <c r="J19" s="17">
        <f t="shared" ref="J19" si="10">HEX2DEC(J18)</f>
        <v>12</v>
      </c>
      <c r="K19" s="184" t="s">
        <v>205</v>
      </c>
      <c r="L19" s="184"/>
    </row>
    <row r="20" spans="1:12" x14ac:dyDescent="0.15">
      <c r="A20" s="17" t="str">
        <f>HEX2BIN(A18,4)</f>
        <v>0001</v>
      </c>
      <c r="B20" s="17" t="str">
        <f t="shared" ref="B20:J20" si="11">HEX2BIN(B18,4)</f>
        <v>0001</v>
      </c>
      <c r="C20" s="17" t="str">
        <f t="shared" si="11"/>
        <v>0001</v>
      </c>
      <c r="D20" s="17" t="str">
        <f t="shared" si="11"/>
        <v>1100</v>
      </c>
      <c r="E20" s="17" t="str">
        <f t="shared" si="11"/>
        <v>1100</v>
      </c>
      <c r="F20" s="17" t="str">
        <f t="shared" si="11"/>
        <v>1100</v>
      </c>
      <c r="G20" s="17" t="str">
        <f t="shared" si="11"/>
        <v>0001</v>
      </c>
      <c r="H20" s="17" t="str">
        <f t="shared" si="11"/>
        <v>0111</v>
      </c>
      <c r="I20" s="17" t="str">
        <f t="shared" si="11"/>
        <v>1100</v>
      </c>
      <c r="J20" s="17" t="str">
        <f t="shared" si="11"/>
        <v>1100</v>
      </c>
      <c r="K20" s="184"/>
      <c r="L20" s="184"/>
    </row>
    <row r="22" spans="1:12" x14ac:dyDescent="0.15">
      <c r="A22" t="s">
        <v>0</v>
      </c>
      <c r="B22">
        <f>MOD(A19,4)</f>
        <v>1</v>
      </c>
      <c r="C22">
        <f>2^B22*25</f>
        <v>50</v>
      </c>
      <c r="D22" t="s">
        <v>9</v>
      </c>
      <c r="E22" t="s">
        <v>155</v>
      </c>
      <c r="F22">
        <f>C22*C24*10^-3</f>
        <v>1.75</v>
      </c>
      <c r="G22" t="s">
        <v>158</v>
      </c>
    </row>
    <row r="23" spans="1:12" x14ac:dyDescent="0.15">
      <c r="A23" t="s">
        <v>1</v>
      </c>
      <c r="B23">
        <f>MOD(B19,4)</f>
        <v>1</v>
      </c>
      <c r="C23">
        <f>2^B23*25</f>
        <v>50</v>
      </c>
      <c r="D23" t="s">
        <v>9</v>
      </c>
      <c r="E23" t="s">
        <v>156</v>
      </c>
      <c r="F23">
        <f>1/(2*PI()*C24*10^3*C25*10^-12*4*10^6*C22*10^-6)/1000</f>
        <v>6.0630454511198231</v>
      </c>
      <c r="G23" t="s">
        <v>11</v>
      </c>
    </row>
    <row r="24" spans="1:12" x14ac:dyDescent="0.15">
      <c r="A24" t="s">
        <v>2</v>
      </c>
      <c r="B24">
        <f>4*C19+(D19-MOD(D19,4))/4</f>
        <v>7</v>
      </c>
      <c r="C24">
        <f>B24*5</f>
        <v>35</v>
      </c>
      <c r="D24" t="s">
        <v>109</v>
      </c>
      <c r="E24" t="s">
        <v>157</v>
      </c>
      <c r="F24">
        <f>1/(2*PI()*C24*10^3*C26*10^-12)/1000</f>
        <v>121.26090902239646</v>
      </c>
      <c r="G24" t="s">
        <v>11</v>
      </c>
    </row>
    <row r="25" spans="1:12" x14ac:dyDescent="0.15">
      <c r="A25" t="s">
        <v>3</v>
      </c>
      <c r="B25">
        <f>4*MOD(D19,4)+(E19-MOD(E19,4))/4</f>
        <v>3</v>
      </c>
      <c r="C25">
        <f>B25*1.25</f>
        <v>3.75</v>
      </c>
      <c r="D25" t="s">
        <v>10</v>
      </c>
      <c r="E25" t="s">
        <v>128</v>
      </c>
      <c r="F25">
        <f>C25*C22*4</f>
        <v>750</v>
      </c>
      <c r="G25" t="s">
        <v>10</v>
      </c>
    </row>
    <row r="26" spans="1:12" x14ac:dyDescent="0.15">
      <c r="A26" t="s">
        <v>4</v>
      </c>
      <c r="B26">
        <f>8*MOD(E19,4)+(F19-MOD(F19,2))/2</f>
        <v>6</v>
      </c>
      <c r="C26">
        <f>B26*'Compensation References'!H$3</f>
        <v>37.5</v>
      </c>
      <c r="D26" t="s">
        <v>10</v>
      </c>
    </row>
    <row r="27" spans="1:12" x14ac:dyDescent="0.15">
      <c r="A27" t="s">
        <v>5</v>
      </c>
      <c r="B27">
        <f>4*G19+(H19-MOD(H19,4))/4</f>
        <v>5</v>
      </c>
      <c r="C27">
        <f>B27*5</f>
        <v>25</v>
      </c>
      <c r="D27" t="s">
        <v>109</v>
      </c>
      <c r="E27" t="s">
        <v>159</v>
      </c>
      <c r="F27">
        <f>C23*C27*10^-3</f>
        <v>1.25</v>
      </c>
      <c r="G27" t="s">
        <v>158</v>
      </c>
    </row>
    <row r="28" spans="1:12" x14ac:dyDescent="0.15">
      <c r="A28" t="s">
        <v>6</v>
      </c>
      <c r="B28">
        <f>4*MOD(H19,4)+(I19-MOD(I19,4))/4</f>
        <v>15</v>
      </c>
      <c r="C28">
        <f>B28*'Compensation References'!J$3</f>
        <v>4.9950000000000001</v>
      </c>
      <c r="D28" t="s">
        <v>10</v>
      </c>
      <c r="E28" t="s">
        <v>165</v>
      </c>
      <c r="F28">
        <f>1/(2*PI()*C23*C30*10^-3*C28*C27*10^-12*10^3)/1000</f>
        <v>31.862851469848916</v>
      </c>
      <c r="G28" t="s">
        <v>11</v>
      </c>
    </row>
    <row r="29" spans="1:12" x14ac:dyDescent="0.15">
      <c r="A29" t="s">
        <v>7</v>
      </c>
      <c r="B29">
        <f>8*MOD(I19,4)+(J19-MOD(J19,2))/2</f>
        <v>6</v>
      </c>
      <c r="C29">
        <f>B29*3.2</f>
        <v>19.200000000000003</v>
      </c>
      <c r="D29" t="s">
        <v>10</v>
      </c>
      <c r="E29" t="s">
        <v>166</v>
      </c>
      <c r="F29">
        <f>1/(2*PI()*C27*10^3*C29*10^-12)/1000</f>
        <v>331.57279810811519</v>
      </c>
      <c r="G29" t="s">
        <v>11</v>
      </c>
    </row>
    <row r="30" spans="1:12" x14ac:dyDescent="0.15">
      <c r="A30" t="s">
        <v>132</v>
      </c>
      <c r="B30">
        <f>MOD(J19,2)</f>
        <v>0</v>
      </c>
      <c r="C30">
        <f>(B30+1)*800</f>
        <v>800</v>
      </c>
      <c r="D30" t="s">
        <v>109</v>
      </c>
      <c r="E30" t="s">
        <v>127</v>
      </c>
      <c r="F30">
        <f>C28*C30*C23/1000</f>
        <v>199.8</v>
      </c>
      <c r="G30" t="s">
        <v>10</v>
      </c>
    </row>
    <row r="33" spans="1:12" x14ac:dyDescent="0.15">
      <c r="A33" s="185" t="s">
        <v>160</v>
      </c>
      <c r="B33" s="185"/>
      <c r="C33" s="185" t="s">
        <v>161</v>
      </c>
      <c r="D33" s="185"/>
      <c r="E33" s="185" t="s">
        <v>162</v>
      </c>
      <c r="F33" s="185"/>
      <c r="G33" s="185" t="s">
        <v>163</v>
      </c>
      <c r="H33" s="185"/>
      <c r="I33" s="185" t="s">
        <v>164</v>
      </c>
      <c r="J33" s="185"/>
      <c r="K33" s="20" t="s">
        <v>203</v>
      </c>
      <c r="L33" s="20" t="s">
        <v>202</v>
      </c>
    </row>
    <row r="34" spans="1:12" x14ac:dyDescent="0.15">
      <c r="A34" s="21" t="str">
        <f>DEC2HEX(MOD(L34-MOD(L34,16^9),16^10)/16^9)</f>
        <v>0</v>
      </c>
      <c r="B34" s="21" t="str">
        <f>DEC2HEX(MOD(L34-MOD(L34,16^8),16^9)/16^8)</f>
        <v>1</v>
      </c>
      <c r="C34" s="21" t="str">
        <f>DEC2HEX(MOD(L34-MOD(L34,16^7),16^8)/16^7)</f>
        <v>3</v>
      </c>
      <c r="D34" s="21" t="str">
        <f>DEC2HEX(MOD(L34-MOD(L34,16^6),16^7)/16^6)</f>
        <v>D</v>
      </c>
      <c r="E34" s="21" t="str">
        <f>DEC2HEX(MOD(L34-MOD(L34,16^5),16^6)/16^5)</f>
        <v>0</v>
      </c>
      <c r="F34" s="21" t="str">
        <f>DEC2HEX(MOD(L34-MOD(L34,16^4),16^5)/16^4)</f>
        <v>4</v>
      </c>
      <c r="G34" s="21" t="str">
        <f>DEC2HEX(MOD(L34-MOD(L34,16^3),16^4)/16^3)</f>
        <v>4</v>
      </c>
      <c r="H34" s="21" t="str">
        <f>DEC2HEX(MOD(L34-MOD(L34,16^2),16^3)/16^2)</f>
        <v>9</v>
      </c>
      <c r="I34" s="21" t="str">
        <f>DEC2HEX(MOD(L34-MOD(L34,16),16^2)/16)</f>
        <v>4</v>
      </c>
      <c r="J34" s="21" t="str">
        <f>DEC2HEX(MOD(L34,16))</f>
        <v>2</v>
      </c>
      <c r="K34" s="31" t="s">
        <v>200</v>
      </c>
      <c r="L34" s="20">
        <f>HEX2DEC(K34)</f>
        <v>5318658370</v>
      </c>
    </row>
    <row r="35" spans="1:12" x14ac:dyDescent="0.15">
      <c r="A35" s="18">
        <f>HEX2DEC(A34)</f>
        <v>0</v>
      </c>
      <c r="B35" s="18">
        <f t="shared" ref="B35:J35" si="12">HEX2DEC(B34)</f>
        <v>1</v>
      </c>
      <c r="C35" s="18">
        <f t="shared" si="12"/>
        <v>3</v>
      </c>
      <c r="D35" s="18">
        <f t="shared" si="12"/>
        <v>13</v>
      </c>
      <c r="E35" s="18">
        <f t="shared" si="12"/>
        <v>0</v>
      </c>
      <c r="F35" s="18">
        <f t="shared" si="12"/>
        <v>4</v>
      </c>
      <c r="G35" s="18">
        <f t="shared" si="12"/>
        <v>4</v>
      </c>
      <c r="H35" s="18">
        <f t="shared" si="12"/>
        <v>9</v>
      </c>
      <c r="I35" s="18">
        <f t="shared" si="12"/>
        <v>4</v>
      </c>
      <c r="J35" s="18">
        <f t="shared" si="12"/>
        <v>2</v>
      </c>
      <c r="K35" s="184" t="s">
        <v>205</v>
      </c>
      <c r="L35" s="184"/>
    </row>
    <row r="36" spans="1:12" x14ac:dyDescent="0.15">
      <c r="A36" s="18" t="str">
        <f>HEX2BIN(A34,4)</f>
        <v>0000</v>
      </c>
      <c r="B36" s="18" t="str">
        <f t="shared" ref="B36:J36" si="13">HEX2BIN(B34,4)</f>
        <v>0001</v>
      </c>
      <c r="C36" s="18" t="str">
        <f t="shared" si="13"/>
        <v>0011</v>
      </c>
      <c r="D36" s="18" t="str">
        <f t="shared" si="13"/>
        <v>1101</v>
      </c>
      <c r="E36" s="18" t="str">
        <f t="shared" si="13"/>
        <v>0000</v>
      </c>
      <c r="F36" s="18" t="str">
        <f t="shared" si="13"/>
        <v>0100</v>
      </c>
      <c r="G36" s="18" t="str">
        <f t="shared" si="13"/>
        <v>0100</v>
      </c>
      <c r="H36" s="18" t="str">
        <f t="shared" si="13"/>
        <v>1001</v>
      </c>
      <c r="I36" s="18" t="str">
        <f t="shared" si="13"/>
        <v>0100</v>
      </c>
      <c r="J36" s="18" t="str">
        <f t="shared" si="13"/>
        <v>0010</v>
      </c>
      <c r="K36" s="184"/>
      <c r="L36" s="184"/>
    </row>
    <row r="38" spans="1:12" x14ac:dyDescent="0.15">
      <c r="A38" t="s">
        <v>0</v>
      </c>
      <c r="B38">
        <f>MOD(A35,4)</f>
        <v>0</v>
      </c>
      <c r="C38">
        <f>2^B38*25</f>
        <v>25</v>
      </c>
      <c r="D38" t="s">
        <v>9</v>
      </c>
      <c r="E38" t="s">
        <v>155</v>
      </c>
      <c r="F38">
        <f>C38*C40*10^-3</f>
        <v>1.875</v>
      </c>
      <c r="G38" t="s">
        <v>158</v>
      </c>
    </row>
    <row r="39" spans="1:12" x14ac:dyDescent="0.15">
      <c r="A39" t="s">
        <v>1</v>
      </c>
      <c r="B39">
        <f>MOD(B35,4)</f>
        <v>1</v>
      </c>
      <c r="C39">
        <f>2^B39*25</f>
        <v>50</v>
      </c>
      <c r="D39" t="s">
        <v>9</v>
      </c>
      <c r="E39" t="s">
        <v>156</v>
      </c>
      <c r="F39">
        <f>1/(2*PI()*C40*10^3*C41*10^-12*4*10^6*C38*10^-6)/1000</f>
        <v>4.2441318157838763</v>
      </c>
      <c r="G39" t="s">
        <v>11</v>
      </c>
    </row>
    <row r="40" spans="1:12" x14ac:dyDescent="0.15">
      <c r="A40" t="s">
        <v>2</v>
      </c>
      <c r="B40">
        <f>4*C35+(D35-MOD(D35,4))/4</f>
        <v>15</v>
      </c>
      <c r="C40">
        <f>B40*5</f>
        <v>75</v>
      </c>
      <c r="D40" t="s">
        <v>109</v>
      </c>
      <c r="E40" t="s">
        <v>157</v>
      </c>
      <c r="F40">
        <f>1/(2*PI()*C40*10^3*C42*10^-12)/1000</f>
        <v>169.76527263135503</v>
      </c>
      <c r="G40" t="s">
        <v>11</v>
      </c>
    </row>
    <row r="41" spans="1:12" x14ac:dyDescent="0.15">
      <c r="A41" t="s">
        <v>3</v>
      </c>
      <c r="B41">
        <f>4*MOD(D35,4)+(E35-MOD(E35,4))/4</f>
        <v>4</v>
      </c>
      <c r="C41">
        <f>B41*1.25</f>
        <v>5</v>
      </c>
      <c r="D41" t="s">
        <v>10</v>
      </c>
      <c r="E41" t="s">
        <v>128</v>
      </c>
      <c r="F41">
        <f>C41*C38*4</f>
        <v>500</v>
      </c>
      <c r="G41" t="s">
        <v>10</v>
      </c>
    </row>
    <row r="42" spans="1:12" x14ac:dyDescent="0.15">
      <c r="A42" t="s">
        <v>4</v>
      </c>
      <c r="B42">
        <f>8*MOD(E35,4)+(F35-MOD(F35,2))/2</f>
        <v>2</v>
      </c>
      <c r="C42">
        <f>B42*'Compensation References'!H$3</f>
        <v>12.5</v>
      </c>
      <c r="D42" t="s">
        <v>10</v>
      </c>
    </row>
    <row r="43" spans="1:12" x14ac:dyDescent="0.15">
      <c r="A43" t="s">
        <v>5</v>
      </c>
      <c r="B43">
        <f>4*G35+(H35-MOD(H35,4))/4</f>
        <v>18</v>
      </c>
      <c r="C43">
        <f>B43*5</f>
        <v>90</v>
      </c>
      <c r="D43" t="s">
        <v>109</v>
      </c>
      <c r="E43" t="s">
        <v>159</v>
      </c>
      <c r="F43">
        <f>C39*C43*10^-3</f>
        <v>4.5</v>
      </c>
      <c r="G43" t="s">
        <v>158</v>
      </c>
    </row>
    <row r="44" spans="1:12" x14ac:dyDescent="0.15">
      <c r="A44" t="s">
        <v>6</v>
      </c>
      <c r="B44">
        <f>4*MOD(H35,4)+(I35-MOD(I35,4))/4</f>
        <v>5</v>
      </c>
      <c r="C44">
        <f>B44*'Compensation References'!J$3</f>
        <v>1.665</v>
      </c>
      <c r="D44" t="s">
        <v>10</v>
      </c>
      <c r="E44" t="s">
        <v>165</v>
      </c>
      <c r="F44">
        <f>1/(2*PI()*C39*C46*10^-3*C44*C43*10^-12*10^3)/1000</f>
        <v>26.552376224874095</v>
      </c>
      <c r="G44" t="s">
        <v>11</v>
      </c>
    </row>
    <row r="45" spans="1:12" x14ac:dyDescent="0.15">
      <c r="A45" t="s">
        <v>7</v>
      </c>
      <c r="B45">
        <f>8*MOD(I35,4)+(J35-MOD(J35,2))/2</f>
        <v>1</v>
      </c>
      <c r="C45">
        <f>B45*3.2</f>
        <v>3.2</v>
      </c>
      <c r="D45" t="s">
        <v>10</v>
      </c>
      <c r="E45" t="s">
        <v>166</v>
      </c>
      <c r="F45">
        <f>1/(2*PI()*C43*10^3*C45*10^-12)/1000</f>
        <v>552.62133018019199</v>
      </c>
      <c r="G45" t="s">
        <v>11</v>
      </c>
    </row>
    <row r="46" spans="1:12" x14ac:dyDescent="0.15">
      <c r="A46" t="s">
        <v>132</v>
      </c>
      <c r="B46">
        <f>MOD(J35,2)</f>
        <v>0</v>
      </c>
      <c r="C46">
        <f>(B46+1)*800</f>
        <v>800</v>
      </c>
      <c r="D46" t="s">
        <v>109</v>
      </c>
      <c r="E46" t="s">
        <v>127</v>
      </c>
      <c r="F46">
        <f>C44*C46*C39/1000</f>
        <v>66.599999999999994</v>
      </c>
      <c r="G46" t="s">
        <v>10</v>
      </c>
    </row>
  </sheetData>
  <sheetProtection sheet="1" objects="1" scenarios="1"/>
  <mergeCells count="18">
    <mergeCell ref="A1:B1"/>
    <mergeCell ref="C1:D1"/>
    <mergeCell ref="E1:F1"/>
    <mergeCell ref="G1:H1"/>
    <mergeCell ref="I1:J1"/>
    <mergeCell ref="K3:L4"/>
    <mergeCell ref="K19:L20"/>
    <mergeCell ref="K35:L36"/>
    <mergeCell ref="A33:B33"/>
    <mergeCell ref="C33:D33"/>
    <mergeCell ref="E33:F33"/>
    <mergeCell ref="G33:H33"/>
    <mergeCell ref="I33:J33"/>
    <mergeCell ref="A17:B17"/>
    <mergeCell ref="C17:D17"/>
    <mergeCell ref="E17:F17"/>
    <mergeCell ref="G17:H17"/>
    <mergeCell ref="I17:J17"/>
  </mergeCells>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activeCell="B12" sqref="B12"/>
    </sheetView>
  </sheetViews>
  <sheetFormatPr defaultRowHeight="13.5" x14ac:dyDescent="0.15"/>
  <cols>
    <col min="1" max="1" width="13.75" customWidth="1"/>
    <col min="2" max="2" width="23.875" bestFit="1" customWidth="1"/>
    <col min="3" max="6" width="13.75" customWidth="1"/>
  </cols>
  <sheetData>
    <row r="1" spans="1:6" x14ac:dyDescent="0.15">
      <c r="A1" s="188" t="s">
        <v>326</v>
      </c>
      <c r="B1" s="188"/>
      <c r="C1" s="188"/>
      <c r="D1" s="188"/>
      <c r="E1" s="188"/>
      <c r="F1" s="188"/>
    </row>
    <row r="2" spans="1:6" x14ac:dyDescent="0.15">
      <c r="A2" s="20" t="s">
        <v>227</v>
      </c>
      <c r="B2" s="20" t="s">
        <v>23</v>
      </c>
      <c r="C2" s="20" t="s">
        <v>327</v>
      </c>
      <c r="D2" s="20" t="s">
        <v>328</v>
      </c>
      <c r="E2" s="20" t="s">
        <v>329</v>
      </c>
      <c r="F2" s="20" t="s">
        <v>330</v>
      </c>
    </row>
    <row r="3" spans="1:6" x14ac:dyDescent="0.15">
      <c r="A3" s="20" t="s">
        <v>234</v>
      </c>
      <c r="B3" s="20" t="s">
        <v>258</v>
      </c>
      <c r="C3" s="20" t="s">
        <v>268</v>
      </c>
      <c r="D3" s="20" t="s">
        <v>268</v>
      </c>
      <c r="E3" s="20" t="str">
        <f>VLOOKUP('Pinstrap Reverse Lookup'!C3,'Resistor Selection'!AL$3:AR$20,6,FALSE)</f>
        <v>FLOAT</v>
      </c>
      <c r="F3" s="20">
        <f>VLOOKUP(D3,'Resistor Selection'!AM$5:AQ$20,5,FALSE)</f>
        <v>0</v>
      </c>
    </row>
    <row r="4" spans="1:6" x14ac:dyDescent="0.15">
      <c r="A4" s="20" t="s">
        <v>235</v>
      </c>
      <c r="B4" s="20" t="s">
        <v>259</v>
      </c>
      <c r="C4" s="20">
        <v>12100</v>
      </c>
      <c r="D4" s="20">
        <v>18700</v>
      </c>
      <c r="E4" s="20">
        <f>VLOOKUP('Pinstrap Reverse Lookup'!C4,'Resistor Selection'!AL$3:AR$20,6,FALSE)</f>
        <v>5</v>
      </c>
      <c r="F4" s="20">
        <f>VLOOKUP(D4,'Resistor Selection'!AN$5:AQ$20,4,FALSE)</f>
        <v>4</v>
      </c>
    </row>
    <row r="5" spans="1:6" x14ac:dyDescent="0.15">
      <c r="A5" s="20" t="s">
        <v>242</v>
      </c>
      <c r="B5" s="20" t="s">
        <v>260</v>
      </c>
      <c r="C5" s="20">
        <v>4640</v>
      </c>
      <c r="D5" s="20">
        <v>9090</v>
      </c>
      <c r="E5" s="20">
        <f>VLOOKUP('Pinstrap Reverse Lookup'!C5,'Resistor Selection'!AL$3:AR$20,6,FALSE)</f>
        <v>0</v>
      </c>
      <c r="F5" s="20">
        <f>VLOOKUP(D5,'Resistor Selection'!AO$5:AQ$20,3,FALSE)</f>
        <v>3</v>
      </c>
    </row>
    <row r="6" spans="1:6" x14ac:dyDescent="0.15">
      <c r="A6" s="20" t="s">
        <v>248</v>
      </c>
      <c r="B6" s="20" t="s">
        <v>261</v>
      </c>
      <c r="C6" s="20">
        <v>5620</v>
      </c>
      <c r="D6" s="20">
        <v>18700</v>
      </c>
      <c r="E6" s="20">
        <f>VLOOKUP('Pinstrap Reverse Lookup'!C6,'Resistor Selection'!AL$3:AR$20,6,FALSE)</f>
        <v>1</v>
      </c>
      <c r="F6" s="20">
        <f>VLOOKUP(D6,'Resistor Selection'!AP$5:AQ$20,2,FALSE)</f>
        <v>1</v>
      </c>
    </row>
    <row r="8" spans="1:6" x14ac:dyDescent="0.15">
      <c r="A8" s="189" t="s">
        <v>331</v>
      </c>
      <c r="B8" s="189"/>
      <c r="C8" s="189" t="s">
        <v>211</v>
      </c>
      <c r="D8" s="189"/>
      <c r="E8" s="189"/>
    </row>
    <row r="9" spans="1:6" x14ac:dyDescent="0.15">
      <c r="A9" s="20" t="s">
        <v>227</v>
      </c>
      <c r="B9" s="20" t="s">
        <v>228</v>
      </c>
      <c r="C9" s="20" t="s">
        <v>23</v>
      </c>
      <c r="D9" s="20" t="s">
        <v>229</v>
      </c>
      <c r="E9" s="20" t="s">
        <v>14</v>
      </c>
    </row>
    <row r="10" spans="1:6" x14ac:dyDescent="0.15">
      <c r="A10" s="186" t="s">
        <v>234</v>
      </c>
      <c r="B10" s="20" t="s">
        <v>139</v>
      </c>
      <c r="C10" s="20"/>
      <c r="D10" s="20"/>
      <c r="E10" s="20" t="str">
        <f>IF(OR(F3='Resistor Selection'!AL4,MOD('Pinstrap Reverse Lookup'!F3,2)=0),'Pinstrap Reverse Lookup'!E3,'Pinstrap Reverse Lookup'!E3+16)</f>
        <v>FLOAT</v>
      </c>
    </row>
    <row r="11" spans="1:6" x14ac:dyDescent="0.15">
      <c r="A11" s="187"/>
      <c r="B11" s="20" t="s">
        <v>39</v>
      </c>
      <c r="C11" s="20"/>
      <c r="D11" s="20" t="s">
        <v>11</v>
      </c>
      <c r="E11" s="20">
        <f>(F3-MOD(F3,2))/2</f>
        <v>0</v>
      </c>
    </row>
    <row r="12" spans="1:6" x14ac:dyDescent="0.15">
      <c r="A12" s="186" t="s">
        <v>235</v>
      </c>
      <c r="B12" s="20" t="s">
        <v>236</v>
      </c>
      <c r="C12" s="20"/>
      <c r="D12" s="20" t="s">
        <v>237</v>
      </c>
      <c r="E12" s="20"/>
    </row>
    <row r="13" spans="1:6" x14ac:dyDescent="0.15">
      <c r="A13" s="190"/>
      <c r="B13" s="20" t="s">
        <v>238</v>
      </c>
      <c r="C13" s="20"/>
      <c r="D13" s="20" t="s">
        <v>29</v>
      </c>
      <c r="E13" s="20"/>
    </row>
    <row r="14" spans="1:6" x14ac:dyDescent="0.15">
      <c r="A14" s="187"/>
      <c r="B14" s="20" t="s">
        <v>241</v>
      </c>
      <c r="C14" s="20"/>
      <c r="D14" s="20"/>
      <c r="E14" s="20"/>
    </row>
    <row r="15" spans="1:6" x14ac:dyDescent="0.15">
      <c r="A15" s="186" t="s">
        <v>242</v>
      </c>
      <c r="B15" s="20" t="s">
        <v>243</v>
      </c>
      <c r="C15" s="20"/>
      <c r="D15" s="20" t="s">
        <v>25</v>
      </c>
      <c r="E15" s="20"/>
    </row>
    <row r="16" spans="1:6" x14ac:dyDescent="0.15">
      <c r="A16" s="190"/>
      <c r="B16" s="20" t="s">
        <v>246</v>
      </c>
      <c r="C16" s="20"/>
      <c r="D16" s="20" t="s">
        <v>25</v>
      </c>
      <c r="E16" s="20"/>
    </row>
    <row r="17" spans="1:5" x14ac:dyDescent="0.15">
      <c r="A17" s="187"/>
      <c r="B17" s="20" t="s">
        <v>247</v>
      </c>
      <c r="C17" s="20"/>
      <c r="D17" s="20"/>
      <c r="E17" s="20"/>
    </row>
    <row r="18" spans="1:5" x14ac:dyDescent="0.15">
      <c r="A18" s="186" t="s">
        <v>248</v>
      </c>
      <c r="B18" s="20" t="s">
        <v>249</v>
      </c>
      <c r="C18" s="20"/>
      <c r="D18" s="20" t="s">
        <v>250</v>
      </c>
      <c r="E18" s="20"/>
    </row>
    <row r="19" spans="1:5" x14ac:dyDescent="0.15">
      <c r="A19" s="187"/>
      <c r="B19" s="20" t="s">
        <v>332</v>
      </c>
      <c r="C19" s="20"/>
      <c r="D19" s="20"/>
      <c r="E19" s="20"/>
    </row>
  </sheetData>
  <mergeCells count="7">
    <mergeCell ref="A18:A19"/>
    <mergeCell ref="A1:F1"/>
    <mergeCell ref="A8:B8"/>
    <mergeCell ref="C8:E8"/>
    <mergeCell ref="A10:A11"/>
    <mergeCell ref="A12:A14"/>
    <mergeCell ref="A15:A17"/>
  </mergeCells>
  <phoneticPr fontId="11"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'Resistor References'!$A$2:$A$4</xm:f>
          </x14:formula1>
          <xm:sqref>C8:E8</xm:sqref>
        </x14:dataValidation>
        <x14:dataValidation type="list" allowBlank="1" showInputMessage="1" showErrorMessage="1" xr:uid="{00000000-0002-0000-0300-000001000000}">
          <x14:formula1>
            <xm:f>'Resistor Selection'!$AP$4:$AP$20</xm:f>
          </x14:formula1>
          <xm:sqref>D6</xm:sqref>
        </x14:dataValidation>
        <x14:dataValidation type="list" allowBlank="1" showInputMessage="1" showErrorMessage="1" xr:uid="{00000000-0002-0000-0300-000002000000}">
          <x14:formula1>
            <xm:f>'Resistor Selection'!$AO$4:$AO$20</xm:f>
          </x14:formula1>
          <xm:sqref>D5</xm:sqref>
        </x14:dataValidation>
        <x14:dataValidation type="list" allowBlank="1" showInputMessage="1" showErrorMessage="1" xr:uid="{00000000-0002-0000-0300-000003000000}">
          <x14:formula1>
            <xm:f>'Resistor Selection'!$AN$4:$AN$20</xm:f>
          </x14:formula1>
          <xm:sqref>D4</xm:sqref>
        </x14:dataValidation>
        <x14:dataValidation type="list" allowBlank="1" showInputMessage="1" showErrorMessage="1" xr:uid="{00000000-0002-0000-0300-000004000000}">
          <x14:formula1>
            <xm:f>'Resistor Selection'!$AM$4:$AM$20</xm:f>
          </x14:formula1>
          <xm:sqref>D3</xm:sqref>
        </x14:dataValidation>
        <x14:dataValidation type="list" allowBlank="1" showInputMessage="1" showErrorMessage="1" xr:uid="{00000000-0002-0000-0300-000005000000}">
          <x14:formula1>
            <xm:f>'Resistor Selection'!$AL$3:$AL$20</xm:f>
          </x14:formula1>
          <xm:sqref>C3:C6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5"/>
  <sheetViews>
    <sheetView workbookViewId="0">
      <selection activeCell="C16" sqref="C16"/>
    </sheetView>
  </sheetViews>
  <sheetFormatPr defaultRowHeight="13.5" x14ac:dyDescent="0.15"/>
  <cols>
    <col min="1" max="1" width="11.75" bestFit="1" customWidth="1"/>
    <col min="2" max="3" width="11.75" customWidth="1"/>
    <col min="18" max="18" width="10.875" customWidth="1"/>
  </cols>
  <sheetData>
    <row r="1" spans="1:21" x14ac:dyDescent="0.15">
      <c r="A1" t="s">
        <v>210</v>
      </c>
      <c r="B1" t="s">
        <v>214</v>
      </c>
      <c r="C1" t="s">
        <v>215</v>
      </c>
      <c r="D1" t="s">
        <v>13</v>
      </c>
      <c r="E1" t="s">
        <v>1</v>
      </c>
      <c r="F1" t="s">
        <v>2</v>
      </c>
      <c r="G1" t="s">
        <v>3</v>
      </c>
      <c r="H1" t="s">
        <v>4</v>
      </c>
      <c r="I1" t="s">
        <v>5</v>
      </c>
      <c r="J1" t="s">
        <v>6</v>
      </c>
      <c r="K1" t="s">
        <v>7</v>
      </c>
      <c r="L1" t="s">
        <v>8</v>
      </c>
      <c r="M1" t="s">
        <v>143</v>
      </c>
      <c r="N1" t="s">
        <v>127</v>
      </c>
      <c r="O1" t="s">
        <v>128</v>
      </c>
      <c r="P1" t="s">
        <v>14</v>
      </c>
      <c r="Q1" t="s">
        <v>147</v>
      </c>
      <c r="R1" t="s">
        <v>40</v>
      </c>
      <c r="T1" t="s">
        <v>15</v>
      </c>
      <c r="U1" t="s">
        <v>146</v>
      </c>
    </row>
    <row r="2" spans="1:21" x14ac:dyDescent="0.15">
      <c r="A2" t="s">
        <v>211</v>
      </c>
      <c r="B2">
        <v>40</v>
      </c>
      <c r="C2">
        <v>6.1550000000000002</v>
      </c>
      <c r="D2">
        <v>25</v>
      </c>
      <c r="E2">
        <v>25</v>
      </c>
      <c r="F2">
        <v>0</v>
      </c>
      <c r="G2">
        <v>0</v>
      </c>
      <c r="H2">
        <v>0</v>
      </c>
      <c r="I2">
        <v>0</v>
      </c>
      <c r="J2">
        <v>0</v>
      </c>
      <c r="K2">
        <v>0</v>
      </c>
      <c r="L2">
        <v>800</v>
      </c>
      <c r="M2">
        <f>L2*'Design Worksheet'!B$102/10^3</f>
        <v>40</v>
      </c>
      <c r="N2">
        <f>J2*('Design Worksheet'!B$106)</f>
        <v>0</v>
      </c>
      <c r="O2">
        <f>G2*4*10^6*'Design Worksheet'!B$120*10^-6</f>
        <v>0</v>
      </c>
      <c r="P2">
        <v>0</v>
      </c>
      <c r="Q2">
        <v>1</v>
      </c>
      <c r="R2">
        <v>225</v>
      </c>
      <c r="T2">
        <v>1</v>
      </c>
      <c r="U2">
        <v>1</v>
      </c>
    </row>
    <row r="3" spans="1:21" x14ac:dyDescent="0.15">
      <c r="A3" t="s">
        <v>212</v>
      </c>
      <c r="B3">
        <v>20</v>
      </c>
      <c r="C3">
        <f>6.155*2</f>
        <v>12.31</v>
      </c>
      <c r="D3">
        <v>50</v>
      </c>
      <c r="E3">
        <v>50</v>
      </c>
      <c r="F3">
        <f>F2+5</f>
        <v>5</v>
      </c>
      <c r="G3">
        <f>G2+1.25</f>
        <v>1.25</v>
      </c>
      <c r="H3">
        <f>H2+6.25</f>
        <v>6.25</v>
      </c>
      <c r="I3">
        <f>I2+5</f>
        <v>5</v>
      </c>
      <c r="J3">
        <f>J2+0.333</f>
        <v>0.33300000000000002</v>
      </c>
      <c r="K3">
        <f>K2+3.2</f>
        <v>3.2</v>
      </c>
      <c r="L3">
        <v>1600</v>
      </c>
      <c r="M3">
        <f>L3*'Design Worksheet'!B$102/10^3</f>
        <v>80</v>
      </c>
      <c r="N3">
        <f>J3*('Design Worksheet'!B$106)</f>
        <v>13.32</v>
      </c>
      <c r="O3">
        <f>G3*4*10^6*'Design Worksheet'!B$120*10^-6</f>
        <v>500</v>
      </c>
      <c r="P3">
        <f>P2+1</f>
        <v>1</v>
      </c>
      <c r="Q3">
        <v>2</v>
      </c>
      <c r="R3">
        <v>275</v>
      </c>
      <c r="T3">
        <v>0.5</v>
      </c>
      <c r="U3">
        <v>2</v>
      </c>
    </row>
    <row r="4" spans="1:21" x14ac:dyDescent="0.15">
      <c r="A4" t="s">
        <v>213</v>
      </c>
      <c r="B4">
        <v>10</v>
      </c>
      <c r="C4">
        <f>6.155*2</f>
        <v>12.31</v>
      </c>
      <c r="D4">
        <v>100</v>
      </c>
      <c r="E4">
        <v>100</v>
      </c>
      <c r="F4">
        <f t="shared" ref="F4:F65" si="0">F3+5</f>
        <v>10</v>
      </c>
      <c r="G4">
        <f t="shared" ref="G4:G17" si="1">G3+1.25</f>
        <v>2.5</v>
      </c>
      <c r="H4">
        <f t="shared" ref="H4:H33" si="2">H3+6.25</f>
        <v>12.5</v>
      </c>
      <c r="I4">
        <f t="shared" ref="I4:I65" si="3">I3+5</f>
        <v>10</v>
      </c>
      <c r="J4">
        <f t="shared" ref="J4:J17" si="4">J3+0.333</f>
        <v>0.66600000000000004</v>
      </c>
      <c r="K4">
        <f t="shared" ref="K4:K33" si="5">K3+3.2</f>
        <v>6.4</v>
      </c>
      <c r="N4">
        <f>J4*('Design Worksheet'!B$106)</f>
        <v>26.64</v>
      </c>
      <c r="O4">
        <f>G4*4*10^6*'Design Worksheet'!B$120*10^-6</f>
        <v>1000</v>
      </c>
      <c r="P4">
        <f t="shared" ref="P4:P65" si="6">P3+1</f>
        <v>2</v>
      </c>
      <c r="Q4">
        <v>3</v>
      </c>
      <c r="R4">
        <v>325</v>
      </c>
      <c r="T4">
        <v>0.25</v>
      </c>
      <c r="U4">
        <v>3</v>
      </c>
    </row>
    <row r="5" spans="1:21" x14ac:dyDescent="0.15">
      <c r="D5">
        <v>200</v>
      </c>
      <c r="E5">
        <v>200</v>
      </c>
      <c r="F5">
        <f t="shared" si="0"/>
        <v>15</v>
      </c>
      <c r="G5">
        <f t="shared" si="1"/>
        <v>3.75</v>
      </c>
      <c r="H5">
        <f t="shared" si="2"/>
        <v>18.75</v>
      </c>
      <c r="I5">
        <f t="shared" si="3"/>
        <v>15</v>
      </c>
      <c r="J5">
        <f t="shared" si="4"/>
        <v>0.99900000000000011</v>
      </c>
      <c r="K5">
        <f t="shared" si="5"/>
        <v>9.6000000000000014</v>
      </c>
      <c r="N5">
        <f>J5*('Design Worksheet'!B$106)</f>
        <v>39.960000000000008</v>
      </c>
      <c r="O5">
        <f>G5*4*10^6*'Design Worksheet'!B$120*10^-6</f>
        <v>1500</v>
      </c>
      <c r="P5">
        <f t="shared" si="6"/>
        <v>3</v>
      </c>
      <c r="Q5">
        <v>4</v>
      </c>
      <c r="R5">
        <v>375</v>
      </c>
      <c r="T5">
        <v>0.125</v>
      </c>
      <c r="U5">
        <v>4</v>
      </c>
    </row>
    <row r="6" spans="1:21" x14ac:dyDescent="0.15">
      <c r="F6">
        <f t="shared" si="0"/>
        <v>20</v>
      </c>
      <c r="G6">
        <f t="shared" si="1"/>
        <v>5</v>
      </c>
      <c r="H6">
        <f t="shared" si="2"/>
        <v>25</v>
      </c>
      <c r="I6">
        <f t="shared" si="3"/>
        <v>20</v>
      </c>
      <c r="J6">
        <f t="shared" si="4"/>
        <v>1.3320000000000001</v>
      </c>
      <c r="K6">
        <f t="shared" si="5"/>
        <v>12.8</v>
      </c>
      <c r="N6">
        <f>J6*('Design Worksheet'!B$106)</f>
        <v>53.28</v>
      </c>
      <c r="O6">
        <f>G6*4*10^6*'Design Worksheet'!B$120*10^-6</f>
        <v>2000</v>
      </c>
      <c r="P6">
        <f t="shared" si="6"/>
        <v>4</v>
      </c>
      <c r="R6">
        <f>R2*2</f>
        <v>450</v>
      </c>
    </row>
    <row r="7" spans="1:21" x14ac:dyDescent="0.15">
      <c r="F7">
        <f t="shared" si="0"/>
        <v>25</v>
      </c>
      <c r="G7">
        <f t="shared" si="1"/>
        <v>6.25</v>
      </c>
      <c r="H7">
        <f t="shared" si="2"/>
        <v>31.25</v>
      </c>
      <c r="I7">
        <f t="shared" si="3"/>
        <v>25</v>
      </c>
      <c r="J7">
        <f t="shared" si="4"/>
        <v>1.665</v>
      </c>
      <c r="K7">
        <f t="shared" si="5"/>
        <v>16</v>
      </c>
      <c r="N7">
        <f>J7*('Design Worksheet'!B$106)</f>
        <v>66.599999999999994</v>
      </c>
      <c r="O7">
        <f>G7*4*10^6*'Design Worksheet'!B$120*10^-6</f>
        <v>2500</v>
      </c>
      <c r="P7">
        <f t="shared" si="6"/>
        <v>5</v>
      </c>
      <c r="R7">
        <f t="shared" ref="R7:R17" si="7">R3*2</f>
        <v>550</v>
      </c>
    </row>
    <row r="8" spans="1:21" x14ac:dyDescent="0.15">
      <c r="F8">
        <f t="shared" si="0"/>
        <v>30</v>
      </c>
      <c r="G8">
        <f t="shared" si="1"/>
        <v>7.5</v>
      </c>
      <c r="H8">
        <f t="shared" si="2"/>
        <v>37.5</v>
      </c>
      <c r="I8">
        <f t="shared" si="3"/>
        <v>30</v>
      </c>
      <c r="J8">
        <f t="shared" si="4"/>
        <v>1.998</v>
      </c>
      <c r="K8">
        <f t="shared" si="5"/>
        <v>19.2</v>
      </c>
      <c r="N8">
        <f>J8*('Design Worksheet'!B$106)</f>
        <v>79.92</v>
      </c>
      <c r="O8">
        <f>G8*4*10^6*'Design Worksheet'!B$120*10^-6</f>
        <v>3000</v>
      </c>
      <c r="P8">
        <f t="shared" si="6"/>
        <v>6</v>
      </c>
      <c r="R8">
        <f t="shared" si="7"/>
        <v>650</v>
      </c>
    </row>
    <row r="9" spans="1:21" x14ac:dyDescent="0.15">
      <c r="F9">
        <f t="shared" si="0"/>
        <v>35</v>
      </c>
      <c r="G9">
        <f t="shared" si="1"/>
        <v>8.75</v>
      </c>
      <c r="H9">
        <f t="shared" si="2"/>
        <v>43.75</v>
      </c>
      <c r="I9">
        <f t="shared" si="3"/>
        <v>35</v>
      </c>
      <c r="J9">
        <f t="shared" si="4"/>
        <v>2.331</v>
      </c>
      <c r="K9">
        <f t="shared" si="5"/>
        <v>22.4</v>
      </c>
      <c r="N9">
        <f>J9*('Design Worksheet'!B$106)</f>
        <v>93.24</v>
      </c>
      <c r="O9">
        <f>G9*4*10^6*'Design Worksheet'!B$120*10^-6</f>
        <v>3500</v>
      </c>
      <c r="P9">
        <f t="shared" si="6"/>
        <v>7</v>
      </c>
      <c r="R9">
        <f t="shared" si="7"/>
        <v>750</v>
      </c>
    </row>
    <row r="10" spans="1:21" x14ac:dyDescent="0.15">
      <c r="F10">
        <f t="shared" si="0"/>
        <v>40</v>
      </c>
      <c r="G10">
        <f t="shared" si="1"/>
        <v>10</v>
      </c>
      <c r="H10">
        <f t="shared" si="2"/>
        <v>50</v>
      </c>
      <c r="I10">
        <f t="shared" si="3"/>
        <v>40</v>
      </c>
      <c r="J10">
        <f t="shared" si="4"/>
        <v>2.6640000000000001</v>
      </c>
      <c r="K10">
        <f t="shared" si="5"/>
        <v>25.599999999999998</v>
      </c>
      <c r="N10">
        <f>J10*('Design Worksheet'!B$106)</f>
        <v>106.56</v>
      </c>
      <c r="O10">
        <f>G10*4*10^6*'Design Worksheet'!B$120*10^-6</f>
        <v>4000</v>
      </c>
      <c r="P10">
        <f t="shared" si="6"/>
        <v>8</v>
      </c>
      <c r="R10">
        <f t="shared" si="7"/>
        <v>900</v>
      </c>
    </row>
    <row r="11" spans="1:21" x14ac:dyDescent="0.15">
      <c r="F11">
        <f t="shared" si="0"/>
        <v>45</v>
      </c>
      <c r="G11">
        <f t="shared" si="1"/>
        <v>11.25</v>
      </c>
      <c r="H11">
        <f t="shared" si="2"/>
        <v>56.25</v>
      </c>
      <c r="I11">
        <f t="shared" si="3"/>
        <v>45</v>
      </c>
      <c r="J11">
        <f t="shared" si="4"/>
        <v>2.9970000000000003</v>
      </c>
      <c r="K11">
        <f t="shared" si="5"/>
        <v>28.799999999999997</v>
      </c>
      <c r="N11">
        <f>J11*('Design Worksheet'!B$106)</f>
        <v>119.88000000000001</v>
      </c>
      <c r="O11">
        <f>G11*4*10^6*'Design Worksheet'!B$120*10^-6</f>
        <v>4500</v>
      </c>
      <c r="P11">
        <f t="shared" si="6"/>
        <v>9</v>
      </c>
      <c r="R11">
        <f t="shared" si="7"/>
        <v>1100</v>
      </c>
    </row>
    <row r="12" spans="1:21" x14ac:dyDescent="0.15">
      <c r="F12">
        <f t="shared" si="0"/>
        <v>50</v>
      </c>
      <c r="G12">
        <f t="shared" si="1"/>
        <v>12.5</v>
      </c>
      <c r="H12">
        <f t="shared" si="2"/>
        <v>62.5</v>
      </c>
      <c r="I12">
        <f t="shared" si="3"/>
        <v>50</v>
      </c>
      <c r="J12">
        <f t="shared" si="4"/>
        <v>3.3300000000000005</v>
      </c>
      <c r="K12">
        <f t="shared" si="5"/>
        <v>31.999999999999996</v>
      </c>
      <c r="N12">
        <f>J12*('Design Worksheet'!B$106)</f>
        <v>133.20000000000002</v>
      </c>
      <c r="O12">
        <f>G12*4*10^6*'Design Worksheet'!B$120*10^-6</f>
        <v>5000</v>
      </c>
      <c r="P12">
        <f t="shared" si="6"/>
        <v>10</v>
      </c>
      <c r="R12">
        <f t="shared" si="7"/>
        <v>1300</v>
      </c>
    </row>
    <row r="13" spans="1:21" x14ac:dyDescent="0.15">
      <c r="F13">
        <f t="shared" si="0"/>
        <v>55</v>
      </c>
      <c r="G13">
        <f t="shared" si="1"/>
        <v>13.75</v>
      </c>
      <c r="H13">
        <f t="shared" si="2"/>
        <v>68.75</v>
      </c>
      <c r="I13">
        <f t="shared" si="3"/>
        <v>55</v>
      </c>
      <c r="J13">
        <f t="shared" si="4"/>
        <v>3.6630000000000007</v>
      </c>
      <c r="K13">
        <f t="shared" si="5"/>
        <v>35.199999999999996</v>
      </c>
      <c r="N13">
        <f>J13*('Design Worksheet'!B$106)</f>
        <v>146.52000000000004</v>
      </c>
      <c r="O13">
        <f>G13*4*10^6*'Design Worksheet'!B$120*10^-6</f>
        <v>5500</v>
      </c>
      <c r="P13">
        <f t="shared" si="6"/>
        <v>11</v>
      </c>
      <c r="R13">
        <f t="shared" si="7"/>
        <v>1500</v>
      </c>
    </row>
    <row r="14" spans="1:21" x14ac:dyDescent="0.15">
      <c r="F14">
        <f t="shared" si="0"/>
        <v>60</v>
      </c>
      <c r="G14">
        <f t="shared" si="1"/>
        <v>15</v>
      </c>
      <c r="H14">
        <f t="shared" si="2"/>
        <v>75</v>
      </c>
      <c r="I14">
        <f t="shared" si="3"/>
        <v>60</v>
      </c>
      <c r="J14">
        <f t="shared" si="4"/>
        <v>3.9960000000000009</v>
      </c>
      <c r="K14">
        <f t="shared" si="5"/>
        <v>38.4</v>
      </c>
      <c r="N14">
        <f>J14*('Design Worksheet'!B$106)</f>
        <v>159.84000000000003</v>
      </c>
      <c r="O14">
        <f>G14*4*10^6*'Design Worksheet'!B$120*10^-6</f>
        <v>6000</v>
      </c>
      <c r="P14">
        <f t="shared" si="6"/>
        <v>12</v>
      </c>
      <c r="R14">
        <f t="shared" si="7"/>
        <v>1800</v>
      </c>
    </row>
    <row r="15" spans="1:21" x14ac:dyDescent="0.15">
      <c r="F15">
        <f t="shared" si="0"/>
        <v>65</v>
      </c>
      <c r="G15">
        <f t="shared" si="1"/>
        <v>16.25</v>
      </c>
      <c r="H15">
        <f t="shared" si="2"/>
        <v>81.25</v>
      </c>
      <c r="I15">
        <f t="shared" si="3"/>
        <v>65</v>
      </c>
      <c r="J15">
        <f t="shared" si="4"/>
        <v>4.3290000000000006</v>
      </c>
      <c r="K15">
        <f t="shared" si="5"/>
        <v>41.6</v>
      </c>
      <c r="N15">
        <f>J15*('Design Worksheet'!B$106)</f>
        <v>173.16000000000003</v>
      </c>
      <c r="O15">
        <f>G15*4*10^6*'Design Worksheet'!B$120*10^-6</f>
        <v>6500</v>
      </c>
      <c r="P15">
        <f t="shared" si="6"/>
        <v>13</v>
      </c>
      <c r="R15">
        <f t="shared" si="7"/>
        <v>2200</v>
      </c>
    </row>
    <row r="16" spans="1:21" x14ac:dyDescent="0.15">
      <c r="F16">
        <f t="shared" si="0"/>
        <v>70</v>
      </c>
      <c r="G16">
        <f t="shared" si="1"/>
        <v>17.5</v>
      </c>
      <c r="H16">
        <f t="shared" si="2"/>
        <v>87.5</v>
      </c>
      <c r="I16">
        <f t="shared" si="3"/>
        <v>70</v>
      </c>
      <c r="J16">
        <f t="shared" si="4"/>
        <v>4.6620000000000008</v>
      </c>
      <c r="K16">
        <f t="shared" si="5"/>
        <v>44.800000000000004</v>
      </c>
      <c r="N16">
        <f>J16*('Design Worksheet'!B$106)</f>
        <v>186.48000000000002</v>
      </c>
      <c r="O16">
        <f>G16*4*10^6*'Design Worksheet'!B$120*10^-6</f>
        <v>7000</v>
      </c>
      <c r="P16">
        <f t="shared" si="6"/>
        <v>14</v>
      </c>
      <c r="R16">
        <f t="shared" si="7"/>
        <v>2600</v>
      </c>
    </row>
    <row r="17" spans="6:18" x14ac:dyDescent="0.15">
      <c r="F17">
        <f t="shared" si="0"/>
        <v>75</v>
      </c>
      <c r="G17">
        <f t="shared" si="1"/>
        <v>18.75</v>
      </c>
      <c r="H17">
        <f t="shared" si="2"/>
        <v>93.75</v>
      </c>
      <c r="I17">
        <f t="shared" si="3"/>
        <v>75</v>
      </c>
      <c r="J17">
        <f t="shared" si="4"/>
        <v>4.995000000000001</v>
      </c>
      <c r="K17">
        <f t="shared" si="5"/>
        <v>48.000000000000007</v>
      </c>
      <c r="N17">
        <f>J17*('Design Worksheet'!B$106)</f>
        <v>199.80000000000004</v>
      </c>
      <c r="O17">
        <f>G17*4*10^6*'Design Worksheet'!B$120*10^-6</f>
        <v>7500</v>
      </c>
      <c r="P17">
        <f t="shared" si="6"/>
        <v>15</v>
      </c>
      <c r="R17">
        <f t="shared" si="7"/>
        <v>3000</v>
      </c>
    </row>
    <row r="18" spans="6:18" x14ac:dyDescent="0.15">
      <c r="F18">
        <f t="shared" si="0"/>
        <v>80</v>
      </c>
      <c r="H18">
        <f t="shared" si="2"/>
        <v>100</v>
      </c>
      <c r="I18">
        <f t="shared" si="3"/>
        <v>80</v>
      </c>
      <c r="K18">
        <f t="shared" si="5"/>
        <v>51.20000000000001</v>
      </c>
      <c r="P18">
        <f t="shared" si="6"/>
        <v>16</v>
      </c>
    </row>
    <row r="19" spans="6:18" x14ac:dyDescent="0.15">
      <c r="F19">
        <f t="shared" si="0"/>
        <v>85</v>
      </c>
      <c r="H19">
        <f t="shared" si="2"/>
        <v>106.25</v>
      </c>
      <c r="I19">
        <f t="shared" si="3"/>
        <v>85</v>
      </c>
      <c r="K19">
        <f t="shared" si="5"/>
        <v>54.400000000000013</v>
      </c>
      <c r="P19">
        <f t="shared" si="6"/>
        <v>17</v>
      </c>
    </row>
    <row r="20" spans="6:18" x14ac:dyDescent="0.15">
      <c r="F20">
        <f t="shared" si="0"/>
        <v>90</v>
      </c>
      <c r="H20">
        <f t="shared" si="2"/>
        <v>112.5</v>
      </c>
      <c r="I20">
        <f t="shared" si="3"/>
        <v>90</v>
      </c>
      <c r="K20">
        <f t="shared" si="5"/>
        <v>57.600000000000016</v>
      </c>
      <c r="P20">
        <f t="shared" si="6"/>
        <v>18</v>
      </c>
    </row>
    <row r="21" spans="6:18" x14ac:dyDescent="0.15">
      <c r="F21">
        <f t="shared" si="0"/>
        <v>95</v>
      </c>
      <c r="H21">
        <f t="shared" si="2"/>
        <v>118.75</v>
      </c>
      <c r="I21">
        <f t="shared" si="3"/>
        <v>95</v>
      </c>
      <c r="K21">
        <f t="shared" si="5"/>
        <v>60.800000000000018</v>
      </c>
      <c r="P21">
        <f t="shared" si="6"/>
        <v>19</v>
      </c>
    </row>
    <row r="22" spans="6:18" x14ac:dyDescent="0.15">
      <c r="F22">
        <f t="shared" si="0"/>
        <v>100</v>
      </c>
      <c r="H22">
        <f t="shared" si="2"/>
        <v>125</v>
      </c>
      <c r="I22">
        <f t="shared" si="3"/>
        <v>100</v>
      </c>
      <c r="K22">
        <f t="shared" si="5"/>
        <v>64.000000000000014</v>
      </c>
      <c r="P22">
        <f t="shared" si="6"/>
        <v>20</v>
      </c>
    </row>
    <row r="23" spans="6:18" x14ac:dyDescent="0.15">
      <c r="F23">
        <f t="shared" si="0"/>
        <v>105</v>
      </c>
      <c r="H23">
        <f t="shared" si="2"/>
        <v>131.25</v>
      </c>
      <c r="I23">
        <f t="shared" si="3"/>
        <v>105</v>
      </c>
      <c r="K23">
        <f t="shared" si="5"/>
        <v>67.200000000000017</v>
      </c>
      <c r="P23">
        <f t="shared" si="6"/>
        <v>21</v>
      </c>
    </row>
    <row r="24" spans="6:18" x14ac:dyDescent="0.15">
      <c r="F24">
        <f t="shared" si="0"/>
        <v>110</v>
      </c>
      <c r="H24">
        <f t="shared" si="2"/>
        <v>137.5</v>
      </c>
      <c r="I24">
        <f t="shared" si="3"/>
        <v>110</v>
      </c>
      <c r="K24">
        <f t="shared" si="5"/>
        <v>70.40000000000002</v>
      </c>
      <c r="P24">
        <f t="shared" si="6"/>
        <v>22</v>
      </c>
    </row>
    <row r="25" spans="6:18" x14ac:dyDescent="0.15">
      <c r="F25">
        <f t="shared" si="0"/>
        <v>115</v>
      </c>
      <c r="H25">
        <f t="shared" si="2"/>
        <v>143.75</v>
      </c>
      <c r="I25">
        <f t="shared" si="3"/>
        <v>115</v>
      </c>
      <c r="K25">
        <f t="shared" si="5"/>
        <v>73.600000000000023</v>
      </c>
      <c r="P25">
        <f t="shared" si="6"/>
        <v>23</v>
      </c>
    </row>
    <row r="26" spans="6:18" x14ac:dyDescent="0.15">
      <c r="F26">
        <f t="shared" si="0"/>
        <v>120</v>
      </c>
      <c r="H26">
        <f t="shared" si="2"/>
        <v>150</v>
      </c>
      <c r="I26">
        <f t="shared" si="3"/>
        <v>120</v>
      </c>
      <c r="K26">
        <f t="shared" si="5"/>
        <v>76.800000000000026</v>
      </c>
      <c r="P26">
        <f t="shared" si="6"/>
        <v>24</v>
      </c>
    </row>
    <row r="27" spans="6:18" x14ac:dyDescent="0.15">
      <c r="F27">
        <f t="shared" si="0"/>
        <v>125</v>
      </c>
      <c r="H27">
        <f t="shared" si="2"/>
        <v>156.25</v>
      </c>
      <c r="I27">
        <f t="shared" si="3"/>
        <v>125</v>
      </c>
      <c r="K27">
        <f t="shared" si="5"/>
        <v>80.000000000000028</v>
      </c>
      <c r="P27">
        <f t="shared" si="6"/>
        <v>25</v>
      </c>
    </row>
    <row r="28" spans="6:18" x14ac:dyDescent="0.15">
      <c r="F28">
        <f t="shared" si="0"/>
        <v>130</v>
      </c>
      <c r="H28">
        <f t="shared" si="2"/>
        <v>162.5</v>
      </c>
      <c r="I28">
        <f t="shared" si="3"/>
        <v>130</v>
      </c>
      <c r="K28">
        <f t="shared" si="5"/>
        <v>83.200000000000031</v>
      </c>
      <c r="P28">
        <f t="shared" si="6"/>
        <v>26</v>
      </c>
    </row>
    <row r="29" spans="6:18" x14ac:dyDescent="0.15">
      <c r="F29">
        <f t="shared" si="0"/>
        <v>135</v>
      </c>
      <c r="H29">
        <f t="shared" si="2"/>
        <v>168.75</v>
      </c>
      <c r="I29">
        <f t="shared" si="3"/>
        <v>135</v>
      </c>
      <c r="K29">
        <f t="shared" si="5"/>
        <v>86.400000000000034</v>
      </c>
      <c r="P29">
        <f t="shared" si="6"/>
        <v>27</v>
      </c>
    </row>
    <row r="30" spans="6:18" x14ac:dyDescent="0.15">
      <c r="F30">
        <f t="shared" si="0"/>
        <v>140</v>
      </c>
      <c r="H30">
        <f t="shared" si="2"/>
        <v>175</v>
      </c>
      <c r="I30">
        <f t="shared" si="3"/>
        <v>140</v>
      </c>
      <c r="K30">
        <f t="shared" si="5"/>
        <v>89.600000000000037</v>
      </c>
      <c r="P30">
        <f t="shared" si="6"/>
        <v>28</v>
      </c>
    </row>
    <row r="31" spans="6:18" x14ac:dyDescent="0.15">
      <c r="F31">
        <f t="shared" si="0"/>
        <v>145</v>
      </c>
      <c r="H31">
        <f t="shared" si="2"/>
        <v>181.25</v>
      </c>
      <c r="I31">
        <f t="shared" si="3"/>
        <v>145</v>
      </c>
      <c r="K31">
        <f t="shared" si="5"/>
        <v>92.80000000000004</v>
      </c>
      <c r="P31">
        <f t="shared" si="6"/>
        <v>29</v>
      </c>
    </row>
    <row r="32" spans="6:18" x14ac:dyDescent="0.15">
      <c r="F32">
        <f t="shared" si="0"/>
        <v>150</v>
      </c>
      <c r="H32">
        <f t="shared" si="2"/>
        <v>187.5</v>
      </c>
      <c r="I32">
        <f t="shared" si="3"/>
        <v>150</v>
      </c>
      <c r="K32">
        <f t="shared" si="5"/>
        <v>96.000000000000043</v>
      </c>
      <c r="P32">
        <f t="shared" si="6"/>
        <v>30</v>
      </c>
    </row>
    <row r="33" spans="6:16" x14ac:dyDescent="0.15">
      <c r="F33">
        <f t="shared" si="0"/>
        <v>155</v>
      </c>
      <c r="H33">
        <f t="shared" si="2"/>
        <v>193.75</v>
      </c>
      <c r="I33">
        <f t="shared" si="3"/>
        <v>155</v>
      </c>
      <c r="K33">
        <f t="shared" si="5"/>
        <v>99.200000000000045</v>
      </c>
      <c r="P33">
        <f t="shared" si="6"/>
        <v>31</v>
      </c>
    </row>
    <row r="34" spans="6:16" x14ac:dyDescent="0.15">
      <c r="F34">
        <f t="shared" si="0"/>
        <v>160</v>
      </c>
      <c r="I34">
        <f t="shared" si="3"/>
        <v>160</v>
      </c>
      <c r="P34">
        <f t="shared" si="6"/>
        <v>32</v>
      </c>
    </row>
    <row r="35" spans="6:16" x14ac:dyDescent="0.15">
      <c r="F35">
        <f t="shared" si="0"/>
        <v>165</v>
      </c>
      <c r="I35">
        <f t="shared" si="3"/>
        <v>165</v>
      </c>
      <c r="P35">
        <f t="shared" si="6"/>
        <v>33</v>
      </c>
    </row>
    <row r="36" spans="6:16" x14ac:dyDescent="0.15">
      <c r="F36">
        <f t="shared" si="0"/>
        <v>170</v>
      </c>
      <c r="I36">
        <f t="shared" si="3"/>
        <v>170</v>
      </c>
      <c r="P36">
        <f t="shared" si="6"/>
        <v>34</v>
      </c>
    </row>
    <row r="37" spans="6:16" x14ac:dyDescent="0.15">
      <c r="F37">
        <f t="shared" si="0"/>
        <v>175</v>
      </c>
      <c r="I37">
        <f t="shared" si="3"/>
        <v>175</v>
      </c>
      <c r="P37">
        <f t="shared" si="6"/>
        <v>35</v>
      </c>
    </row>
    <row r="38" spans="6:16" x14ac:dyDescent="0.15">
      <c r="F38">
        <f t="shared" si="0"/>
        <v>180</v>
      </c>
      <c r="I38">
        <f t="shared" si="3"/>
        <v>180</v>
      </c>
      <c r="P38">
        <f t="shared" si="6"/>
        <v>36</v>
      </c>
    </row>
    <row r="39" spans="6:16" x14ac:dyDescent="0.15">
      <c r="F39">
        <f t="shared" si="0"/>
        <v>185</v>
      </c>
      <c r="I39">
        <f t="shared" si="3"/>
        <v>185</v>
      </c>
      <c r="P39">
        <f t="shared" si="6"/>
        <v>37</v>
      </c>
    </row>
    <row r="40" spans="6:16" x14ac:dyDescent="0.15">
      <c r="F40">
        <f t="shared" si="0"/>
        <v>190</v>
      </c>
      <c r="I40">
        <f t="shared" si="3"/>
        <v>190</v>
      </c>
      <c r="P40">
        <f t="shared" si="6"/>
        <v>38</v>
      </c>
    </row>
    <row r="41" spans="6:16" x14ac:dyDescent="0.15">
      <c r="F41">
        <f t="shared" si="0"/>
        <v>195</v>
      </c>
      <c r="I41">
        <f t="shared" si="3"/>
        <v>195</v>
      </c>
      <c r="P41">
        <f t="shared" si="6"/>
        <v>39</v>
      </c>
    </row>
    <row r="42" spans="6:16" x14ac:dyDescent="0.15">
      <c r="F42">
        <f t="shared" si="0"/>
        <v>200</v>
      </c>
      <c r="I42">
        <f t="shared" si="3"/>
        <v>200</v>
      </c>
      <c r="P42">
        <f t="shared" si="6"/>
        <v>40</v>
      </c>
    </row>
    <row r="43" spans="6:16" x14ac:dyDescent="0.15">
      <c r="F43">
        <f t="shared" si="0"/>
        <v>205</v>
      </c>
      <c r="I43">
        <f t="shared" si="3"/>
        <v>205</v>
      </c>
      <c r="P43">
        <f t="shared" si="6"/>
        <v>41</v>
      </c>
    </row>
    <row r="44" spans="6:16" x14ac:dyDescent="0.15">
      <c r="F44">
        <f t="shared" si="0"/>
        <v>210</v>
      </c>
      <c r="I44">
        <f t="shared" si="3"/>
        <v>210</v>
      </c>
      <c r="P44">
        <f t="shared" si="6"/>
        <v>42</v>
      </c>
    </row>
    <row r="45" spans="6:16" x14ac:dyDescent="0.15">
      <c r="F45">
        <f t="shared" si="0"/>
        <v>215</v>
      </c>
      <c r="I45">
        <f t="shared" si="3"/>
        <v>215</v>
      </c>
      <c r="P45">
        <f t="shared" si="6"/>
        <v>43</v>
      </c>
    </row>
    <row r="46" spans="6:16" x14ac:dyDescent="0.15">
      <c r="F46">
        <f t="shared" si="0"/>
        <v>220</v>
      </c>
      <c r="I46">
        <f t="shared" si="3"/>
        <v>220</v>
      </c>
      <c r="P46">
        <f t="shared" si="6"/>
        <v>44</v>
      </c>
    </row>
    <row r="47" spans="6:16" x14ac:dyDescent="0.15">
      <c r="F47">
        <f t="shared" si="0"/>
        <v>225</v>
      </c>
      <c r="I47">
        <f t="shared" si="3"/>
        <v>225</v>
      </c>
      <c r="P47">
        <f t="shared" si="6"/>
        <v>45</v>
      </c>
    </row>
    <row r="48" spans="6:16" x14ac:dyDescent="0.15">
      <c r="F48">
        <f t="shared" si="0"/>
        <v>230</v>
      </c>
      <c r="I48">
        <f t="shared" si="3"/>
        <v>230</v>
      </c>
      <c r="P48">
        <f t="shared" si="6"/>
        <v>46</v>
      </c>
    </row>
    <row r="49" spans="6:16" x14ac:dyDescent="0.15">
      <c r="F49">
        <f t="shared" si="0"/>
        <v>235</v>
      </c>
      <c r="I49">
        <f t="shared" si="3"/>
        <v>235</v>
      </c>
      <c r="P49">
        <f t="shared" si="6"/>
        <v>47</v>
      </c>
    </row>
    <row r="50" spans="6:16" x14ac:dyDescent="0.15">
      <c r="F50">
        <f t="shared" si="0"/>
        <v>240</v>
      </c>
      <c r="I50">
        <f t="shared" si="3"/>
        <v>240</v>
      </c>
      <c r="P50">
        <f t="shared" si="6"/>
        <v>48</v>
      </c>
    </row>
    <row r="51" spans="6:16" x14ac:dyDescent="0.15">
      <c r="F51">
        <f t="shared" si="0"/>
        <v>245</v>
      </c>
      <c r="I51">
        <f t="shared" si="3"/>
        <v>245</v>
      </c>
      <c r="P51">
        <f t="shared" si="6"/>
        <v>49</v>
      </c>
    </row>
    <row r="52" spans="6:16" x14ac:dyDescent="0.15">
      <c r="F52">
        <f t="shared" si="0"/>
        <v>250</v>
      </c>
      <c r="I52">
        <f t="shared" si="3"/>
        <v>250</v>
      </c>
      <c r="P52">
        <f t="shared" si="6"/>
        <v>50</v>
      </c>
    </row>
    <row r="53" spans="6:16" x14ac:dyDescent="0.15">
      <c r="F53">
        <f t="shared" si="0"/>
        <v>255</v>
      </c>
      <c r="I53">
        <f t="shared" si="3"/>
        <v>255</v>
      </c>
      <c r="P53">
        <f t="shared" si="6"/>
        <v>51</v>
      </c>
    </row>
    <row r="54" spans="6:16" x14ac:dyDescent="0.15">
      <c r="F54">
        <f t="shared" si="0"/>
        <v>260</v>
      </c>
      <c r="I54">
        <f t="shared" si="3"/>
        <v>260</v>
      </c>
      <c r="P54">
        <f t="shared" si="6"/>
        <v>52</v>
      </c>
    </row>
    <row r="55" spans="6:16" x14ac:dyDescent="0.15">
      <c r="F55">
        <f t="shared" si="0"/>
        <v>265</v>
      </c>
      <c r="I55">
        <f t="shared" si="3"/>
        <v>265</v>
      </c>
      <c r="P55">
        <f t="shared" si="6"/>
        <v>53</v>
      </c>
    </row>
    <row r="56" spans="6:16" x14ac:dyDescent="0.15">
      <c r="F56">
        <f t="shared" si="0"/>
        <v>270</v>
      </c>
      <c r="I56">
        <f t="shared" si="3"/>
        <v>270</v>
      </c>
      <c r="P56">
        <f t="shared" si="6"/>
        <v>54</v>
      </c>
    </row>
    <row r="57" spans="6:16" x14ac:dyDescent="0.15">
      <c r="F57">
        <f t="shared" si="0"/>
        <v>275</v>
      </c>
      <c r="I57">
        <f t="shared" si="3"/>
        <v>275</v>
      </c>
      <c r="P57">
        <f t="shared" si="6"/>
        <v>55</v>
      </c>
    </row>
    <row r="58" spans="6:16" x14ac:dyDescent="0.15">
      <c r="F58">
        <f t="shared" si="0"/>
        <v>280</v>
      </c>
      <c r="I58">
        <f t="shared" si="3"/>
        <v>280</v>
      </c>
      <c r="P58">
        <f t="shared" si="6"/>
        <v>56</v>
      </c>
    </row>
    <row r="59" spans="6:16" x14ac:dyDescent="0.15">
      <c r="F59">
        <f t="shared" si="0"/>
        <v>285</v>
      </c>
      <c r="I59">
        <f t="shared" si="3"/>
        <v>285</v>
      </c>
      <c r="P59">
        <f t="shared" si="6"/>
        <v>57</v>
      </c>
    </row>
    <row r="60" spans="6:16" x14ac:dyDescent="0.15">
      <c r="F60">
        <f t="shared" si="0"/>
        <v>290</v>
      </c>
      <c r="I60">
        <f t="shared" si="3"/>
        <v>290</v>
      </c>
      <c r="P60">
        <f t="shared" si="6"/>
        <v>58</v>
      </c>
    </row>
    <row r="61" spans="6:16" x14ac:dyDescent="0.15">
      <c r="F61">
        <f t="shared" si="0"/>
        <v>295</v>
      </c>
      <c r="I61">
        <f t="shared" si="3"/>
        <v>295</v>
      </c>
      <c r="P61">
        <f t="shared" si="6"/>
        <v>59</v>
      </c>
    </row>
    <row r="62" spans="6:16" x14ac:dyDescent="0.15">
      <c r="F62">
        <f t="shared" si="0"/>
        <v>300</v>
      </c>
      <c r="I62">
        <f t="shared" si="3"/>
        <v>300</v>
      </c>
      <c r="P62">
        <f t="shared" si="6"/>
        <v>60</v>
      </c>
    </row>
    <row r="63" spans="6:16" x14ac:dyDescent="0.15">
      <c r="F63">
        <f t="shared" si="0"/>
        <v>305</v>
      </c>
      <c r="I63">
        <f t="shared" si="3"/>
        <v>305</v>
      </c>
      <c r="P63">
        <f t="shared" si="6"/>
        <v>61</v>
      </c>
    </row>
    <row r="64" spans="6:16" x14ac:dyDescent="0.15">
      <c r="F64">
        <f t="shared" si="0"/>
        <v>310</v>
      </c>
      <c r="I64">
        <f t="shared" si="3"/>
        <v>310</v>
      </c>
      <c r="P64">
        <f t="shared" si="6"/>
        <v>62</v>
      </c>
    </row>
    <row r="65" spans="6:16" x14ac:dyDescent="0.15">
      <c r="F65">
        <f t="shared" si="0"/>
        <v>315</v>
      </c>
      <c r="I65">
        <f t="shared" si="3"/>
        <v>315</v>
      </c>
      <c r="P65">
        <f t="shared" si="6"/>
        <v>63</v>
      </c>
    </row>
  </sheetData>
  <sheetProtection sheet="1" objects="1" scenarios="1"/>
  <phoneticPr fontId="11"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66"/>
  <sheetViews>
    <sheetView topLeftCell="X1" workbookViewId="0">
      <selection activeCell="C16" sqref="C16"/>
    </sheetView>
  </sheetViews>
  <sheetFormatPr defaultRowHeight="13.5" x14ac:dyDescent="0.15"/>
  <cols>
    <col min="1" max="1" width="11.75" bestFit="1" customWidth="1"/>
    <col min="2" max="5" width="11.75" customWidth="1"/>
    <col min="7" max="7" width="18.375" bestFit="1" customWidth="1"/>
    <col min="8" max="10" width="18.375" customWidth="1"/>
    <col min="11" max="11" width="19.625" bestFit="1" customWidth="1"/>
    <col min="12" max="12" width="19.625" customWidth="1"/>
    <col min="13" max="13" width="9.625" bestFit="1" customWidth="1"/>
    <col min="14" max="14" width="9.625" customWidth="1"/>
    <col min="15" max="15" width="14.75" bestFit="1" customWidth="1"/>
    <col min="16" max="16" width="14.75" customWidth="1"/>
    <col min="17" max="17" width="11.625" bestFit="1" customWidth="1"/>
    <col min="18" max="18" width="11.625" customWidth="1"/>
    <col min="19" max="19" width="18.375" bestFit="1" customWidth="1"/>
    <col min="20" max="23" width="18.375" customWidth="1"/>
    <col min="24" max="25" width="18.25" bestFit="1" customWidth="1"/>
    <col min="26" max="26" width="16.375" bestFit="1" customWidth="1"/>
    <col min="27" max="27" width="16.375" customWidth="1"/>
    <col min="28" max="28" width="15.125" bestFit="1" customWidth="1"/>
    <col min="30" max="30" width="11.125" bestFit="1" customWidth="1"/>
    <col min="32" max="32" width="10.875" customWidth="1"/>
    <col min="39" max="39" width="14" bestFit="1" customWidth="1"/>
  </cols>
  <sheetData>
    <row r="1" spans="1:39" x14ac:dyDescent="0.15">
      <c r="A1" t="s">
        <v>276</v>
      </c>
      <c r="B1" t="s">
        <v>277</v>
      </c>
      <c r="C1" t="s">
        <v>278</v>
      </c>
      <c r="D1" t="s">
        <v>279</v>
      </c>
      <c r="E1" t="s">
        <v>280</v>
      </c>
      <c r="G1" t="s">
        <v>281</v>
      </c>
      <c r="I1" t="s">
        <v>281</v>
      </c>
      <c r="K1" t="s">
        <v>40</v>
      </c>
      <c r="M1" t="s">
        <v>236</v>
      </c>
      <c r="O1" t="s">
        <v>282</v>
      </c>
      <c r="Q1" t="s">
        <v>283</v>
      </c>
      <c r="S1" t="s">
        <v>243</v>
      </c>
      <c r="U1" t="s">
        <v>284</v>
      </c>
      <c r="V1" t="s">
        <v>285</v>
      </c>
      <c r="W1" t="s">
        <v>286</v>
      </c>
      <c r="X1" t="s">
        <v>287</v>
      </c>
      <c r="Z1" t="s">
        <v>288</v>
      </c>
      <c r="AB1" t="s">
        <v>289</v>
      </c>
      <c r="AD1" t="s">
        <v>290</v>
      </c>
      <c r="AJ1" t="s">
        <v>15</v>
      </c>
      <c r="AK1" t="s">
        <v>240</v>
      </c>
      <c r="AL1" t="s">
        <v>14</v>
      </c>
      <c r="AM1" t="s">
        <v>291</v>
      </c>
    </row>
    <row r="2" spans="1:39" x14ac:dyDescent="0.15">
      <c r="A2" t="s">
        <v>211</v>
      </c>
      <c r="B2" s="97" t="s">
        <v>239</v>
      </c>
      <c r="C2" s="97" t="s">
        <v>265</v>
      </c>
      <c r="D2" s="97" t="s">
        <v>292</v>
      </c>
      <c r="E2" s="97" t="s">
        <v>293</v>
      </c>
      <c r="F2" t="s">
        <v>294</v>
      </c>
      <c r="G2" t="s">
        <v>41</v>
      </c>
      <c r="H2">
        <v>0</v>
      </c>
      <c r="I2">
        <v>7</v>
      </c>
      <c r="J2">
        <v>0</v>
      </c>
      <c r="K2" t="s">
        <v>41</v>
      </c>
      <c r="S2" t="s">
        <v>41</v>
      </c>
      <c r="T2" t="s">
        <v>230</v>
      </c>
      <c r="U2">
        <v>0.5</v>
      </c>
      <c r="V2" t="s">
        <v>240</v>
      </c>
      <c r="W2" t="s">
        <v>240</v>
      </c>
      <c r="X2" t="s">
        <v>41</v>
      </c>
      <c r="Y2" t="s">
        <v>230</v>
      </c>
      <c r="Z2" t="s">
        <v>41</v>
      </c>
      <c r="AA2" t="s">
        <v>231</v>
      </c>
      <c r="AD2" t="s">
        <v>264</v>
      </c>
      <c r="AE2" t="s">
        <v>230</v>
      </c>
      <c r="AF2" t="s">
        <v>41</v>
      </c>
      <c r="AG2" t="s">
        <v>230</v>
      </c>
      <c r="AH2" t="s">
        <v>41</v>
      </c>
      <c r="AI2" t="s">
        <v>230</v>
      </c>
      <c r="AJ2">
        <f>IF('Pin Detect Programming'!C9='Resistor References'!AF2,0.5,IF('Pin Detect Programming'!C9='Resistor References'!AF3,0.5,IF('Pin Detect Programming'!C9='Resistor References'!AF4,0.5,IF('Pin Detect Programming'!C9='Resistor References'!AF5,0.5,IF('Pin Detect Programming'!C9='Resistor References'!AF6,0.25,IF('Pin Detect Programming'!C9='Resistor References'!AF7,0.25,IF('Pin Detect Programming'!C9='Resistor References'!AF8,0.125,IF('Pin Detect Programming'!C9='Resistor References'!AF9,0.125,IF('Pin Detect Programming'!C9='Resistor References'!AF10,0.125,IF('Pin Detect Programming'!C9='Resistor References'!AF11,0.125,))))))))))</f>
        <v>0</v>
      </c>
      <c r="AL2" t="s">
        <v>230</v>
      </c>
      <c r="AM2" t="s">
        <v>295</v>
      </c>
    </row>
    <row r="3" spans="1:39" x14ac:dyDescent="0.15">
      <c r="A3" t="s">
        <v>212</v>
      </c>
      <c r="B3" s="97" t="s">
        <v>292</v>
      </c>
      <c r="C3" s="97" t="s">
        <v>296</v>
      </c>
      <c r="D3" s="97" t="s">
        <v>293</v>
      </c>
      <c r="E3" s="97" t="s">
        <v>297</v>
      </c>
      <c r="F3">
        <f>0</f>
        <v>0</v>
      </c>
      <c r="G3" t="s">
        <v>230</v>
      </c>
      <c r="H3">
        <v>0</v>
      </c>
      <c r="I3">
        <v>8</v>
      </c>
      <c r="J3">
        <f>J2+1</f>
        <v>1</v>
      </c>
      <c r="K3">
        <f>IF('Pin Detect Programming'!C4='Resistor References'!G2,'Resistor References'!G2,IF('Pin Detect Programming'!C4='Resistor References'!G3,550,275))</f>
        <v>275</v>
      </c>
      <c r="L3">
        <f>0</f>
        <v>0</v>
      </c>
      <c r="M3">
        <v>0.5</v>
      </c>
      <c r="N3">
        <f>0</f>
        <v>0</v>
      </c>
      <c r="O3" t="str">
        <f>VLOOKUP('Pin Detect Programming'!C2,'Resistor References'!A2:E4,2,FALSE)</f>
        <v>20/26</v>
      </c>
      <c r="P3">
        <f>0</f>
        <v>0</v>
      </c>
      <c r="Q3">
        <v>1</v>
      </c>
      <c r="R3">
        <f>0</f>
        <v>0</v>
      </c>
      <c r="S3" t="s">
        <v>244</v>
      </c>
      <c r="T3" t="s">
        <v>231</v>
      </c>
      <c r="U3">
        <v>0.5</v>
      </c>
      <c r="V3">
        <v>0.5</v>
      </c>
      <c r="W3">
        <v>0.05</v>
      </c>
      <c r="X3" s="98">
        <f>IF('Pin Detect Programming'!C$9='Resistor References'!S$2,'Resistor References'!S$2,VLOOKUP('Pin Detect Programming'!C$9,'Resistor References'!S$3:W$17,4,FALSE)+Y3*VLOOKUP('Pin Detect Programming'!C$9,'Resistor References'!S$3:W$17,5,FALSE))</f>
        <v>0.5</v>
      </c>
      <c r="Y3">
        <f>0</f>
        <v>0</v>
      </c>
      <c r="Z3">
        <f>AA3+16</f>
        <v>16</v>
      </c>
      <c r="AA3">
        <f>0</f>
        <v>0</v>
      </c>
      <c r="AB3" t="str">
        <f>IF('Pin Detect Programming'!C12&gt;31.5,"N/A",IF('Pin Detect Programming'!C12='Resistor References'!Z2,"Auto-Detect",IF('Pin Detect Programming'!C8=1,"0, Auto", "Auto-Detect")))</f>
        <v>0, Auto</v>
      </c>
      <c r="AC3" t="s">
        <v>268</v>
      </c>
      <c r="AD3" t="s">
        <v>264</v>
      </c>
      <c r="AE3" t="s">
        <v>231</v>
      </c>
      <c r="AF3" t="s">
        <v>298</v>
      </c>
      <c r="AG3" t="s">
        <v>231</v>
      </c>
      <c r="AH3" s="98">
        <f>IF('Pin Detect Programming'!C$9='Resistor References'!AF$3,(3277+41*'Resistor References'!G4)*2^-12,IF('Pin Detect Programming'!C$9='Resistor References'!AF$4,(2456+41*G4)*2^-12,IF('Pin Detect Programming'!C$9='Resistor References'!AF$5,(3686+41*G4)*2^-12,IF('Pin Detect Programming'!C$9='Resistor References'!AF$6,(4921+82*G4)*2^-12,IF('Pin Detect Programming'!C$9='Resistor References'!AF$7,(7372+82*G4)*2^-12,IF('Pin Detect Programming'!C$9='Resistor References'!AF$8,(9906+164*G4)*2^-12,IF('Pin Detect Programming'!C$9='Resistor References'!AF$9,(14826+164*G4)*2^-12,IF('Pin Detect Programming'!C$9='Resistor References'!AF$10,(14941+164*G4)*2^-12,IF('Pin Detect Programming'!C$9='Resistor References'!AF$11,(19861+164*G4)*2^-12,0)))))))))</f>
        <v>0</v>
      </c>
      <c r="AI3">
        <v>0</v>
      </c>
      <c r="AL3" t="s">
        <v>231</v>
      </c>
      <c r="AM3" t="s">
        <v>41</v>
      </c>
    </row>
    <row r="4" spans="1:39" x14ac:dyDescent="0.15">
      <c r="A4" t="s">
        <v>213</v>
      </c>
      <c r="B4" s="97" t="s">
        <v>293</v>
      </c>
      <c r="C4" s="97" t="s">
        <v>299</v>
      </c>
      <c r="D4" s="97" t="s">
        <v>297</v>
      </c>
      <c r="E4" s="97" t="s">
        <v>300</v>
      </c>
      <c r="F4">
        <f>F3+1</f>
        <v>1</v>
      </c>
      <c r="G4" s="99">
        <v>0</v>
      </c>
      <c r="H4">
        <f>0</f>
        <v>0</v>
      </c>
      <c r="I4">
        <v>9</v>
      </c>
      <c r="J4">
        <f t="shared" ref="J4:J17" si="0">J3+1</f>
        <v>2</v>
      </c>
      <c r="K4">
        <f>IF('Pin Detect Programming'!C4='Resistor References'!G2,'Resistor References'!G2,IF('Pin Detect Programming'!C4='Resistor References'!G3,550,325))</f>
        <v>325</v>
      </c>
      <c r="L4">
        <f>L3+1</f>
        <v>1</v>
      </c>
      <c r="M4">
        <v>1</v>
      </c>
      <c r="N4">
        <f>N3+1</f>
        <v>1</v>
      </c>
      <c r="O4" t="str">
        <f>VLOOKUP('Pin Detect Programming'!C2,'Resistor References'!A2:E4,3,FALSE)</f>
        <v>15/19</v>
      </c>
      <c r="P4">
        <f>P3+1</f>
        <v>1</v>
      </c>
      <c r="Q4">
        <v>2</v>
      </c>
      <c r="R4">
        <f>R3+1</f>
        <v>1</v>
      </c>
      <c r="S4" t="s">
        <v>301</v>
      </c>
      <c r="T4">
        <v>0</v>
      </c>
      <c r="U4">
        <v>0.5</v>
      </c>
      <c r="V4">
        <v>0.6</v>
      </c>
      <c r="W4">
        <v>0.01</v>
      </c>
      <c r="X4" s="98">
        <f>IF('Pin Detect Programming'!C$9='Resistor References'!S$2,'Resistor References'!S$2,VLOOKUP('Pin Detect Programming'!C$9,'Resistor References'!S$3:W$17,4,FALSE)+Y4*VLOOKUP('Pin Detect Programming'!C$9,'Resistor References'!S$3:W$17,5,FALSE))</f>
        <v>0.55000000000000004</v>
      </c>
      <c r="Y4">
        <f>Y3+1</f>
        <v>1</v>
      </c>
      <c r="Z4">
        <f t="shared" ref="Z4:Z32" si="1">AA4+16</f>
        <v>17</v>
      </c>
      <c r="AA4">
        <f>AA3+1</f>
        <v>1</v>
      </c>
      <c r="AB4" t="str">
        <f>IF('Pin Detect Programming'!C12='Resistor References'!Z2,"Auto-Detect",IF('Pin Detect Programming'!C8=1,"0, In","SYNC In"))</f>
        <v>0, In</v>
      </c>
      <c r="AC4">
        <v>0</v>
      </c>
      <c r="AD4" t="s">
        <v>240</v>
      </c>
      <c r="AE4">
        <v>0</v>
      </c>
      <c r="AF4" t="s">
        <v>302</v>
      </c>
      <c r="AG4">
        <v>0</v>
      </c>
      <c r="AH4" s="98">
        <f>IF('Pin Detect Programming'!C$9='Resistor References'!AF$3,(3277+41*'Resistor References'!G5)*2^-12,IF('Pin Detect Programming'!C$9='Resistor References'!AF$4,(2456+41*G5)*2^-12,IF('Pin Detect Programming'!C$9='Resistor References'!AF$5,(3686+41*G5)*2^-12,IF('Pin Detect Programming'!C$9='Resistor References'!AF$6,(4921+82*G5)*2^-12,IF('Pin Detect Programming'!C$9='Resistor References'!AF$7,(7372+82*G5)*2^-12,IF('Pin Detect Programming'!C$9='Resistor References'!AF$8,(9906+164*G5)*2^-12,IF('Pin Detect Programming'!C$9='Resistor References'!AF$9,(14826+164*G5)*2^-12,IF('Pin Detect Programming'!C$9='Resistor References'!AF$10,(14941+164*G5)*2^-12,IF('Pin Detect Programming'!C$9='Resistor References'!AF$11,(19861+164*G5)*2^-12,0)))))))))</f>
        <v>0</v>
      </c>
      <c r="AI4">
        <f>AI3+1</f>
        <v>1</v>
      </c>
      <c r="AL4">
        <v>0</v>
      </c>
      <c r="AM4">
        <f>I2</f>
        <v>7</v>
      </c>
    </row>
    <row r="5" spans="1:39" x14ac:dyDescent="0.15">
      <c r="F5">
        <f t="shared" ref="F5:P20" si="2">F4+1</f>
        <v>2</v>
      </c>
      <c r="G5">
        <f>G4+1</f>
        <v>1</v>
      </c>
      <c r="H5">
        <f>H4+1</f>
        <v>1</v>
      </c>
      <c r="I5">
        <v>10</v>
      </c>
      <c r="J5">
        <f t="shared" si="0"/>
        <v>3</v>
      </c>
      <c r="K5">
        <f>IF('Pin Detect Programming'!C4='Resistor References'!G2,'Resistor References'!G2,IF('Pin Detect Programming'!C4='Resistor References'!G3,550,450))</f>
        <v>450</v>
      </c>
      <c r="L5">
        <f t="shared" si="2"/>
        <v>2</v>
      </c>
      <c r="M5">
        <v>3</v>
      </c>
      <c r="N5">
        <f t="shared" si="2"/>
        <v>2</v>
      </c>
      <c r="O5" t="str">
        <f>VLOOKUP('Pin Detect Programming'!C2,'Resistor References'!A2:E4,4,FALSE)</f>
        <v>10/14</v>
      </c>
      <c r="P5">
        <f t="shared" si="2"/>
        <v>2</v>
      </c>
      <c r="Q5">
        <v>3</v>
      </c>
      <c r="R5">
        <f t="shared" ref="R5:R6" si="3">R4+1</f>
        <v>2</v>
      </c>
      <c r="S5" t="s">
        <v>303</v>
      </c>
      <c r="T5">
        <f t="shared" ref="T5:T14" si="4">T4+1</f>
        <v>1</v>
      </c>
      <c r="U5">
        <v>0.5</v>
      </c>
      <c r="V5">
        <v>0.75</v>
      </c>
      <c r="W5">
        <v>0.01</v>
      </c>
      <c r="X5" s="98">
        <f>IF('Pin Detect Programming'!C$9='Resistor References'!S$2,'Resistor References'!S$2,VLOOKUP('Pin Detect Programming'!C$9,'Resistor References'!S$3:W$17,4,FALSE)+Y5*VLOOKUP('Pin Detect Programming'!C$9,'Resistor References'!S$3:W$17,5,FALSE))</f>
        <v>0.6</v>
      </c>
      <c r="Y5">
        <f t="shared" ref="Y5:Y18" si="5">Y4+1</f>
        <v>2</v>
      </c>
      <c r="Z5">
        <f t="shared" si="1"/>
        <v>18</v>
      </c>
      <c r="AA5">
        <f t="shared" ref="AA5:AA32" si="6">AA4+1</f>
        <v>2</v>
      </c>
      <c r="AB5" t="str">
        <f>IF('Pin Detect Programming'!C12='Resistor References'!Z2,"Auto-Detect",IF('Pin Detect Programming'!C8=1,"90, In","SYNC In"))</f>
        <v>90, In</v>
      </c>
      <c r="AC5">
        <f t="shared" ref="AC5:AC11" si="7">AC4+1</f>
        <v>1</v>
      </c>
      <c r="AD5" t="s">
        <v>304</v>
      </c>
      <c r="AE5">
        <f>AE4+1</f>
        <v>1</v>
      </c>
      <c r="AF5" t="s">
        <v>305</v>
      </c>
      <c r="AG5">
        <v>1</v>
      </c>
      <c r="AH5" s="98">
        <f>IF('Pin Detect Programming'!C$9='Resistor References'!AF$3,(3277+41*'Resistor References'!G6)*2^-12,IF('Pin Detect Programming'!C$9='Resistor References'!AF$4,(2456+41*G6)*2^-12,IF('Pin Detect Programming'!C$9='Resistor References'!AF$5,(3686+41*G6)*2^-12,IF('Pin Detect Programming'!C$9='Resistor References'!AF$6,(4921+82*G6)*2^-12,IF('Pin Detect Programming'!C$9='Resistor References'!AF$7,(7372+82*G6)*2^-12,IF('Pin Detect Programming'!C$9='Resistor References'!AF$8,(9906+164*G6)*2^-12,IF('Pin Detect Programming'!C$9='Resistor References'!AF$9,(14826+164*G6)*2^-12,IF('Pin Detect Programming'!C$9='Resistor References'!AF$10,(14941+164*G6)*2^-12,IF('Pin Detect Programming'!C$9='Resistor References'!AF$11,(19861+164*G6)*2^-12,0)))))))))</f>
        <v>0</v>
      </c>
      <c r="AI5">
        <f t="shared" ref="AI5:AI32" si="8">AI4+1</f>
        <v>2</v>
      </c>
      <c r="AL5">
        <f>AL4+1</f>
        <v>1</v>
      </c>
      <c r="AM5">
        <f t="shared" ref="AM5:AM19" si="9">I3</f>
        <v>8</v>
      </c>
    </row>
    <row r="6" spans="1:39" x14ac:dyDescent="0.15">
      <c r="F6">
        <f t="shared" si="2"/>
        <v>3</v>
      </c>
      <c r="G6">
        <f t="shared" si="2"/>
        <v>2</v>
      </c>
      <c r="H6">
        <f t="shared" si="2"/>
        <v>2</v>
      </c>
      <c r="I6">
        <f>I2+5</f>
        <v>12</v>
      </c>
      <c r="J6">
        <f t="shared" si="0"/>
        <v>4</v>
      </c>
      <c r="K6">
        <f>IF('Pin Detect Programming'!C4='Resistor References'!G2,'Resistor References'!G2,IF('Pin Detect Programming'!C4='Resistor References'!G3,550,550))</f>
        <v>550</v>
      </c>
      <c r="L6">
        <f t="shared" si="2"/>
        <v>3</v>
      </c>
      <c r="M6">
        <v>5</v>
      </c>
      <c r="N6">
        <f t="shared" si="2"/>
        <v>3</v>
      </c>
      <c r="O6" s="99" t="str">
        <f>VLOOKUP('Pin Detect Programming'!C2,'Resistor References'!A2:E4,5,FALSE)</f>
        <v>6/9</v>
      </c>
      <c r="P6">
        <f t="shared" si="2"/>
        <v>3</v>
      </c>
      <c r="Q6">
        <v>4</v>
      </c>
      <c r="R6">
        <f t="shared" si="3"/>
        <v>3</v>
      </c>
      <c r="S6" t="s">
        <v>306</v>
      </c>
      <c r="T6">
        <f t="shared" si="4"/>
        <v>2</v>
      </c>
      <c r="U6">
        <v>0.5</v>
      </c>
      <c r="V6">
        <v>0.9</v>
      </c>
      <c r="W6">
        <v>0.01</v>
      </c>
      <c r="X6" s="98">
        <f>IF('Pin Detect Programming'!C$9='Resistor References'!S$2,'Resistor References'!S$2,VLOOKUP('Pin Detect Programming'!C$9,'Resistor References'!S$3:W$17,4,FALSE)+Y6*VLOOKUP('Pin Detect Programming'!C$9,'Resistor References'!S$3:W$17,5,FALSE))</f>
        <v>0.65</v>
      </c>
      <c r="Y6">
        <f t="shared" si="5"/>
        <v>3</v>
      </c>
      <c r="Z6">
        <f t="shared" si="1"/>
        <v>19</v>
      </c>
      <c r="AA6">
        <f t="shared" si="6"/>
        <v>3</v>
      </c>
      <c r="AB6" t="str">
        <f>IF('Pin Detect Programming'!C12='Resistor References'!Z2,"Auto-Detect",IF('Pin Detect Programming'!C8=1,"120, In","SYNC In"))</f>
        <v>120, In</v>
      </c>
      <c r="AC6">
        <f t="shared" si="7"/>
        <v>2</v>
      </c>
      <c r="AD6" t="s">
        <v>307</v>
      </c>
      <c r="AE6">
        <f t="shared" ref="AE6:AE11" si="10">AE5+1</f>
        <v>2</v>
      </c>
      <c r="AF6" t="s">
        <v>308</v>
      </c>
      <c r="AG6">
        <v>2</v>
      </c>
      <c r="AH6" s="98">
        <f>IF('Pin Detect Programming'!C$9='Resistor References'!AF$3,(3277+41*'Resistor References'!G7)*2^-12,IF('Pin Detect Programming'!C$9='Resistor References'!AF$4,(2456+41*G7)*2^-12,IF('Pin Detect Programming'!C$9='Resistor References'!AF$5,(3686+41*G7)*2^-12,IF('Pin Detect Programming'!C$9='Resistor References'!AF$6,(4921+82*G7)*2^-12,IF('Pin Detect Programming'!C$9='Resistor References'!AF$7,(7372+82*G7)*2^-12,IF('Pin Detect Programming'!C$9='Resistor References'!AF$8,(9906+164*G7)*2^-12,IF('Pin Detect Programming'!C$9='Resistor References'!AF$9,(14826+164*G7)*2^-12,IF('Pin Detect Programming'!C$9='Resistor References'!AF$10,(14941+164*G7)*2^-12,IF('Pin Detect Programming'!C$9='Resistor References'!AF$11,(19861+164*G7)*2^-12,0)))))))))</f>
        <v>0</v>
      </c>
      <c r="AI6">
        <f t="shared" si="8"/>
        <v>3</v>
      </c>
      <c r="AL6">
        <f t="shared" ref="AL6:AL19" si="11">AL5+1</f>
        <v>2</v>
      </c>
      <c r="AM6">
        <f t="shared" si="9"/>
        <v>9</v>
      </c>
    </row>
    <row r="7" spans="1:39" x14ac:dyDescent="0.15">
      <c r="F7">
        <f t="shared" si="2"/>
        <v>4</v>
      </c>
      <c r="G7">
        <f t="shared" si="2"/>
        <v>3</v>
      </c>
      <c r="H7">
        <f t="shared" si="2"/>
        <v>3</v>
      </c>
      <c r="I7">
        <f t="shared" ref="I7:I17" si="12">I3+5</f>
        <v>13</v>
      </c>
      <c r="J7">
        <f t="shared" si="0"/>
        <v>5</v>
      </c>
      <c r="K7">
        <f>IF('Pin Detect Programming'!C4='Resistor References'!G2,'Resistor References'!G2,IF('Pin Detect Programming'!C4='Resistor References'!G3,550,650))</f>
        <v>650</v>
      </c>
      <c r="L7">
        <f t="shared" si="2"/>
        <v>4</v>
      </c>
      <c r="M7">
        <v>7</v>
      </c>
      <c r="N7">
        <f t="shared" si="2"/>
        <v>4</v>
      </c>
      <c r="S7" t="s">
        <v>309</v>
      </c>
      <c r="T7">
        <f t="shared" si="4"/>
        <v>3</v>
      </c>
      <c r="U7">
        <v>0.5</v>
      </c>
      <c r="V7">
        <v>1.05</v>
      </c>
      <c r="W7">
        <v>0.01</v>
      </c>
      <c r="X7" s="98">
        <f>IF('Pin Detect Programming'!C$9='Resistor References'!S$2,'Resistor References'!S$2,VLOOKUP('Pin Detect Programming'!C$9,'Resistor References'!S$3:W$17,4,FALSE)+Y7*VLOOKUP('Pin Detect Programming'!C$9,'Resistor References'!S$3:W$17,5,FALSE))</f>
        <v>0.7</v>
      </c>
      <c r="Y7">
        <f t="shared" si="5"/>
        <v>4</v>
      </c>
      <c r="Z7">
        <f t="shared" si="1"/>
        <v>20</v>
      </c>
      <c r="AA7">
        <f t="shared" si="6"/>
        <v>4</v>
      </c>
      <c r="AB7" t="str">
        <f>IF('Pin Detect Programming'!C12='Resistor References'!Z2,"Auto-Detect",IF('Pin Detect Programming'!C8=1,"180, In","SYNC In"))</f>
        <v>180, In</v>
      </c>
      <c r="AC7">
        <f t="shared" si="7"/>
        <v>3</v>
      </c>
      <c r="AD7" t="s">
        <v>264</v>
      </c>
      <c r="AE7">
        <f t="shared" si="10"/>
        <v>3</v>
      </c>
      <c r="AF7" t="s">
        <v>310</v>
      </c>
      <c r="AG7">
        <v>3</v>
      </c>
      <c r="AH7" s="98">
        <f>IF('Pin Detect Programming'!C$9='Resistor References'!AF$3,(3277+41*'Resistor References'!G8)*2^-12,IF('Pin Detect Programming'!C$9='Resistor References'!AF$4,(2456+41*G8)*2^-12,IF('Pin Detect Programming'!C$9='Resistor References'!AF$5,(3686+41*G8)*2^-12,IF('Pin Detect Programming'!C$9='Resistor References'!AF$6,(4921+82*G8)*2^-12,IF('Pin Detect Programming'!C$9='Resistor References'!AF$7,(7372+82*G8)*2^-12,IF('Pin Detect Programming'!C$9='Resistor References'!AF$8,(9906+164*G8)*2^-12,IF('Pin Detect Programming'!C$9='Resistor References'!AF$9,(14826+164*G8)*2^-12,IF('Pin Detect Programming'!C$9='Resistor References'!AF$10,(14941+164*G8)*2^-12,IF('Pin Detect Programming'!C$9='Resistor References'!AF$11,(19861+164*G8)*2^-12,0)))))))))</f>
        <v>0</v>
      </c>
      <c r="AI7">
        <f t="shared" si="8"/>
        <v>4</v>
      </c>
      <c r="AL7">
        <f t="shared" si="11"/>
        <v>3</v>
      </c>
      <c r="AM7">
        <f t="shared" si="9"/>
        <v>10</v>
      </c>
    </row>
    <row r="8" spans="1:39" x14ac:dyDescent="0.15">
      <c r="F8">
        <f t="shared" si="2"/>
        <v>5</v>
      </c>
      <c r="G8">
        <f t="shared" si="2"/>
        <v>4</v>
      </c>
      <c r="H8">
        <f t="shared" si="2"/>
        <v>4</v>
      </c>
      <c r="I8">
        <f t="shared" si="12"/>
        <v>14</v>
      </c>
      <c r="J8">
        <f t="shared" si="0"/>
        <v>6</v>
      </c>
      <c r="K8">
        <f>IF('Pin Detect Programming'!C4='Resistor References'!G2,'Resistor References'!G2,IF('Pin Detect Programming'!C4='Resistor References'!G3,550,900))</f>
        <v>900</v>
      </c>
      <c r="L8">
        <f t="shared" si="2"/>
        <v>5</v>
      </c>
      <c r="M8">
        <v>10</v>
      </c>
      <c r="N8">
        <f t="shared" si="2"/>
        <v>5</v>
      </c>
      <c r="S8" t="s">
        <v>311</v>
      </c>
      <c r="T8">
        <f t="shared" si="4"/>
        <v>4</v>
      </c>
      <c r="U8">
        <v>0.25</v>
      </c>
      <c r="V8">
        <v>1.2</v>
      </c>
      <c r="W8">
        <v>0.02</v>
      </c>
      <c r="X8" s="98">
        <f>IF('Pin Detect Programming'!C$9='Resistor References'!S$2,'Resistor References'!S$2,VLOOKUP('Pin Detect Programming'!C$9,'Resistor References'!S$3:W$17,4,FALSE)+Y8*VLOOKUP('Pin Detect Programming'!C$9,'Resistor References'!S$3:W$17,5,FALSE))</f>
        <v>0.75</v>
      </c>
      <c r="Y8">
        <f t="shared" si="5"/>
        <v>5</v>
      </c>
      <c r="Z8">
        <f t="shared" si="1"/>
        <v>21</v>
      </c>
      <c r="AA8">
        <f t="shared" si="6"/>
        <v>5</v>
      </c>
      <c r="AB8" t="str">
        <f>IF('Pin Detect Programming'!C12='Resistor References'!Z2,"Auto-Detect",IF('Pin Detect Programming'!C8=1,"240, In","SYNC In"))</f>
        <v>240, In</v>
      </c>
      <c r="AC8">
        <f t="shared" si="7"/>
        <v>4</v>
      </c>
      <c r="AD8" t="s">
        <v>312</v>
      </c>
      <c r="AE8">
        <f t="shared" si="10"/>
        <v>4</v>
      </c>
      <c r="AF8" t="s">
        <v>313</v>
      </c>
      <c r="AG8">
        <v>4</v>
      </c>
      <c r="AH8" s="98">
        <f>IF('Pin Detect Programming'!C$9='Resistor References'!AF$3,(3277+41*'Resistor References'!G9)*2^-12,IF('Pin Detect Programming'!C$9='Resistor References'!AF$4,(2456+41*G9)*2^-12,IF('Pin Detect Programming'!C$9='Resistor References'!AF$5,(3686+41*G9)*2^-12,IF('Pin Detect Programming'!C$9='Resistor References'!AF$6,(4921+82*G9)*2^-12,IF('Pin Detect Programming'!C$9='Resistor References'!AF$7,(7372+82*G9)*2^-12,IF('Pin Detect Programming'!C$9='Resistor References'!AF$8,(9906+164*G9)*2^-12,IF('Pin Detect Programming'!C$9='Resistor References'!AF$9,(14826+164*G9)*2^-12,IF('Pin Detect Programming'!C$9='Resistor References'!AF$10,(14941+164*G9)*2^-12,IF('Pin Detect Programming'!C$9='Resistor References'!AF$11,(19861+164*G9)*2^-12,0)))))))))</f>
        <v>0</v>
      </c>
      <c r="AI8">
        <f t="shared" si="8"/>
        <v>5</v>
      </c>
      <c r="AL8">
        <f t="shared" si="11"/>
        <v>4</v>
      </c>
      <c r="AM8">
        <f t="shared" si="9"/>
        <v>12</v>
      </c>
    </row>
    <row r="9" spans="1:39" x14ac:dyDescent="0.15">
      <c r="F9">
        <f t="shared" si="2"/>
        <v>6</v>
      </c>
      <c r="G9">
        <f t="shared" si="2"/>
        <v>5</v>
      </c>
      <c r="H9">
        <f t="shared" si="2"/>
        <v>5</v>
      </c>
      <c r="I9">
        <f t="shared" si="12"/>
        <v>15</v>
      </c>
      <c r="J9">
        <f t="shared" si="0"/>
        <v>7</v>
      </c>
      <c r="K9">
        <f>IF('Pin Detect Programming'!C4='Resistor References'!G2,'Resistor References'!G2,IF('Pin Detect Programming'!C4='Resistor References'!G3,550,1100))</f>
        <v>1100</v>
      </c>
      <c r="L9">
        <f t="shared" si="2"/>
        <v>6</v>
      </c>
      <c r="M9">
        <v>20</v>
      </c>
      <c r="N9">
        <f t="shared" si="2"/>
        <v>6</v>
      </c>
      <c r="S9" t="s">
        <v>314</v>
      </c>
      <c r="T9">
        <f t="shared" si="4"/>
        <v>5</v>
      </c>
      <c r="U9">
        <v>0.25</v>
      </c>
      <c r="V9">
        <v>1.5</v>
      </c>
      <c r="W9">
        <v>0.02</v>
      </c>
      <c r="X9" s="98">
        <f>IF('Pin Detect Programming'!C$9='Resistor References'!S$2,'Resistor References'!S$2,VLOOKUP('Pin Detect Programming'!C$9,'Resistor References'!S$3:W$17,4,FALSE)+Y9*VLOOKUP('Pin Detect Programming'!C$9,'Resistor References'!S$3:W$17,5,FALSE))</f>
        <v>0.8</v>
      </c>
      <c r="Y9">
        <f t="shared" si="5"/>
        <v>6</v>
      </c>
      <c r="Z9">
        <f t="shared" si="1"/>
        <v>22</v>
      </c>
      <c r="AA9">
        <f t="shared" si="6"/>
        <v>6</v>
      </c>
      <c r="AB9" t="str">
        <f>IF('Pin Detect Programming'!C12='Resistor References'!Z2,"Auto-Detect",IF('Pin Detect Programming'!C8=1,"270, In","SYNC In"))</f>
        <v>270, In</v>
      </c>
      <c r="AC9">
        <f t="shared" si="7"/>
        <v>5</v>
      </c>
      <c r="AD9" t="s">
        <v>273</v>
      </c>
      <c r="AE9">
        <f t="shared" si="10"/>
        <v>5</v>
      </c>
      <c r="AF9" t="s">
        <v>315</v>
      </c>
      <c r="AG9">
        <v>5</v>
      </c>
      <c r="AH9" s="98">
        <f>IF('Pin Detect Programming'!C$9='Resistor References'!AF$3,(3277+41*'Resistor References'!G10)*2^-12,IF('Pin Detect Programming'!C$9='Resistor References'!AF$4,(2456+41*G10)*2^-12,IF('Pin Detect Programming'!C$9='Resistor References'!AF$5,(3686+41*G10)*2^-12,IF('Pin Detect Programming'!C$9='Resistor References'!AF$6,(4921+82*G10)*2^-12,IF('Pin Detect Programming'!C$9='Resistor References'!AF$7,(7372+82*G10)*2^-12,IF('Pin Detect Programming'!C$9='Resistor References'!AF$8,(9906+164*G10)*2^-12,IF('Pin Detect Programming'!C$9='Resistor References'!AF$9,(14826+164*G10)*2^-12,IF('Pin Detect Programming'!C$9='Resistor References'!AF$10,(14941+164*G10)*2^-12,IF('Pin Detect Programming'!C$9='Resistor References'!AF$11,(19861+164*G10)*2^-12,0)))))))))</f>
        <v>0</v>
      </c>
      <c r="AI9">
        <f t="shared" si="8"/>
        <v>6</v>
      </c>
      <c r="AL9">
        <f t="shared" si="11"/>
        <v>5</v>
      </c>
      <c r="AM9">
        <f t="shared" si="9"/>
        <v>13</v>
      </c>
    </row>
    <row r="10" spans="1:39" x14ac:dyDescent="0.15">
      <c r="F10">
        <f t="shared" si="2"/>
        <v>7</v>
      </c>
      <c r="G10">
        <f t="shared" si="2"/>
        <v>6</v>
      </c>
      <c r="H10">
        <f t="shared" si="2"/>
        <v>6</v>
      </c>
      <c r="I10">
        <f t="shared" si="12"/>
        <v>17</v>
      </c>
      <c r="J10">
        <f t="shared" si="0"/>
        <v>8</v>
      </c>
      <c r="K10">
        <f>IF('Pin Detect Programming'!C4='Resistor References'!G2,'Resistor References'!G2,IF('Pin Detect Programming'!C4='Resistor References'!G3,550,1500))</f>
        <v>1500</v>
      </c>
      <c r="L10">
        <f t="shared" si="2"/>
        <v>7</v>
      </c>
      <c r="M10">
        <v>31.75</v>
      </c>
      <c r="N10">
        <f t="shared" si="2"/>
        <v>7</v>
      </c>
      <c r="S10" t="s">
        <v>316</v>
      </c>
      <c r="T10">
        <f t="shared" si="4"/>
        <v>6</v>
      </c>
      <c r="U10">
        <v>0.25</v>
      </c>
      <c r="V10">
        <v>1.8</v>
      </c>
      <c r="W10">
        <v>0.02</v>
      </c>
      <c r="X10" s="98">
        <f>IF('Pin Detect Programming'!C$9='Resistor References'!S$2,'Resistor References'!S$2,VLOOKUP('Pin Detect Programming'!C$9,'Resistor References'!S$3:W$17,4,FALSE)+Y10*VLOOKUP('Pin Detect Programming'!C$9,'Resistor References'!S$3:W$17,5,FALSE))</f>
        <v>0.85000000000000009</v>
      </c>
      <c r="Y10">
        <f t="shared" si="5"/>
        <v>7</v>
      </c>
      <c r="Z10">
        <f t="shared" si="1"/>
        <v>23</v>
      </c>
      <c r="AA10">
        <f t="shared" si="6"/>
        <v>7</v>
      </c>
      <c r="AB10" t="str">
        <f>IF('Pin Detect Programming'!C12='Resistor References'!Z2,"Auto-Detect",IF('Pin Detect Programming'!C8=1,"0, Out","SYNC Out"))</f>
        <v>0, Out</v>
      </c>
      <c r="AC10">
        <f t="shared" si="7"/>
        <v>6</v>
      </c>
      <c r="AD10" t="s">
        <v>240</v>
      </c>
      <c r="AE10">
        <f t="shared" si="10"/>
        <v>6</v>
      </c>
      <c r="AF10" t="s">
        <v>317</v>
      </c>
      <c r="AG10">
        <v>6</v>
      </c>
      <c r="AH10" s="98">
        <f>IF('Pin Detect Programming'!C$9='Resistor References'!AF$3,(3277+41*'Resistor References'!G11)*2^-12,IF('Pin Detect Programming'!C$9='Resistor References'!AF$4,(2456+41*G11)*2^-12,IF('Pin Detect Programming'!C$9='Resistor References'!AF$5,(3686+41*G11)*2^-12,IF('Pin Detect Programming'!C$9='Resistor References'!AF$6,(4921+82*G11)*2^-12,IF('Pin Detect Programming'!C$9='Resistor References'!AF$7,(7372+82*G11)*2^-12,IF('Pin Detect Programming'!C$9='Resistor References'!AF$8,(9906+164*G11)*2^-12,IF('Pin Detect Programming'!C$9='Resistor References'!AF$9,(14826+164*G11)*2^-12,IF('Pin Detect Programming'!C$9='Resistor References'!AF$10,(14941+164*G11)*2^-12,IF('Pin Detect Programming'!C$9='Resistor References'!AF$11,(19861+164*G11)*2^-12,0)))))))))</f>
        <v>0</v>
      </c>
      <c r="AI10">
        <f t="shared" si="8"/>
        <v>7</v>
      </c>
      <c r="AL10">
        <f t="shared" si="11"/>
        <v>6</v>
      </c>
      <c r="AM10">
        <f t="shared" si="9"/>
        <v>14</v>
      </c>
    </row>
    <row r="11" spans="1:39" x14ac:dyDescent="0.15">
      <c r="F11">
        <f t="shared" si="2"/>
        <v>8</v>
      </c>
      <c r="G11">
        <f t="shared" si="2"/>
        <v>7</v>
      </c>
      <c r="H11">
        <f t="shared" si="2"/>
        <v>7</v>
      </c>
      <c r="I11">
        <f t="shared" si="12"/>
        <v>18</v>
      </c>
      <c r="J11">
        <f t="shared" si="0"/>
        <v>9</v>
      </c>
      <c r="S11" t="s">
        <v>318</v>
      </c>
      <c r="T11">
        <f t="shared" si="4"/>
        <v>7</v>
      </c>
      <c r="U11">
        <v>0.25</v>
      </c>
      <c r="V11">
        <v>2.1</v>
      </c>
      <c r="W11">
        <v>0.02</v>
      </c>
      <c r="X11" s="98">
        <f>IF('Pin Detect Programming'!C$9='Resistor References'!S$2,'Resistor References'!S$2,VLOOKUP('Pin Detect Programming'!C$9,'Resistor References'!S$3:W$17,4,FALSE)+Y11*VLOOKUP('Pin Detect Programming'!C$9,'Resistor References'!S$3:W$17,5,FALSE))</f>
        <v>0.9</v>
      </c>
      <c r="Y11">
        <f t="shared" si="5"/>
        <v>8</v>
      </c>
      <c r="Z11">
        <f t="shared" si="1"/>
        <v>24</v>
      </c>
      <c r="AA11">
        <f t="shared" si="6"/>
        <v>8</v>
      </c>
      <c r="AB11" t="str">
        <f>IF('Pin Detect Programming'!C12='Resistor References'!Z2,"Auto-Detect",IF('Pin Detect Programming'!C8=1,"180, Out","SYNC Out"))</f>
        <v>180, Out</v>
      </c>
      <c r="AC11">
        <f t="shared" si="7"/>
        <v>7</v>
      </c>
      <c r="AD11" t="s">
        <v>271</v>
      </c>
      <c r="AE11">
        <f t="shared" si="10"/>
        <v>7</v>
      </c>
      <c r="AF11" t="s">
        <v>319</v>
      </c>
      <c r="AG11">
        <v>7</v>
      </c>
      <c r="AH11" s="98">
        <f>IF('Pin Detect Programming'!C$9='Resistor References'!AF$3,(3277+41*'Resistor References'!G12)*2^-12,IF('Pin Detect Programming'!C$9='Resistor References'!AF$4,(2456+41*G12)*2^-12,IF('Pin Detect Programming'!C$9='Resistor References'!AF$5,(3686+41*G12)*2^-12,IF('Pin Detect Programming'!C$9='Resistor References'!AF$6,(4921+82*G12)*2^-12,IF('Pin Detect Programming'!C$9='Resistor References'!AF$7,(7372+82*G12)*2^-12,IF('Pin Detect Programming'!C$9='Resistor References'!AF$8,(9906+164*G12)*2^-12,IF('Pin Detect Programming'!C$9='Resistor References'!AF$9,(14826+164*G12)*2^-12,IF('Pin Detect Programming'!C$9='Resistor References'!AF$10,(14941+164*G12)*2^-12,IF('Pin Detect Programming'!C$9='Resistor References'!AF$11,(19861+164*G12)*2^-12,0)))))))))</f>
        <v>0</v>
      </c>
      <c r="AI11">
        <f t="shared" si="8"/>
        <v>8</v>
      </c>
      <c r="AL11">
        <f t="shared" si="11"/>
        <v>7</v>
      </c>
      <c r="AM11">
        <f t="shared" si="9"/>
        <v>15</v>
      </c>
    </row>
    <row r="12" spans="1:39" x14ac:dyDescent="0.15">
      <c r="F12">
        <f t="shared" si="2"/>
        <v>9</v>
      </c>
      <c r="G12">
        <f t="shared" si="2"/>
        <v>8</v>
      </c>
      <c r="H12">
        <f t="shared" si="2"/>
        <v>8</v>
      </c>
      <c r="I12">
        <f t="shared" si="12"/>
        <v>19</v>
      </c>
      <c r="J12">
        <f t="shared" si="0"/>
        <v>10</v>
      </c>
      <c r="S12" t="s">
        <v>320</v>
      </c>
      <c r="T12">
        <f t="shared" si="4"/>
        <v>8</v>
      </c>
      <c r="U12">
        <v>0.125</v>
      </c>
      <c r="V12">
        <v>2.4</v>
      </c>
      <c r="W12">
        <v>0.04</v>
      </c>
      <c r="X12" s="98">
        <f>IF('Pin Detect Programming'!C$9='Resistor References'!S$2,'Resistor References'!S$2,VLOOKUP('Pin Detect Programming'!C$9,'Resistor References'!S$3:W$17,4,FALSE)+Y12*VLOOKUP('Pin Detect Programming'!C$9,'Resistor References'!S$3:W$17,5,FALSE))</f>
        <v>0.95</v>
      </c>
      <c r="Y12">
        <f t="shared" si="5"/>
        <v>9</v>
      </c>
      <c r="Z12">
        <f t="shared" si="1"/>
        <v>25</v>
      </c>
      <c r="AA12">
        <f t="shared" si="6"/>
        <v>9</v>
      </c>
      <c r="AH12" s="98">
        <f>IF('Pin Detect Programming'!C$9='Resistor References'!AF$3,(3277+41*'Resistor References'!G13)*2^-12,IF('Pin Detect Programming'!C$9='Resistor References'!AF$4,(2456+41*G13)*2^-12,IF('Pin Detect Programming'!C$9='Resistor References'!AF$5,(3686+41*G13)*2^-12,IF('Pin Detect Programming'!C$9='Resistor References'!AF$6,(4921+82*G13)*2^-12,IF('Pin Detect Programming'!C$9='Resistor References'!AF$7,(7372+82*G13)*2^-12,IF('Pin Detect Programming'!C$9='Resistor References'!AF$8,(9906+164*G13)*2^-12,IF('Pin Detect Programming'!C$9='Resistor References'!AF$9,(14826+164*G13)*2^-12,IF('Pin Detect Programming'!C$9='Resistor References'!AF$10,(14941+164*G13)*2^-12,IF('Pin Detect Programming'!C$9='Resistor References'!AF$11,(19861+164*G13)*2^-12,0)))))))))</f>
        <v>0</v>
      </c>
      <c r="AI12">
        <f t="shared" si="8"/>
        <v>9</v>
      </c>
      <c r="AL12">
        <f t="shared" si="11"/>
        <v>8</v>
      </c>
      <c r="AM12">
        <f t="shared" si="9"/>
        <v>17</v>
      </c>
    </row>
    <row r="13" spans="1:39" x14ac:dyDescent="0.15">
      <c r="F13">
        <f t="shared" si="2"/>
        <v>10</v>
      </c>
      <c r="G13">
        <f t="shared" si="2"/>
        <v>9</v>
      </c>
      <c r="H13">
        <f t="shared" si="2"/>
        <v>9</v>
      </c>
      <c r="I13">
        <f t="shared" si="12"/>
        <v>20</v>
      </c>
      <c r="J13">
        <f t="shared" si="0"/>
        <v>11</v>
      </c>
      <c r="S13" t="s">
        <v>321</v>
      </c>
      <c r="T13">
        <f t="shared" si="4"/>
        <v>9</v>
      </c>
      <c r="U13">
        <v>0.125</v>
      </c>
      <c r="V13">
        <v>3</v>
      </c>
      <c r="W13">
        <v>0.04</v>
      </c>
      <c r="X13" s="98">
        <f>IF('Pin Detect Programming'!C$9='Resistor References'!S$2,'Resistor References'!S$2,VLOOKUP('Pin Detect Programming'!C$9,'Resistor References'!S$3:W$17,4,FALSE)+Y13*VLOOKUP('Pin Detect Programming'!C$9,'Resistor References'!S$3:W$17,5,FALSE))</f>
        <v>1</v>
      </c>
      <c r="Y13">
        <f t="shared" si="5"/>
        <v>10</v>
      </c>
      <c r="Z13">
        <f t="shared" si="1"/>
        <v>26</v>
      </c>
      <c r="AA13">
        <f t="shared" si="6"/>
        <v>10</v>
      </c>
      <c r="AH13" s="98">
        <f>IF('Pin Detect Programming'!C$9='Resistor References'!AF$3,(3277+41*'Resistor References'!G14)*2^-12,IF('Pin Detect Programming'!C$9='Resistor References'!AF$4,(2456+41*G14)*2^-12,IF('Pin Detect Programming'!C$9='Resistor References'!AF$5,(3686+41*G14)*2^-12,IF('Pin Detect Programming'!C$9='Resistor References'!AF$6,(4921+82*G14)*2^-12,IF('Pin Detect Programming'!C$9='Resistor References'!AF$7,(7372+82*G14)*2^-12,IF('Pin Detect Programming'!C$9='Resistor References'!AF$8,(9906+164*G14)*2^-12,IF('Pin Detect Programming'!C$9='Resistor References'!AF$9,(14826+164*G14)*2^-12,IF('Pin Detect Programming'!C$9='Resistor References'!AF$10,(14941+164*G14)*2^-12,IF('Pin Detect Programming'!C$9='Resistor References'!AF$11,(19861+164*G14)*2^-12,0)))))))))</f>
        <v>0</v>
      </c>
      <c r="AI13">
        <f t="shared" si="8"/>
        <v>10</v>
      </c>
      <c r="AL13">
        <f t="shared" si="11"/>
        <v>9</v>
      </c>
      <c r="AM13">
        <f t="shared" si="9"/>
        <v>18</v>
      </c>
    </row>
    <row r="14" spans="1:39" x14ac:dyDescent="0.15">
      <c r="F14">
        <f t="shared" si="2"/>
        <v>11</v>
      </c>
      <c r="G14">
        <f t="shared" si="2"/>
        <v>10</v>
      </c>
      <c r="H14">
        <f t="shared" si="2"/>
        <v>10</v>
      </c>
      <c r="I14">
        <f t="shared" si="12"/>
        <v>22</v>
      </c>
      <c r="J14">
        <f t="shared" si="0"/>
        <v>12</v>
      </c>
      <c r="S14" t="s">
        <v>322</v>
      </c>
      <c r="T14">
        <f t="shared" si="4"/>
        <v>10</v>
      </c>
      <c r="U14">
        <v>0.125</v>
      </c>
      <c r="V14">
        <v>3.6</v>
      </c>
      <c r="W14">
        <v>0.04</v>
      </c>
      <c r="X14" s="98">
        <f>IF('Pin Detect Programming'!C$9='Resistor References'!S$2,'Resistor References'!S$2,VLOOKUP('Pin Detect Programming'!C$9,'Resistor References'!S$3:W$17,4,FALSE)+Y14*VLOOKUP('Pin Detect Programming'!C$9,'Resistor References'!S$3:W$17,5,FALSE))</f>
        <v>1.05</v>
      </c>
      <c r="Y14">
        <f t="shared" si="5"/>
        <v>11</v>
      </c>
      <c r="Z14">
        <f t="shared" si="1"/>
        <v>27</v>
      </c>
      <c r="AA14">
        <f t="shared" si="6"/>
        <v>11</v>
      </c>
      <c r="AH14" s="98">
        <f>IF('Pin Detect Programming'!C$9='Resistor References'!AF$3,(3277+41*'Resistor References'!G15)*2^-12,IF('Pin Detect Programming'!C$9='Resistor References'!AF$4,(2456+41*G15)*2^-12,IF('Pin Detect Programming'!C$9='Resistor References'!AF$5,(3686+41*G15)*2^-12,IF('Pin Detect Programming'!C$9='Resistor References'!AF$6,(4921+82*G15)*2^-12,IF('Pin Detect Programming'!C$9='Resistor References'!AF$7,(7372+82*G15)*2^-12,IF('Pin Detect Programming'!C$9='Resistor References'!AF$8,(9906+164*G15)*2^-12,IF('Pin Detect Programming'!C$9='Resistor References'!AF$9,(14826+164*G15)*2^-12,IF('Pin Detect Programming'!C$9='Resistor References'!AF$10,(14941+164*G15)*2^-12,IF('Pin Detect Programming'!C$9='Resistor References'!AF$11,(19861+164*G15)*2^-12,0)))))))))</f>
        <v>0</v>
      </c>
      <c r="AI14">
        <f t="shared" si="8"/>
        <v>11</v>
      </c>
      <c r="AL14">
        <f t="shared" si="11"/>
        <v>10</v>
      </c>
      <c r="AM14">
        <f t="shared" si="9"/>
        <v>19</v>
      </c>
    </row>
    <row r="15" spans="1:39" x14ac:dyDescent="0.15">
      <c r="F15">
        <f t="shared" si="2"/>
        <v>12</v>
      </c>
      <c r="G15">
        <f t="shared" si="2"/>
        <v>11</v>
      </c>
      <c r="H15">
        <f t="shared" si="2"/>
        <v>11</v>
      </c>
      <c r="I15">
        <f t="shared" si="12"/>
        <v>23</v>
      </c>
      <c r="J15">
        <f t="shared" si="0"/>
        <v>13</v>
      </c>
      <c r="S15" t="s">
        <v>323</v>
      </c>
      <c r="T15">
        <v>13</v>
      </c>
      <c r="U15">
        <v>0.125</v>
      </c>
      <c r="V15">
        <v>4.2</v>
      </c>
      <c r="W15">
        <v>0.04</v>
      </c>
      <c r="X15" s="98">
        <f>IF('Pin Detect Programming'!C$9='Resistor References'!S$2,'Resistor References'!S$2,VLOOKUP('Pin Detect Programming'!C$9,'Resistor References'!S$3:W$17,4,FALSE)+Y15*VLOOKUP('Pin Detect Programming'!C$9,'Resistor References'!S$3:W$17,5,FALSE))</f>
        <v>1.1000000000000001</v>
      </c>
      <c r="Y15">
        <f t="shared" si="5"/>
        <v>12</v>
      </c>
      <c r="Z15">
        <f t="shared" si="1"/>
        <v>28</v>
      </c>
      <c r="AA15">
        <f t="shared" si="6"/>
        <v>12</v>
      </c>
      <c r="AH15" s="98">
        <f>IF('Pin Detect Programming'!C$9='Resistor References'!AF$3,(3277+41*'Resistor References'!G16)*2^-12,IF('Pin Detect Programming'!C$9='Resistor References'!AF$4,(2456+41*G16)*2^-12,IF('Pin Detect Programming'!C$9='Resistor References'!AF$5,(3686+41*G16)*2^-12,IF('Pin Detect Programming'!C$9='Resistor References'!AF$6,(4921+82*G16)*2^-12,IF('Pin Detect Programming'!C$9='Resistor References'!AF$7,(7372+82*G16)*2^-12,IF('Pin Detect Programming'!C$9='Resistor References'!AF$8,(9906+164*G16)*2^-12,IF('Pin Detect Programming'!C$9='Resistor References'!AF$9,(14826+164*G16)*2^-12,IF('Pin Detect Programming'!C$9='Resistor References'!AF$10,(14941+164*G16)*2^-12,IF('Pin Detect Programming'!C$9='Resistor References'!AF$11,(19861+164*G16)*2^-12,0)))))))))</f>
        <v>0</v>
      </c>
      <c r="AI15">
        <f t="shared" si="8"/>
        <v>12</v>
      </c>
      <c r="AL15">
        <f t="shared" si="11"/>
        <v>11</v>
      </c>
      <c r="AM15">
        <f t="shared" si="9"/>
        <v>20</v>
      </c>
    </row>
    <row r="16" spans="1:39" x14ac:dyDescent="0.15">
      <c r="F16">
        <f t="shared" si="2"/>
        <v>13</v>
      </c>
      <c r="G16">
        <f t="shared" si="2"/>
        <v>12</v>
      </c>
      <c r="H16">
        <f t="shared" si="2"/>
        <v>12</v>
      </c>
      <c r="I16">
        <f t="shared" si="12"/>
        <v>24</v>
      </c>
      <c r="J16">
        <f t="shared" si="0"/>
        <v>14</v>
      </c>
      <c r="S16" t="s">
        <v>324</v>
      </c>
      <c r="T16">
        <v>14</v>
      </c>
      <c r="U16">
        <v>0.125</v>
      </c>
      <c r="V16">
        <v>4.8</v>
      </c>
      <c r="W16">
        <v>0.04</v>
      </c>
      <c r="X16" s="98">
        <f>IF('Pin Detect Programming'!C$9='Resistor References'!S$2,'Resistor References'!S$2,VLOOKUP('Pin Detect Programming'!C$9,'Resistor References'!S$3:W$17,4,FALSE)+Y16*VLOOKUP('Pin Detect Programming'!C$9,'Resistor References'!S$3:W$17,5,FALSE))</f>
        <v>1.1499999999999999</v>
      </c>
      <c r="Y16">
        <f t="shared" si="5"/>
        <v>13</v>
      </c>
      <c r="Z16">
        <f t="shared" si="1"/>
        <v>29</v>
      </c>
      <c r="AA16">
        <f t="shared" si="6"/>
        <v>13</v>
      </c>
      <c r="AH16" s="98">
        <f>IF('Pin Detect Programming'!C$9='Resistor References'!AF$3,(3277+41*'Resistor References'!G17)*2^-12,IF('Pin Detect Programming'!C$9='Resistor References'!AF$4,(2456+41*G17)*2^-12,IF('Pin Detect Programming'!C$9='Resistor References'!AF$5,(3686+41*G17)*2^-12,IF('Pin Detect Programming'!C$9='Resistor References'!AF$6,(4921+82*G17)*2^-12,IF('Pin Detect Programming'!C$9='Resistor References'!AF$7,(7372+82*G17)*2^-12,IF('Pin Detect Programming'!C$9='Resistor References'!AF$8,(9906+164*G17)*2^-12,IF('Pin Detect Programming'!C$9='Resistor References'!AF$9,(14826+164*G17)*2^-12,IF('Pin Detect Programming'!C$9='Resistor References'!AF$10,(14941+164*G17)*2^-12,IF('Pin Detect Programming'!C$9='Resistor References'!AF$11,(19861+164*G17)*2^-12,0)))))))))</f>
        <v>0</v>
      </c>
      <c r="AI16">
        <f t="shared" si="8"/>
        <v>13</v>
      </c>
      <c r="AL16">
        <f t="shared" si="11"/>
        <v>12</v>
      </c>
      <c r="AM16">
        <f t="shared" si="9"/>
        <v>22</v>
      </c>
    </row>
    <row r="17" spans="6:39" x14ac:dyDescent="0.15">
      <c r="F17">
        <f t="shared" si="2"/>
        <v>14</v>
      </c>
      <c r="G17">
        <f t="shared" si="2"/>
        <v>13</v>
      </c>
      <c r="H17">
        <f t="shared" si="2"/>
        <v>13</v>
      </c>
      <c r="I17">
        <f t="shared" si="12"/>
        <v>25</v>
      </c>
      <c r="J17">
        <f t="shared" si="0"/>
        <v>15</v>
      </c>
      <c r="S17" t="s">
        <v>325</v>
      </c>
      <c r="T17">
        <v>15</v>
      </c>
      <c r="U17">
        <v>0.125</v>
      </c>
      <c r="V17">
        <v>5.4</v>
      </c>
      <c r="W17">
        <v>0.04</v>
      </c>
      <c r="X17" s="98">
        <f>IF('Pin Detect Programming'!C$9='Resistor References'!S$2,'Resistor References'!S$2,VLOOKUP('Pin Detect Programming'!C$9,'Resistor References'!S$3:W$17,4,FALSE)+Y17*VLOOKUP('Pin Detect Programming'!C$9,'Resistor References'!S$3:W$17,5,FALSE))</f>
        <v>1.2000000000000002</v>
      </c>
      <c r="Y17">
        <f t="shared" si="5"/>
        <v>14</v>
      </c>
      <c r="Z17">
        <f t="shared" si="1"/>
        <v>30</v>
      </c>
      <c r="AA17">
        <f t="shared" si="6"/>
        <v>14</v>
      </c>
      <c r="AH17" s="98">
        <f>IF('Pin Detect Programming'!C$9='Resistor References'!AF$3,(3277+41*'Resistor References'!G18)*2^-12,IF('Pin Detect Programming'!C$9='Resistor References'!AF$4,(2456+41*G18)*2^-12,IF('Pin Detect Programming'!C$9='Resistor References'!AF$5,(3686+41*G18)*2^-12,IF('Pin Detect Programming'!C$9='Resistor References'!AF$6,(4921+82*G18)*2^-12,IF('Pin Detect Programming'!C$9='Resistor References'!AF$7,(7372+82*G18)*2^-12,IF('Pin Detect Programming'!C$9='Resistor References'!AF$8,(9906+164*G18)*2^-12,IF('Pin Detect Programming'!C$9='Resistor References'!AF$9,(14826+164*G18)*2^-12,IF('Pin Detect Programming'!C$9='Resistor References'!AF$10,(14941+164*G18)*2^-12,IF('Pin Detect Programming'!C$9='Resistor References'!AF$11,(19861+164*G18)*2^-12,0)))))))))</f>
        <v>0</v>
      </c>
      <c r="AI17">
        <f t="shared" si="8"/>
        <v>14</v>
      </c>
      <c r="AL17">
        <f t="shared" si="11"/>
        <v>13</v>
      </c>
      <c r="AM17">
        <f t="shared" si="9"/>
        <v>23</v>
      </c>
    </row>
    <row r="18" spans="6:39" x14ac:dyDescent="0.15">
      <c r="F18">
        <f t="shared" si="2"/>
        <v>15</v>
      </c>
      <c r="G18">
        <f t="shared" si="2"/>
        <v>14</v>
      </c>
      <c r="H18">
        <f t="shared" si="2"/>
        <v>14</v>
      </c>
      <c r="X18" s="98">
        <f>IF('Pin Detect Programming'!C$9='Resistor References'!S$2,'Resistor References'!S$2,VLOOKUP('Pin Detect Programming'!C$9,'Resistor References'!S$3:W$17,4,FALSE)+Y18*VLOOKUP('Pin Detect Programming'!C$9,'Resistor References'!S$3:W$17,5,FALSE))</f>
        <v>1.25</v>
      </c>
      <c r="Y18">
        <f t="shared" si="5"/>
        <v>15</v>
      </c>
      <c r="Z18">
        <f t="shared" si="1"/>
        <v>31</v>
      </c>
      <c r="AA18">
        <f t="shared" si="6"/>
        <v>15</v>
      </c>
      <c r="AH18" s="98">
        <f>IF('Pin Detect Programming'!C$9='Resistor References'!AF$3,(3277+41*'Resistor References'!G19)*2^-12,IF('Pin Detect Programming'!C$9='Resistor References'!AF$4,(2456+41*G19)*2^-12,IF('Pin Detect Programming'!C$9='Resistor References'!AF$5,(3686+41*G19)*2^-12,IF('Pin Detect Programming'!C$9='Resistor References'!AF$6,(4921+82*G19)*2^-12,IF('Pin Detect Programming'!C$9='Resistor References'!AF$7,(7372+82*G19)*2^-12,IF('Pin Detect Programming'!C$9='Resistor References'!AF$8,(9906+164*G19)*2^-12,IF('Pin Detect Programming'!C$9='Resistor References'!AF$9,(14826+164*G19)*2^-12,IF('Pin Detect Programming'!C$9='Resistor References'!AF$10,(14941+164*G19)*2^-12,IF('Pin Detect Programming'!C$9='Resistor References'!AF$11,(19861+164*G19)*2^-12,0)))))))))</f>
        <v>0</v>
      </c>
      <c r="AI18">
        <f t="shared" si="8"/>
        <v>15</v>
      </c>
      <c r="AL18">
        <f t="shared" si="11"/>
        <v>14</v>
      </c>
      <c r="AM18">
        <f t="shared" si="9"/>
        <v>24</v>
      </c>
    </row>
    <row r="19" spans="6:39" x14ac:dyDescent="0.15">
      <c r="F19">
        <f t="shared" si="2"/>
        <v>16</v>
      </c>
      <c r="G19">
        <f t="shared" si="2"/>
        <v>15</v>
      </c>
      <c r="H19">
        <f t="shared" si="2"/>
        <v>15</v>
      </c>
      <c r="X19" s="98"/>
      <c r="Z19">
        <f t="shared" si="1"/>
        <v>32</v>
      </c>
      <c r="AA19">
        <f t="shared" si="6"/>
        <v>16</v>
      </c>
      <c r="AH19" s="98">
        <f>IF('Pin Detect Programming'!C$9='Resistor References'!AF$3,(3277+41*'Resistor References'!G20)*2^-12,IF('Pin Detect Programming'!C$9='Resistor References'!AF$4,(2456+41*G20)*2^-12,IF('Pin Detect Programming'!C$9='Resistor References'!AF$5,(3686+41*G20)*2^-12,IF('Pin Detect Programming'!C$9='Resistor References'!AF$6,(4921+82*G20)*2^-12,IF('Pin Detect Programming'!C$9='Resistor References'!AF$7,(7372+82*G20)*2^-12,IF('Pin Detect Programming'!C$9='Resistor References'!AF$8,(9906+164*G20)*2^-12,IF('Pin Detect Programming'!C$9='Resistor References'!AF$9,(14826+164*G20)*2^-12,IF('Pin Detect Programming'!C$9='Resistor References'!AF$10,(14941+164*G20)*2^-12,IF('Pin Detect Programming'!C$9='Resistor References'!AF$11,(19861+164*G20)*2^-12,0)))))))))</f>
        <v>0</v>
      </c>
      <c r="AI19">
        <f t="shared" si="8"/>
        <v>16</v>
      </c>
      <c r="AL19">
        <f t="shared" si="11"/>
        <v>15</v>
      </c>
      <c r="AM19">
        <f t="shared" si="9"/>
        <v>25</v>
      </c>
    </row>
    <row r="20" spans="6:39" x14ac:dyDescent="0.15">
      <c r="F20">
        <f t="shared" si="2"/>
        <v>17</v>
      </c>
      <c r="G20">
        <f t="shared" si="2"/>
        <v>16</v>
      </c>
      <c r="H20">
        <f t="shared" si="2"/>
        <v>16</v>
      </c>
      <c r="X20" s="98"/>
      <c r="Z20">
        <f t="shared" si="1"/>
        <v>33</v>
      </c>
      <c r="AA20">
        <f t="shared" si="6"/>
        <v>17</v>
      </c>
      <c r="AH20" s="98">
        <f>IF('Pin Detect Programming'!C$9='Resistor References'!AF$3,(3277+41*'Resistor References'!G21)*2^-12,IF('Pin Detect Programming'!C$9='Resistor References'!AF$4,(2456+41*G21)*2^-12,IF('Pin Detect Programming'!C$9='Resistor References'!AF$5,(3686+41*G21)*2^-12,IF('Pin Detect Programming'!C$9='Resistor References'!AF$6,(4921+82*G21)*2^-12,IF('Pin Detect Programming'!C$9='Resistor References'!AF$7,(7372+82*G21)*2^-12,IF('Pin Detect Programming'!C$9='Resistor References'!AF$8,(9906+164*G21)*2^-12,IF('Pin Detect Programming'!C$9='Resistor References'!AF$9,(14826+164*G21)*2^-12,IF('Pin Detect Programming'!C$9='Resistor References'!AF$10,(14941+164*G21)*2^-12,IF('Pin Detect Programming'!C$9='Resistor References'!AF$11,(19861+164*G21)*2^-12,0)))))))))</f>
        <v>0</v>
      </c>
      <c r="AI20">
        <f t="shared" si="8"/>
        <v>17</v>
      </c>
    </row>
    <row r="21" spans="6:39" x14ac:dyDescent="0.15">
      <c r="F21">
        <f t="shared" ref="F21:H35" si="13">F20+1</f>
        <v>18</v>
      </c>
      <c r="G21">
        <f t="shared" si="13"/>
        <v>17</v>
      </c>
      <c r="H21">
        <f t="shared" si="13"/>
        <v>17</v>
      </c>
      <c r="X21" s="98"/>
      <c r="Z21">
        <f t="shared" si="1"/>
        <v>34</v>
      </c>
      <c r="AA21">
        <f t="shared" si="6"/>
        <v>18</v>
      </c>
      <c r="AH21" s="98">
        <f>IF('Pin Detect Programming'!C$9='Resistor References'!AF$3,(3277+41*'Resistor References'!G22)*2^-12,IF('Pin Detect Programming'!C$9='Resistor References'!AF$4,(2456+41*G22)*2^-12,IF('Pin Detect Programming'!C$9='Resistor References'!AF$5,(3686+41*G22)*2^-12,IF('Pin Detect Programming'!C$9='Resistor References'!AF$6,(4921+82*G22)*2^-12,IF('Pin Detect Programming'!C$9='Resistor References'!AF$7,(7372+82*G22)*2^-12,IF('Pin Detect Programming'!C$9='Resistor References'!AF$8,(9906+164*G22)*2^-12,IF('Pin Detect Programming'!C$9='Resistor References'!AF$9,(14826+164*G22)*2^-12,IF('Pin Detect Programming'!C$9='Resistor References'!AF$10,(14941+164*G22)*2^-12,IF('Pin Detect Programming'!C$9='Resistor References'!AF$11,(19861+164*G22)*2^-12,0)))))))))</f>
        <v>0</v>
      </c>
      <c r="AI21">
        <f t="shared" si="8"/>
        <v>18</v>
      </c>
    </row>
    <row r="22" spans="6:39" x14ac:dyDescent="0.15">
      <c r="F22">
        <f t="shared" si="13"/>
        <v>19</v>
      </c>
      <c r="G22">
        <f t="shared" si="13"/>
        <v>18</v>
      </c>
      <c r="H22">
        <f t="shared" si="13"/>
        <v>18</v>
      </c>
      <c r="X22" s="98"/>
      <c r="Z22">
        <f t="shared" si="1"/>
        <v>35</v>
      </c>
      <c r="AA22">
        <f t="shared" si="6"/>
        <v>19</v>
      </c>
      <c r="AH22" s="98">
        <f>IF('Pin Detect Programming'!C$9='Resistor References'!AF$3,(3277+41*'Resistor References'!G23)*2^-12,IF('Pin Detect Programming'!C$9='Resistor References'!AF$4,(2456+41*G23)*2^-12,IF('Pin Detect Programming'!C$9='Resistor References'!AF$5,(3686+41*G23)*2^-12,IF('Pin Detect Programming'!C$9='Resistor References'!AF$6,(4921+82*G23)*2^-12,IF('Pin Detect Programming'!C$9='Resistor References'!AF$7,(7372+82*G23)*2^-12,IF('Pin Detect Programming'!C$9='Resistor References'!AF$8,(9906+164*G23)*2^-12,IF('Pin Detect Programming'!C$9='Resistor References'!AF$9,(14826+164*G23)*2^-12,IF('Pin Detect Programming'!C$9='Resistor References'!AF$10,(14941+164*G23)*2^-12,IF('Pin Detect Programming'!C$9='Resistor References'!AF$11,(19861+164*G23)*2^-12,0)))))))))</f>
        <v>0</v>
      </c>
      <c r="AI22">
        <f t="shared" si="8"/>
        <v>19</v>
      </c>
    </row>
    <row r="23" spans="6:39" x14ac:dyDescent="0.15">
      <c r="F23">
        <f t="shared" si="13"/>
        <v>20</v>
      </c>
      <c r="G23">
        <f t="shared" si="13"/>
        <v>19</v>
      </c>
      <c r="H23">
        <f t="shared" si="13"/>
        <v>19</v>
      </c>
      <c r="X23" s="98"/>
      <c r="Z23">
        <f t="shared" si="1"/>
        <v>36</v>
      </c>
      <c r="AA23">
        <f t="shared" si="6"/>
        <v>20</v>
      </c>
      <c r="AH23" s="98">
        <f>IF('Pin Detect Programming'!C$9='Resistor References'!AF$3,(3277+41*'Resistor References'!G24)*2^-12,IF('Pin Detect Programming'!C$9='Resistor References'!AF$4,(2456+41*G24)*2^-12,IF('Pin Detect Programming'!C$9='Resistor References'!AF$5,(3686+41*G24)*2^-12,IF('Pin Detect Programming'!C$9='Resistor References'!AF$6,(4921+82*G24)*2^-12,IF('Pin Detect Programming'!C$9='Resistor References'!AF$7,(7372+82*G24)*2^-12,IF('Pin Detect Programming'!C$9='Resistor References'!AF$8,(9906+164*G24)*2^-12,IF('Pin Detect Programming'!C$9='Resistor References'!AF$9,(14826+164*G24)*2^-12,IF('Pin Detect Programming'!C$9='Resistor References'!AF$10,(14941+164*G24)*2^-12,IF('Pin Detect Programming'!C$9='Resistor References'!AF$11,(19861+164*G24)*2^-12,0)))))))))</f>
        <v>0</v>
      </c>
      <c r="AI23">
        <f t="shared" si="8"/>
        <v>20</v>
      </c>
    </row>
    <row r="24" spans="6:39" x14ac:dyDescent="0.15">
      <c r="F24">
        <f t="shared" si="13"/>
        <v>21</v>
      </c>
      <c r="G24">
        <f t="shared" si="13"/>
        <v>20</v>
      </c>
      <c r="H24">
        <f t="shared" si="13"/>
        <v>20</v>
      </c>
      <c r="X24" s="98"/>
      <c r="Z24">
        <f t="shared" si="1"/>
        <v>37</v>
      </c>
      <c r="AA24">
        <f t="shared" si="6"/>
        <v>21</v>
      </c>
      <c r="AH24" s="98">
        <f>IF('Pin Detect Programming'!C$9='Resistor References'!AF$3,(3277+41*'Resistor References'!G25)*2^-12,IF('Pin Detect Programming'!C$9='Resistor References'!AF$4,(2456+41*G25)*2^-12,IF('Pin Detect Programming'!C$9='Resistor References'!AF$5,(3686+41*G25)*2^-12,IF('Pin Detect Programming'!C$9='Resistor References'!AF$6,(4921+82*G25)*2^-12,IF('Pin Detect Programming'!C$9='Resistor References'!AF$7,(7372+82*G25)*2^-12,IF('Pin Detect Programming'!C$9='Resistor References'!AF$8,(9906+164*G25)*2^-12,IF('Pin Detect Programming'!C$9='Resistor References'!AF$9,(14826+164*G25)*2^-12,IF('Pin Detect Programming'!C$9='Resistor References'!AF$10,(14941+164*G25)*2^-12,IF('Pin Detect Programming'!C$9='Resistor References'!AF$11,(19861+164*G25)*2^-12,0)))))))))</f>
        <v>0</v>
      </c>
      <c r="AI24">
        <f t="shared" si="8"/>
        <v>21</v>
      </c>
    </row>
    <row r="25" spans="6:39" x14ac:dyDescent="0.15">
      <c r="F25">
        <f t="shared" si="13"/>
        <v>22</v>
      </c>
      <c r="G25">
        <f t="shared" si="13"/>
        <v>21</v>
      </c>
      <c r="H25">
        <f t="shared" si="13"/>
        <v>21</v>
      </c>
      <c r="X25" s="98"/>
      <c r="Z25">
        <f t="shared" si="1"/>
        <v>38</v>
      </c>
      <c r="AA25">
        <f t="shared" si="6"/>
        <v>22</v>
      </c>
      <c r="AH25" s="98">
        <f>IF('Pin Detect Programming'!C$9='Resistor References'!AF$3,(3277+41*'Resistor References'!G26)*2^-12,IF('Pin Detect Programming'!C$9='Resistor References'!AF$4,(2456+41*G26)*2^-12,IF('Pin Detect Programming'!C$9='Resistor References'!AF$5,(3686+41*G26)*2^-12,IF('Pin Detect Programming'!C$9='Resistor References'!AF$6,(4921+82*G26)*2^-12,IF('Pin Detect Programming'!C$9='Resistor References'!AF$7,(7372+82*G26)*2^-12,IF('Pin Detect Programming'!C$9='Resistor References'!AF$8,(9906+164*G26)*2^-12,IF('Pin Detect Programming'!C$9='Resistor References'!AF$9,(14826+164*G26)*2^-12,IF('Pin Detect Programming'!C$9='Resistor References'!AF$10,(14941+164*G26)*2^-12,IF('Pin Detect Programming'!C$9='Resistor References'!AF$11,(19861+164*G26)*2^-12,0)))))))))</f>
        <v>0</v>
      </c>
      <c r="AI25">
        <f t="shared" si="8"/>
        <v>22</v>
      </c>
    </row>
    <row r="26" spans="6:39" x14ac:dyDescent="0.15">
      <c r="F26">
        <f t="shared" si="13"/>
        <v>23</v>
      </c>
      <c r="G26">
        <f t="shared" si="13"/>
        <v>22</v>
      </c>
      <c r="H26">
        <f t="shared" si="13"/>
        <v>22</v>
      </c>
      <c r="X26" s="98"/>
      <c r="Z26">
        <f t="shared" si="1"/>
        <v>39</v>
      </c>
      <c r="AA26">
        <f t="shared" si="6"/>
        <v>23</v>
      </c>
      <c r="AH26" s="98">
        <f>IF('Pin Detect Programming'!C$9='Resistor References'!AF$3,(3277+41*'Resistor References'!G27)*2^-12,IF('Pin Detect Programming'!C$9='Resistor References'!AF$4,(2456+41*G27)*2^-12,IF('Pin Detect Programming'!C$9='Resistor References'!AF$5,(3686+41*G27)*2^-12,IF('Pin Detect Programming'!C$9='Resistor References'!AF$6,(4921+82*G27)*2^-12,IF('Pin Detect Programming'!C$9='Resistor References'!AF$7,(7372+82*G27)*2^-12,IF('Pin Detect Programming'!C$9='Resistor References'!AF$8,(9906+164*G27)*2^-12,IF('Pin Detect Programming'!C$9='Resistor References'!AF$9,(14826+164*G27)*2^-12,IF('Pin Detect Programming'!C$9='Resistor References'!AF$10,(14941+164*G27)*2^-12,IF('Pin Detect Programming'!C$9='Resistor References'!AF$11,(19861+164*G27)*2^-12,0)))))))))</f>
        <v>0</v>
      </c>
      <c r="AI26">
        <f t="shared" si="8"/>
        <v>23</v>
      </c>
    </row>
    <row r="27" spans="6:39" x14ac:dyDescent="0.15">
      <c r="F27">
        <f t="shared" si="13"/>
        <v>24</v>
      </c>
      <c r="G27">
        <f t="shared" si="13"/>
        <v>23</v>
      </c>
      <c r="H27">
        <f t="shared" si="13"/>
        <v>23</v>
      </c>
      <c r="X27" s="98"/>
      <c r="Z27">
        <f>BIN2DEC(1001000)</f>
        <v>72</v>
      </c>
      <c r="AA27">
        <f t="shared" si="6"/>
        <v>24</v>
      </c>
      <c r="AH27" s="98">
        <f>IF('Pin Detect Programming'!C$9='Resistor References'!AF$3,(3277+41*'Resistor References'!G28)*2^-12,IF('Pin Detect Programming'!C$9='Resistor References'!AF$4,(2456+41*G28)*2^-12,IF('Pin Detect Programming'!C$9='Resistor References'!AF$5,(3686+41*G28)*2^-12,IF('Pin Detect Programming'!C$9='Resistor References'!AF$6,(4921+82*G28)*2^-12,IF('Pin Detect Programming'!C$9='Resistor References'!AF$7,(7372+82*G28)*2^-12,IF('Pin Detect Programming'!C$9='Resistor References'!AF$8,(9906+164*G28)*2^-12,IF('Pin Detect Programming'!C$9='Resistor References'!AF$9,(14826+164*G28)*2^-12,IF('Pin Detect Programming'!C$9='Resistor References'!AF$10,(14941+164*G28)*2^-12,IF('Pin Detect Programming'!C$9='Resistor References'!AF$11,(19861+164*G28)*2^-12,0)))))))))</f>
        <v>0</v>
      </c>
      <c r="AI27">
        <f t="shared" si="8"/>
        <v>24</v>
      </c>
    </row>
    <row r="28" spans="6:39" x14ac:dyDescent="0.15">
      <c r="F28">
        <f t="shared" si="13"/>
        <v>25</v>
      </c>
      <c r="G28">
        <f t="shared" si="13"/>
        <v>24</v>
      </c>
      <c r="H28">
        <f t="shared" si="13"/>
        <v>24</v>
      </c>
      <c r="X28" s="98"/>
      <c r="Z28">
        <f t="shared" si="1"/>
        <v>41</v>
      </c>
      <c r="AA28">
        <f t="shared" si="6"/>
        <v>25</v>
      </c>
      <c r="AH28" s="98">
        <f>IF('Pin Detect Programming'!C$9='Resistor References'!AF$3,(3277+41*'Resistor References'!G29)*2^-12,IF('Pin Detect Programming'!C$9='Resistor References'!AF$4,(2456+41*G29)*2^-12,IF('Pin Detect Programming'!C$9='Resistor References'!AF$5,(3686+41*G29)*2^-12,IF('Pin Detect Programming'!C$9='Resistor References'!AF$6,(4921+82*G29)*2^-12,IF('Pin Detect Programming'!C$9='Resistor References'!AF$7,(7372+82*G29)*2^-12,IF('Pin Detect Programming'!C$9='Resistor References'!AF$8,(9906+164*G29)*2^-12,IF('Pin Detect Programming'!C$9='Resistor References'!AF$9,(14826+164*G29)*2^-12,IF('Pin Detect Programming'!C$9='Resistor References'!AF$10,(14941+164*G29)*2^-12,IF('Pin Detect Programming'!C$9='Resistor References'!AF$11,(19861+164*G29)*2^-12,0)))))))))</f>
        <v>0</v>
      </c>
      <c r="AI28">
        <f t="shared" si="8"/>
        <v>25</v>
      </c>
    </row>
    <row r="29" spans="6:39" x14ac:dyDescent="0.15">
      <c r="F29">
        <f t="shared" si="13"/>
        <v>26</v>
      </c>
      <c r="G29">
        <f t="shared" si="13"/>
        <v>25</v>
      </c>
      <c r="H29">
        <f t="shared" si="13"/>
        <v>25</v>
      </c>
      <c r="X29" s="98"/>
      <c r="Z29">
        <f t="shared" si="1"/>
        <v>42</v>
      </c>
      <c r="AA29">
        <f t="shared" si="6"/>
        <v>26</v>
      </c>
      <c r="AH29" s="98">
        <f>IF('Pin Detect Programming'!C$9='Resistor References'!AF$3,(3277+41*'Resistor References'!G30)*2^-12,IF('Pin Detect Programming'!C$9='Resistor References'!AF$4,(2456+41*G30)*2^-12,IF('Pin Detect Programming'!C$9='Resistor References'!AF$5,(3686+41*G30)*2^-12,IF('Pin Detect Programming'!C$9='Resistor References'!AF$6,(4921+82*G30)*2^-12,IF('Pin Detect Programming'!C$9='Resistor References'!AF$7,(7372+82*G30)*2^-12,IF('Pin Detect Programming'!C$9='Resistor References'!AF$8,(9906+164*G30)*2^-12,IF('Pin Detect Programming'!C$9='Resistor References'!AF$9,(14826+164*G30)*2^-12,IF('Pin Detect Programming'!C$9='Resistor References'!AF$10,(14941+164*G30)*2^-12,IF('Pin Detect Programming'!C$9='Resistor References'!AF$11,(19861+164*G30)*2^-12,0)))))))))</f>
        <v>0</v>
      </c>
      <c r="AI29">
        <f t="shared" si="8"/>
        <v>26</v>
      </c>
    </row>
    <row r="30" spans="6:39" x14ac:dyDescent="0.15">
      <c r="F30">
        <f t="shared" si="13"/>
        <v>27</v>
      </c>
      <c r="G30">
        <f t="shared" si="13"/>
        <v>26</v>
      </c>
      <c r="H30">
        <f t="shared" si="13"/>
        <v>26</v>
      </c>
      <c r="X30" s="98"/>
      <c r="Z30">
        <f t="shared" si="1"/>
        <v>43</v>
      </c>
      <c r="AA30">
        <f t="shared" si="6"/>
        <v>27</v>
      </c>
      <c r="AH30" s="98">
        <f>IF('Pin Detect Programming'!C$9='Resistor References'!AF$3,(3277+41*'Resistor References'!G31)*2^-12,IF('Pin Detect Programming'!C$9='Resistor References'!AF$4,(2456+41*G31)*2^-12,IF('Pin Detect Programming'!C$9='Resistor References'!AF$5,(3686+41*G31)*2^-12,IF('Pin Detect Programming'!C$9='Resistor References'!AF$6,(4921+82*G31)*2^-12,IF('Pin Detect Programming'!C$9='Resistor References'!AF$7,(7372+82*G31)*2^-12,IF('Pin Detect Programming'!C$9='Resistor References'!AF$8,(9906+164*G31)*2^-12,IF('Pin Detect Programming'!C$9='Resistor References'!AF$9,(14826+164*G31)*2^-12,IF('Pin Detect Programming'!C$9='Resistor References'!AF$10,(14941+164*G31)*2^-12,IF('Pin Detect Programming'!C$9='Resistor References'!AF$11,(19861+164*G31)*2^-12,0)))))))))</f>
        <v>0</v>
      </c>
      <c r="AI30">
        <f t="shared" si="8"/>
        <v>27</v>
      </c>
    </row>
    <row r="31" spans="6:39" x14ac:dyDescent="0.15">
      <c r="F31">
        <f t="shared" si="13"/>
        <v>28</v>
      </c>
      <c r="G31">
        <f t="shared" si="13"/>
        <v>27</v>
      </c>
      <c r="H31">
        <f t="shared" si="13"/>
        <v>27</v>
      </c>
      <c r="X31" s="98"/>
      <c r="Z31">
        <f t="shared" si="1"/>
        <v>44</v>
      </c>
      <c r="AA31">
        <f t="shared" si="6"/>
        <v>28</v>
      </c>
      <c r="AH31" s="98">
        <f>IF('Pin Detect Programming'!C$9='Resistor References'!AF$3,(3277+41*'Resistor References'!G32)*2^-12,IF('Pin Detect Programming'!C$9='Resistor References'!AF$4,(2456+41*G32)*2^-12,IF('Pin Detect Programming'!C$9='Resistor References'!AF$5,(3686+41*G32)*2^-12,IF('Pin Detect Programming'!C$9='Resistor References'!AF$6,(4921+82*G32)*2^-12,IF('Pin Detect Programming'!C$9='Resistor References'!AF$7,(7372+82*G32)*2^-12,IF('Pin Detect Programming'!C$9='Resistor References'!AF$8,(9906+164*G32)*2^-12,IF('Pin Detect Programming'!C$9='Resistor References'!AF$9,(14826+164*G32)*2^-12,IF('Pin Detect Programming'!C$9='Resistor References'!AF$10,(14941+164*G32)*2^-12,IF('Pin Detect Programming'!C$9='Resistor References'!AF$11,(19861+164*G32)*2^-12,0)))))))))</f>
        <v>0</v>
      </c>
      <c r="AI31">
        <f t="shared" si="8"/>
        <v>28</v>
      </c>
    </row>
    <row r="32" spans="6:39" x14ac:dyDescent="0.15">
      <c r="F32">
        <f t="shared" si="13"/>
        <v>29</v>
      </c>
      <c r="G32">
        <f t="shared" si="13"/>
        <v>28</v>
      </c>
      <c r="H32">
        <f t="shared" si="13"/>
        <v>28</v>
      </c>
      <c r="X32" s="98"/>
      <c r="Z32">
        <f t="shared" si="1"/>
        <v>45</v>
      </c>
      <c r="AA32">
        <f t="shared" si="6"/>
        <v>29</v>
      </c>
      <c r="AH32" s="98">
        <f>IF('Pin Detect Programming'!C$9='Resistor References'!AF$3,(3277+41*'Resistor References'!G33)*2^-12,IF('Pin Detect Programming'!C$9='Resistor References'!AF$4,(2456+41*G33)*2^-12,IF('Pin Detect Programming'!C$9='Resistor References'!AF$5,(3686+41*G33)*2^-12,IF('Pin Detect Programming'!C$9='Resistor References'!AF$6,(4921+82*G33)*2^-12,IF('Pin Detect Programming'!C$9='Resistor References'!AF$7,(7372+82*G33)*2^-12,IF('Pin Detect Programming'!C$9='Resistor References'!AF$8,(9906+164*G33)*2^-12,IF('Pin Detect Programming'!C$9='Resistor References'!AF$9,(14826+164*G33)*2^-12,IF('Pin Detect Programming'!C$9='Resistor References'!AF$10,(14941+164*G33)*2^-12,IF('Pin Detect Programming'!C$9='Resistor References'!AF$11,(19861+164*G33)*2^-12,0)))))))))</f>
        <v>0</v>
      </c>
      <c r="AI32">
        <f t="shared" si="8"/>
        <v>29</v>
      </c>
    </row>
    <row r="33" spans="6:24" x14ac:dyDescent="0.15">
      <c r="F33">
        <f t="shared" si="13"/>
        <v>30</v>
      </c>
      <c r="G33">
        <f t="shared" si="13"/>
        <v>29</v>
      </c>
      <c r="H33">
        <f t="shared" si="13"/>
        <v>29</v>
      </c>
      <c r="X33" s="98"/>
    </row>
    <row r="34" spans="6:24" x14ac:dyDescent="0.15">
      <c r="G34">
        <f t="shared" si="13"/>
        <v>30</v>
      </c>
      <c r="H34">
        <f t="shared" si="13"/>
        <v>30</v>
      </c>
      <c r="X34" s="98"/>
    </row>
    <row r="35" spans="6:24" x14ac:dyDescent="0.15">
      <c r="G35">
        <f t="shared" si="13"/>
        <v>31</v>
      </c>
      <c r="H35">
        <f t="shared" si="13"/>
        <v>31</v>
      </c>
      <c r="X35" s="98"/>
    </row>
    <row r="36" spans="6:24" x14ac:dyDescent="0.15">
      <c r="X36" s="98"/>
    </row>
    <row r="37" spans="6:24" x14ac:dyDescent="0.15">
      <c r="X37" s="98"/>
    </row>
    <row r="38" spans="6:24" x14ac:dyDescent="0.15">
      <c r="X38" s="98"/>
    </row>
    <row r="39" spans="6:24" x14ac:dyDescent="0.15">
      <c r="X39" s="98"/>
    </row>
    <row r="40" spans="6:24" x14ac:dyDescent="0.15">
      <c r="X40" s="98"/>
    </row>
    <row r="41" spans="6:24" x14ac:dyDescent="0.15">
      <c r="X41" s="98"/>
    </row>
    <row r="42" spans="6:24" x14ac:dyDescent="0.15">
      <c r="X42" s="98"/>
    </row>
    <row r="43" spans="6:24" x14ac:dyDescent="0.15">
      <c r="X43" s="98"/>
    </row>
    <row r="44" spans="6:24" x14ac:dyDescent="0.15">
      <c r="X44" s="98"/>
    </row>
    <row r="45" spans="6:24" x14ac:dyDescent="0.15">
      <c r="X45" s="98"/>
    </row>
    <row r="46" spans="6:24" x14ac:dyDescent="0.15">
      <c r="X46" s="98"/>
    </row>
    <row r="47" spans="6:24" x14ac:dyDescent="0.15">
      <c r="X47" s="98"/>
    </row>
    <row r="48" spans="6:24" x14ac:dyDescent="0.15">
      <c r="X48" s="98"/>
    </row>
    <row r="49" spans="24:24" x14ac:dyDescent="0.15">
      <c r="X49" s="98"/>
    </row>
    <row r="50" spans="24:24" x14ac:dyDescent="0.15">
      <c r="X50" s="98"/>
    </row>
    <row r="51" spans="24:24" x14ac:dyDescent="0.15">
      <c r="X51" s="98"/>
    </row>
    <row r="52" spans="24:24" x14ac:dyDescent="0.15">
      <c r="X52" s="98"/>
    </row>
    <row r="53" spans="24:24" x14ac:dyDescent="0.15">
      <c r="X53" s="98"/>
    </row>
    <row r="54" spans="24:24" x14ac:dyDescent="0.15">
      <c r="X54" s="98"/>
    </row>
    <row r="55" spans="24:24" x14ac:dyDescent="0.15">
      <c r="X55" s="98"/>
    </row>
    <row r="56" spans="24:24" x14ac:dyDescent="0.15">
      <c r="X56" s="98"/>
    </row>
    <row r="57" spans="24:24" x14ac:dyDescent="0.15">
      <c r="X57" s="98"/>
    </row>
    <row r="58" spans="24:24" x14ac:dyDescent="0.15">
      <c r="X58" s="98"/>
    </row>
    <row r="59" spans="24:24" x14ac:dyDescent="0.15">
      <c r="X59" s="98"/>
    </row>
    <row r="60" spans="24:24" x14ac:dyDescent="0.15">
      <c r="X60" s="98"/>
    </row>
    <row r="61" spans="24:24" x14ac:dyDescent="0.15">
      <c r="X61" s="98"/>
    </row>
    <row r="62" spans="24:24" x14ac:dyDescent="0.15">
      <c r="X62" s="98"/>
    </row>
    <row r="63" spans="24:24" x14ac:dyDescent="0.15">
      <c r="X63" s="98"/>
    </row>
    <row r="64" spans="24:24" x14ac:dyDescent="0.15">
      <c r="X64" s="98"/>
    </row>
    <row r="65" spans="20:24" x14ac:dyDescent="0.15">
      <c r="X65" s="98"/>
    </row>
    <row r="66" spans="20:24" x14ac:dyDescent="0.15">
      <c r="T66">
        <v>1.18</v>
      </c>
      <c r="X66" s="98"/>
    </row>
  </sheetData>
  <sheetProtection sheet="1" objects="1" scenarios="1"/>
  <phoneticPr fontId="11"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36"/>
  <sheetViews>
    <sheetView workbookViewId="0">
      <selection activeCell="C16" sqref="C16"/>
    </sheetView>
  </sheetViews>
  <sheetFormatPr defaultRowHeight="13.5" x14ac:dyDescent="0.15"/>
  <sheetData>
    <row r="1" spans="1:43" x14ac:dyDescent="0.15">
      <c r="A1" s="122"/>
      <c r="B1" s="191" t="s">
        <v>349</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row>
    <row r="2" spans="1:43" x14ac:dyDescent="0.15">
      <c r="A2" s="122"/>
      <c r="B2" s="122" t="s">
        <v>274</v>
      </c>
      <c r="C2" s="122">
        <v>0</v>
      </c>
      <c r="D2" s="122">
        <v>1</v>
      </c>
      <c r="E2" s="122">
        <v>2</v>
      </c>
      <c r="F2" s="122">
        <v>3</v>
      </c>
      <c r="G2" s="122">
        <v>4</v>
      </c>
      <c r="H2" s="122">
        <v>5</v>
      </c>
      <c r="I2" s="122">
        <v>6</v>
      </c>
      <c r="J2" s="122">
        <v>7</v>
      </c>
      <c r="K2" s="122">
        <v>8</v>
      </c>
      <c r="L2" s="122">
        <v>9</v>
      </c>
      <c r="M2" s="122">
        <v>10</v>
      </c>
      <c r="N2" s="122">
        <v>11</v>
      </c>
      <c r="O2" s="122">
        <v>12</v>
      </c>
      <c r="P2" s="122">
        <v>13</v>
      </c>
      <c r="Q2" s="122">
        <v>14</v>
      </c>
      <c r="R2" s="122">
        <v>15</v>
      </c>
      <c r="S2" s="122">
        <v>16</v>
      </c>
      <c r="T2" s="122">
        <v>17</v>
      </c>
      <c r="U2" s="122">
        <v>18</v>
      </c>
      <c r="V2" s="122">
        <v>19</v>
      </c>
      <c r="W2" s="122">
        <v>20</v>
      </c>
      <c r="X2" s="122">
        <v>21</v>
      </c>
      <c r="Y2" s="122">
        <v>22</v>
      </c>
      <c r="Z2" s="122">
        <v>23</v>
      </c>
      <c r="AA2" s="122">
        <v>24</v>
      </c>
      <c r="AB2" s="122">
        <v>25</v>
      </c>
      <c r="AC2" s="122">
        <v>26</v>
      </c>
      <c r="AD2" s="122">
        <v>27</v>
      </c>
      <c r="AE2" s="122">
        <v>28</v>
      </c>
      <c r="AF2" s="122">
        <v>29</v>
      </c>
      <c r="AG2" s="122">
        <v>30</v>
      </c>
      <c r="AH2" s="122">
        <v>31</v>
      </c>
      <c r="AM2" t="s">
        <v>234</v>
      </c>
      <c r="AN2" t="s">
        <v>235</v>
      </c>
      <c r="AO2" t="s">
        <v>242</v>
      </c>
      <c r="AP2" t="s">
        <v>248</v>
      </c>
      <c r="AQ2" t="s">
        <v>14</v>
      </c>
    </row>
    <row r="3" spans="1:43" x14ac:dyDescent="0.15">
      <c r="A3" s="122"/>
      <c r="B3" s="122" t="s">
        <v>14</v>
      </c>
      <c r="C3" s="122">
        <v>4420</v>
      </c>
      <c r="D3" s="122">
        <v>4870</v>
      </c>
      <c r="E3" s="122">
        <v>5360</v>
      </c>
      <c r="F3" s="122">
        <v>5900</v>
      </c>
      <c r="G3" s="122">
        <v>6490</v>
      </c>
      <c r="H3" s="122">
        <v>7150</v>
      </c>
      <c r="I3" s="122">
        <v>7870</v>
      </c>
      <c r="J3" s="122">
        <v>8660</v>
      </c>
      <c r="K3" s="122">
        <v>9530</v>
      </c>
      <c r="L3" s="122">
        <v>10500</v>
      </c>
      <c r="M3" s="122">
        <v>11500</v>
      </c>
      <c r="N3" s="122">
        <v>12700</v>
      </c>
      <c r="O3" s="122">
        <v>14000</v>
      </c>
      <c r="P3" s="122">
        <v>15400</v>
      </c>
      <c r="Q3" s="122">
        <v>16900</v>
      </c>
      <c r="R3" s="122">
        <v>18700</v>
      </c>
      <c r="S3" s="122">
        <v>20500</v>
      </c>
      <c r="T3" s="122">
        <v>22600</v>
      </c>
      <c r="U3" s="122">
        <v>24900</v>
      </c>
      <c r="V3" s="122">
        <v>27400</v>
      </c>
      <c r="W3" s="122">
        <v>30100</v>
      </c>
      <c r="X3" s="122">
        <v>33200</v>
      </c>
      <c r="Y3" s="122">
        <v>36500</v>
      </c>
      <c r="Z3" s="122">
        <v>40200</v>
      </c>
      <c r="AA3" s="122">
        <v>44200</v>
      </c>
      <c r="AB3" s="122">
        <v>48700</v>
      </c>
      <c r="AC3" s="122">
        <v>53600</v>
      </c>
      <c r="AD3" s="122">
        <v>59000</v>
      </c>
      <c r="AE3" s="122">
        <v>64900</v>
      </c>
      <c r="AF3" s="122">
        <v>71500</v>
      </c>
      <c r="AG3" s="122">
        <v>78700</v>
      </c>
      <c r="AH3" s="122">
        <v>86600</v>
      </c>
      <c r="AJ3" t="s">
        <v>230</v>
      </c>
      <c r="AL3">
        <v>0</v>
      </c>
      <c r="AM3" t="s">
        <v>268</v>
      </c>
      <c r="AN3" t="s">
        <v>268</v>
      </c>
      <c r="AO3" t="s">
        <v>268</v>
      </c>
      <c r="AP3" t="s">
        <v>268</v>
      </c>
      <c r="AQ3" t="str">
        <f>AJ3</f>
        <v>SHORT</v>
      </c>
    </row>
    <row r="4" spans="1:43" x14ac:dyDescent="0.15">
      <c r="A4" s="122" t="s">
        <v>275</v>
      </c>
      <c r="B4" s="122">
        <v>0</v>
      </c>
      <c r="C4" s="122">
        <v>18700</v>
      </c>
      <c r="D4" s="122">
        <v>20500</v>
      </c>
      <c r="E4" s="122">
        <v>22600</v>
      </c>
      <c r="F4" s="122">
        <v>24900</v>
      </c>
      <c r="G4" s="122">
        <v>27400</v>
      </c>
      <c r="H4" s="122">
        <v>30100</v>
      </c>
      <c r="I4" s="122">
        <v>33200</v>
      </c>
      <c r="J4" s="122">
        <v>36500</v>
      </c>
      <c r="K4" s="122">
        <v>40200</v>
      </c>
      <c r="L4" s="122">
        <v>44200</v>
      </c>
      <c r="M4" s="122">
        <v>48700</v>
      </c>
      <c r="N4" s="122">
        <v>53600</v>
      </c>
      <c r="O4" s="122">
        <v>59000</v>
      </c>
      <c r="P4" s="122">
        <v>64900</v>
      </c>
      <c r="Q4" s="122">
        <v>71500</v>
      </c>
      <c r="R4" s="122">
        <v>78700</v>
      </c>
      <c r="S4" s="122">
        <v>86600</v>
      </c>
      <c r="T4" s="122">
        <v>95300</v>
      </c>
      <c r="U4" s="122">
        <v>105000</v>
      </c>
      <c r="V4" s="122">
        <v>115000</v>
      </c>
      <c r="W4" s="122">
        <v>127000</v>
      </c>
      <c r="X4" s="122">
        <v>140000</v>
      </c>
      <c r="Y4" s="122">
        <v>154000</v>
      </c>
      <c r="Z4" s="122">
        <v>169000</v>
      </c>
      <c r="AA4" s="122">
        <v>187000</v>
      </c>
      <c r="AB4" s="122">
        <v>205000</v>
      </c>
      <c r="AC4" s="122">
        <v>226000</v>
      </c>
      <c r="AD4" s="122">
        <v>249000</v>
      </c>
      <c r="AE4" s="122">
        <v>274000</v>
      </c>
      <c r="AF4" s="122">
        <v>301000</v>
      </c>
      <c r="AG4" s="122">
        <v>332000</v>
      </c>
      <c r="AH4" s="122">
        <v>365000</v>
      </c>
      <c r="AJ4" t="s">
        <v>231</v>
      </c>
      <c r="AL4" t="s">
        <v>268</v>
      </c>
      <c r="AM4" t="s">
        <v>268</v>
      </c>
      <c r="AN4" t="s">
        <v>268</v>
      </c>
      <c r="AO4" t="s">
        <v>268</v>
      </c>
      <c r="AP4" t="s">
        <v>268</v>
      </c>
      <c r="AQ4" t="str">
        <f t="shared" ref="AQ4:AQ36" si="0">AJ4</f>
        <v>FLOAT</v>
      </c>
    </row>
    <row r="5" spans="1:43" x14ac:dyDescent="0.15">
      <c r="A5" s="122"/>
      <c r="B5" s="122">
        <v>1</v>
      </c>
      <c r="C5" s="122">
        <v>9530</v>
      </c>
      <c r="D5" s="122">
        <v>10500</v>
      </c>
      <c r="E5" s="122">
        <v>11500</v>
      </c>
      <c r="F5" s="122">
        <v>12700</v>
      </c>
      <c r="G5" s="122">
        <v>14000</v>
      </c>
      <c r="H5" s="122">
        <v>15400</v>
      </c>
      <c r="I5" s="122">
        <v>16900</v>
      </c>
      <c r="J5" s="122">
        <v>18700</v>
      </c>
      <c r="K5" s="122">
        <v>20500</v>
      </c>
      <c r="L5" s="122">
        <v>22600</v>
      </c>
      <c r="M5" s="122">
        <v>24900</v>
      </c>
      <c r="N5" s="122">
        <v>27400</v>
      </c>
      <c r="O5" s="122">
        <v>30100</v>
      </c>
      <c r="P5" s="122">
        <v>33200</v>
      </c>
      <c r="Q5" s="122">
        <v>36500</v>
      </c>
      <c r="R5" s="122">
        <v>40200</v>
      </c>
      <c r="S5" s="122">
        <v>44200</v>
      </c>
      <c r="T5" s="122">
        <v>48700</v>
      </c>
      <c r="U5" s="122">
        <v>53600</v>
      </c>
      <c r="V5" s="122">
        <v>59000</v>
      </c>
      <c r="W5" s="122">
        <v>64900</v>
      </c>
      <c r="X5" s="122">
        <v>71500</v>
      </c>
      <c r="Y5" s="122">
        <v>78700</v>
      </c>
      <c r="Z5" s="122">
        <v>86600</v>
      </c>
      <c r="AA5" s="122">
        <v>95300</v>
      </c>
      <c r="AB5" s="122">
        <v>105000</v>
      </c>
      <c r="AC5" s="122">
        <v>115000</v>
      </c>
      <c r="AD5" s="122">
        <v>127000</v>
      </c>
      <c r="AE5" s="122">
        <v>140000</v>
      </c>
      <c r="AF5" s="122">
        <v>154000</v>
      </c>
      <c r="AG5" s="122">
        <v>169000</v>
      </c>
      <c r="AH5" s="122">
        <v>187000</v>
      </c>
      <c r="AJ5">
        <v>0</v>
      </c>
      <c r="AK5">
        <f>HLOOKUP(AJ5,C$2:AH$11,2,FALSE)</f>
        <v>4420</v>
      </c>
      <c r="AL5">
        <f>HLOOKUP(AJ5,C$13:R$14,2,FALSE)</f>
        <v>4640</v>
      </c>
      <c r="AM5" t="str">
        <f>IF(OR('Pinstrap Reverse Lookup'!C$3=AL$3,'Pinstrap Reverse Lookup'!C$3='Resistor Selection'!AL$4),'Resistor Selection'!$AL$4,VLOOKUP('Resistor Selection'!AJ5,'Resistor Selection'!B$15:R$30,'Pinstrap Reverse Lookup'!E$3+2,FALSE))</f>
        <v>Open</v>
      </c>
      <c r="AN5">
        <f>IF(OR('Pinstrap Reverse Lookup'!C$4=AL$3,'Pinstrap Reverse Lookup'!C$4='Resistor Selection'!AL$4),'Resistor Selection'!$AL$4,VLOOKUP('Resistor Selection'!AJ5,'Resistor Selection'!B$15:R$30,'Pinstrap Reverse Lookup'!E$4+2,FALSE))</f>
        <v>56200</v>
      </c>
      <c r="AO5">
        <f>IF(OR('Pinstrap Reverse Lookup'!C$5=AL$3,'Pinstrap Reverse Lookup'!C$5='Resistor Selection'!AL$4),'Resistor Selection'!$AL$4,VLOOKUP('Resistor Selection'!AJ5,'Resistor Selection'!B$15:R$30,'Pinstrap Reverse Lookup'!E$5+2,FALSE))</f>
        <v>21500</v>
      </c>
      <c r="AP5">
        <f>IF(OR('Pinstrap Reverse Lookup'!C$6=AL$3,'Pinstrap Reverse Lookup'!C$6='Resistor Selection'!AL$4),'Resistor Selection'!$AL$4,VLOOKUP('Resistor Selection'!AJ5,'Resistor Selection'!B$15:R$30,'Pinstrap Reverse Lookup'!E$6+2,FALSE))</f>
        <v>26100</v>
      </c>
      <c r="AQ5">
        <f t="shared" si="0"/>
        <v>0</v>
      </c>
    </row>
    <row r="6" spans="1:43" x14ac:dyDescent="0.15">
      <c r="A6" s="122"/>
      <c r="B6" s="122">
        <v>2</v>
      </c>
      <c r="C6" s="122">
        <v>6190</v>
      </c>
      <c r="D6" s="122">
        <v>6810</v>
      </c>
      <c r="E6" s="122">
        <v>7500</v>
      </c>
      <c r="F6" s="122">
        <v>8250</v>
      </c>
      <c r="G6" s="122">
        <v>9090</v>
      </c>
      <c r="H6" s="122">
        <v>10000</v>
      </c>
      <c r="I6" s="122">
        <v>11000</v>
      </c>
      <c r="J6" s="122">
        <v>12100</v>
      </c>
      <c r="K6" s="122">
        <v>13300</v>
      </c>
      <c r="L6" s="122">
        <v>14700</v>
      </c>
      <c r="M6" s="122">
        <v>15400</v>
      </c>
      <c r="N6" s="122">
        <v>17800</v>
      </c>
      <c r="O6" s="122">
        <v>19600</v>
      </c>
      <c r="P6" s="122">
        <v>21500</v>
      </c>
      <c r="Q6" s="122">
        <v>22600</v>
      </c>
      <c r="R6" s="122">
        <v>26100</v>
      </c>
      <c r="S6" s="122">
        <v>28700</v>
      </c>
      <c r="T6" s="122">
        <v>31600</v>
      </c>
      <c r="U6" s="122">
        <v>34800</v>
      </c>
      <c r="V6" s="122">
        <v>38300</v>
      </c>
      <c r="W6" s="122">
        <v>42200</v>
      </c>
      <c r="X6" s="122">
        <v>46400</v>
      </c>
      <c r="Y6" s="122">
        <v>51100</v>
      </c>
      <c r="Z6" s="122">
        <v>56200</v>
      </c>
      <c r="AA6" s="122">
        <v>61900</v>
      </c>
      <c r="AB6" s="122">
        <v>68100</v>
      </c>
      <c r="AC6" s="122">
        <v>75000</v>
      </c>
      <c r="AD6" s="122">
        <v>82500</v>
      </c>
      <c r="AE6" s="122">
        <v>90900</v>
      </c>
      <c r="AF6" s="122">
        <v>100000</v>
      </c>
      <c r="AG6" s="122">
        <v>110000</v>
      </c>
      <c r="AH6" s="122">
        <v>121000</v>
      </c>
      <c r="AJ6">
        <f>AJ5+1</f>
        <v>1</v>
      </c>
      <c r="AK6">
        <f t="shared" ref="AK6:AK36" si="1">HLOOKUP(AJ6,C$2:AH$11,2,FALSE)</f>
        <v>4870</v>
      </c>
      <c r="AL6">
        <f t="shared" ref="AL6:AL20" si="2">HLOOKUP(AJ6,C$13:R$14,2,FALSE)</f>
        <v>5620</v>
      </c>
      <c r="AM6" t="str">
        <f>IF(OR('Pinstrap Reverse Lookup'!C$3=AL$3,'Pinstrap Reverse Lookup'!C$3='Resistor Selection'!AL$4),'Resistor Selection'!$AL$4,VLOOKUP('Resistor Selection'!AJ6,'Resistor Selection'!B$15:R$30,'Pinstrap Reverse Lookup'!E$3+2,FALSE))</f>
        <v>Open</v>
      </c>
      <c r="AN6">
        <f>IF(OR('Pinstrap Reverse Lookup'!C$4=AL$3,'Pinstrap Reverse Lookup'!C$4='Resistor Selection'!AL$4),'Resistor Selection'!$AL$4,VLOOKUP('Resistor Selection'!AJ6,'Resistor Selection'!B$15:R$30,'Pinstrap Reverse Lookup'!E$4+2,FALSE))</f>
        <v>40200</v>
      </c>
      <c r="AO6">
        <f>IF(OR('Pinstrap Reverse Lookup'!C$5=AL$3,'Pinstrap Reverse Lookup'!C$5='Resistor Selection'!AL$4),'Resistor Selection'!$AL$4,VLOOKUP('Resistor Selection'!AJ6,'Resistor Selection'!B$15:R$30,'Pinstrap Reverse Lookup'!E$5+2,FALSE))</f>
        <v>15400</v>
      </c>
      <c r="AP6">
        <f>IF(OR('Pinstrap Reverse Lookup'!C$6=AL$3,'Pinstrap Reverse Lookup'!C$6='Resistor Selection'!AL$4),'Resistor Selection'!$AL$4,VLOOKUP('Resistor Selection'!AJ6,'Resistor Selection'!B$15:R$30,'Pinstrap Reverse Lookup'!E$6+2,FALSE))</f>
        <v>18700</v>
      </c>
      <c r="AQ6">
        <f t="shared" si="0"/>
        <v>1</v>
      </c>
    </row>
    <row r="7" spans="1:43" x14ac:dyDescent="0.15">
      <c r="A7" s="122"/>
      <c r="B7" s="122">
        <v>3</v>
      </c>
      <c r="C7" s="122">
        <v>4020</v>
      </c>
      <c r="D7" s="122">
        <v>4420</v>
      </c>
      <c r="E7" s="122">
        <v>4870</v>
      </c>
      <c r="F7" s="122">
        <v>5360</v>
      </c>
      <c r="G7" s="122">
        <v>5900</v>
      </c>
      <c r="H7" s="122">
        <v>6490</v>
      </c>
      <c r="I7" s="122">
        <v>7150</v>
      </c>
      <c r="J7" s="122">
        <v>7870</v>
      </c>
      <c r="K7" s="122">
        <v>8660</v>
      </c>
      <c r="L7" s="122">
        <v>9530</v>
      </c>
      <c r="M7" s="122">
        <v>10500</v>
      </c>
      <c r="N7" s="122">
        <v>11500</v>
      </c>
      <c r="O7" s="122">
        <v>12700</v>
      </c>
      <c r="P7" s="122">
        <v>14000</v>
      </c>
      <c r="Q7" s="122">
        <v>15400</v>
      </c>
      <c r="R7" s="122">
        <v>16900</v>
      </c>
      <c r="S7" s="122">
        <v>18700</v>
      </c>
      <c r="T7" s="122">
        <v>20500</v>
      </c>
      <c r="U7" s="122">
        <v>22600</v>
      </c>
      <c r="V7" s="122">
        <v>24900</v>
      </c>
      <c r="W7" s="122">
        <v>27400</v>
      </c>
      <c r="X7" s="122">
        <v>30100</v>
      </c>
      <c r="Y7" s="122">
        <v>33200</v>
      </c>
      <c r="Z7" s="122">
        <v>36500</v>
      </c>
      <c r="AA7" s="122">
        <v>40200</v>
      </c>
      <c r="AB7" s="122">
        <v>44200</v>
      </c>
      <c r="AC7" s="122">
        <v>48700</v>
      </c>
      <c r="AD7" s="122">
        <v>53600</v>
      </c>
      <c r="AE7" s="122">
        <v>59000</v>
      </c>
      <c r="AF7" s="122">
        <v>64900</v>
      </c>
      <c r="AG7" s="122">
        <v>71500</v>
      </c>
      <c r="AH7" s="122">
        <v>78700</v>
      </c>
      <c r="AJ7">
        <f t="shared" ref="AJ7:AJ36" si="3">AJ6+1</f>
        <v>2</v>
      </c>
      <c r="AK7">
        <f t="shared" si="1"/>
        <v>5360</v>
      </c>
      <c r="AL7">
        <f t="shared" si="2"/>
        <v>6810</v>
      </c>
      <c r="AM7" t="str">
        <f>IF(OR('Pinstrap Reverse Lookup'!C$3=AL$3,'Pinstrap Reverse Lookup'!C$3='Resistor Selection'!AL$4),'Resistor Selection'!$AL$4,VLOOKUP('Resistor Selection'!AJ7,'Resistor Selection'!B$15:R$30,'Pinstrap Reverse Lookup'!E$3+2,FALSE))</f>
        <v>Open</v>
      </c>
      <c r="AN7">
        <f>IF(OR('Pinstrap Reverse Lookup'!C$4=AL$3,'Pinstrap Reverse Lookup'!C$4='Resistor Selection'!AL$4),'Resistor Selection'!$AL$4,VLOOKUP('Resistor Selection'!AJ7,'Resistor Selection'!B$15:R$30,'Pinstrap Reverse Lookup'!E$4+2,FALSE))</f>
        <v>30100</v>
      </c>
      <c r="AO7">
        <f>IF(OR('Pinstrap Reverse Lookup'!C$5=AL$3,'Pinstrap Reverse Lookup'!C$5='Resistor Selection'!AL$4),'Resistor Selection'!$AL$4,VLOOKUP('Resistor Selection'!AJ7,'Resistor Selection'!B$15:R$30,'Pinstrap Reverse Lookup'!E$5+2,FALSE))</f>
        <v>11500</v>
      </c>
      <c r="AP7">
        <f>IF(OR('Pinstrap Reverse Lookup'!C$6=AL$3,'Pinstrap Reverse Lookup'!C$6='Resistor Selection'!AL$4),'Resistor Selection'!$AL$4,VLOOKUP('Resistor Selection'!AJ7,'Resistor Selection'!B$15:R$30,'Pinstrap Reverse Lookup'!E$6+2,FALSE))</f>
        <v>14000</v>
      </c>
      <c r="AQ7">
        <f t="shared" si="0"/>
        <v>2</v>
      </c>
    </row>
    <row r="8" spans="1:43" x14ac:dyDescent="0.15">
      <c r="A8" s="122"/>
      <c r="B8" s="122">
        <v>4</v>
      </c>
      <c r="C8" s="122">
        <v>2740</v>
      </c>
      <c r="D8" s="122">
        <v>3010</v>
      </c>
      <c r="E8" s="122">
        <v>3320</v>
      </c>
      <c r="F8" s="122">
        <v>3650</v>
      </c>
      <c r="G8" s="122">
        <v>4020</v>
      </c>
      <c r="H8" s="122">
        <v>4420</v>
      </c>
      <c r="I8" s="122">
        <v>4870</v>
      </c>
      <c r="J8" s="122">
        <v>5360</v>
      </c>
      <c r="K8" s="122">
        <v>5900</v>
      </c>
      <c r="L8" s="122">
        <v>6490</v>
      </c>
      <c r="M8" s="122">
        <v>7150</v>
      </c>
      <c r="N8" s="122">
        <v>7870</v>
      </c>
      <c r="O8" s="122">
        <v>8660</v>
      </c>
      <c r="P8" s="122">
        <v>9530</v>
      </c>
      <c r="Q8" s="122">
        <v>10500</v>
      </c>
      <c r="R8" s="122">
        <v>11500</v>
      </c>
      <c r="S8" s="122">
        <v>12700</v>
      </c>
      <c r="T8" s="122">
        <v>14000</v>
      </c>
      <c r="U8" s="122">
        <v>15400</v>
      </c>
      <c r="V8" s="122">
        <v>16900</v>
      </c>
      <c r="W8" s="122">
        <v>18700</v>
      </c>
      <c r="X8" s="122">
        <v>20500</v>
      </c>
      <c r="Y8" s="122">
        <v>22600</v>
      </c>
      <c r="Z8" s="122">
        <v>24900</v>
      </c>
      <c r="AA8" s="122">
        <v>27400</v>
      </c>
      <c r="AB8" s="122">
        <v>30100</v>
      </c>
      <c r="AC8" s="122">
        <v>33200</v>
      </c>
      <c r="AD8" s="122">
        <v>36500</v>
      </c>
      <c r="AE8" s="122">
        <v>40200</v>
      </c>
      <c r="AF8" s="122">
        <v>44200</v>
      </c>
      <c r="AG8" s="122">
        <v>48700</v>
      </c>
      <c r="AH8" s="122">
        <v>53600</v>
      </c>
      <c r="AJ8">
        <f t="shared" si="3"/>
        <v>3</v>
      </c>
      <c r="AK8">
        <f t="shared" si="1"/>
        <v>5900</v>
      </c>
      <c r="AL8">
        <f t="shared" si="2"/>
        <v>8250</v>
      </c>
      <c r="AM8" t="str">
        <f>IF(OR('Pinstrap Reverse Lookup'!C$3=AL$3,'Pinstrap Reverse Lookup'!C$3='Resistor Selection'!AL$4),'Resistor Selection'!$AL$4,VLOOKUP('Resistor Selection'!AJ8,'Resistor Selection'!B$15:R$30,'Pinstrap Reverse Lookup'!E$3+2,FALSE))</f>
        <v>Open</v>
      </c>
      <c r="AN8">
        <f>IF(OR('Pinstrap Reverse Lookup'!C$4=AL$3,'Pinstrap Reverse Lookup'!C$4='Resistor Selection'!AL$4),'Resistor Selection'!$AL$4,VLOOKUP('Resistor Selection'!AJ8,'Resistor Selection'!B$15:R$30,'Pinstrap Reverse Lookup'!E$4+2,FALSE))</f>
        <v>23700</v>
      </c>
      <c r="AO8">
        <f>IF(OR('Pinstrap Reverse Lookup'!C$5=AL$3,'Pinstrap Reverse Lookup'!C$5='Resistor Selection'!AL$4),'Resistor Selection'!$AL$4,VLOOKUP('Resistor Selection'!AJ8,'Resistor Selection'!B$15:R$30,'Pinstrap Reverse Lookup'!E$5+2,FALSE))</f>
        <v>9090</v>
      </c>
      <c r="AP8">
        <f>IF(OR('Pinstrap Reverse Lookup'!C$6=AL$3,'Pinstrap Reverse Lookup'!C$6='Resistor Selection'!AL$4),'Resistor Selection'!$AL$4,VLOOKUP('Resistor Selection'!AJ8,'Resistor Selection'!B$15:R$30,'Pinstrap Reverse Lookup'!E$6+2,FALSE))</f>
        <v>11000</v>
      </c>
      <c r="AQ8">
        <f t="shared" si="0"/>
        <v>3</v>
      </c>
    </row>
    <row r="9" spans="1:43" x14ac:dyDescent="0.15">
      <c r="A9" s="122"/>
      <c r="B9" s="122">
        <v>5</v>
      </c>
      <c r="C9" s="122">
        <v>1780</v>
      </c>
      <c r="D9" s="122">
        <v>1960</v>
      </c>
      <c r="E9" s="122">
        <v>2150</v>
      </c>
      <c r="F9" s="122">
        <v>2370</v>
      </c>
      <c r="G9" s="122">
        <v>2610</v>
      </c>
      <c r="H9" s="122">
        <v>2870</v>
      </c>
      <c r="I9" s="122">
        <v>3160</v>
      </c>
      <c r="J9" s="122">
        <v>3480</v>
      </c>
      <c r="K9" s="122">
        <v>3830</v>
      </c>
      <c r="L9" s="122">
        <v>4220</v>
      </c>
      <c r="M9" s="122">
        <v>4640</v>
      </c>
      <c r="N9" s="122">
        <v>5110</v>
      </c>
      <c r="O9" s="122">
        <v>5620</v>
      </c>
      <c r="P9" s="122">
        <v>6190</v>
      </c>
      <c r="Q9" s="122">
        <v>6810</v>
      </c>
      <c r="R9" s="122">
        <v>7500</v>
      </c>
      <c r="S9" s="122">
        <v>8250</v>
      </c>
      <c r="T9" s="122">
        <v>9090</v>
      </c>
      <c r="U9" s="122">
        <v>10000</v>
      </c>
      <c r="V9" s="122">
        <v>11000</v>
      </c>
      <c r="W9" s="122">
        <v>12100</v>
      </c>
      <c r="X9" s="122">
        <v>13300</v>
      </c>
      <c r="Y9" s="122">
        <v>14700</v>
      </c>
      <c r="Z9" s="122">
        <v>16200</v>
      </c>
      <c r="AA9" s="122">
        <v>17800</v>
      </c>
      <c r="AB9" s="122">
        <v>19600</v>
      </c>
      <c r="AC9" s="122">
        <v>21500</v>
      </c>
      <c r="AD9" s="122">
        <v>23700</v>
      </c>
      <c r="AE9" s="122">
        <v>26100</v>
      </c>
      <c r="AF9" s="122">
        <v>28700</v>
      </c>
      <c r="AG9" s="122">
        <v>31600</v>
      </c>
      <c r="AH9" s="122">
        <v>34800</v>
      </c>
      <c r="AJ9">
        <f t="shared" si="3"/>
        <v>4</v>
      </c>
      <c r="AK9">
        <f t="shared" si="1"/>
        <v>6490</v>
      </c>
      <c r="AL9">
        <f t="shared" si="2"/>
        <v>10000</v>
      </c>
      <c r="AM9" t="str">
        <f>IF(OR('Pinstrap Reverse Lookup'!C$3=AL$3,'Pinstrap Reverse Lookup'!C$3='Resistor Selection'!AL$4),'Resistor Selection'!$AL$4,VLOOKUP('Resistor Selection'!AJ9,'Resistor Selection'!B$15:R$30,'Pinstrap Reverse Lookup'!E$3+2,FALSE))</f>
        <v>Open</v>
      </c>
      <c r="AN9">
        <f>IF(OR('Pinstrap Reverse Lookup'!C$4=AL$3,'Pinstrap Reverse Lookup'!C$4='Resistor Selection'!AL$4),'Resistor Selection'!$AL$4,VLOOKUP('Resistor Selection'!AJ9,'Resistor Selection'!B$15:R$30,'Pinstrap Reverse Lookup'!E$4+2,FALSE))</f>
        <v>18700</v>
      </c>
      <c r="AO9">
        <f>IF(OR('Pinstrap Reverse Lookup'!C$5=AL$3,'Pinstrap Reverse Lookup'!C$5='Resistor Selection'!AL$4),'Resistor Selection'!$AL$4,VLOOKUP('Resistor Selection'!AJ9,'Resistor Selection'!B$15:R$30,'Pinstrap Reverse Lookup'!E$5+2,FALSE))</f>
        <v>7150</v>
      </c>
      <c r="AP9">
        <f>IF(OR('Pinstrap Reverse Lookup'!C$6=AL$3,'Pinstrap Reverse Lookup'!C$6='Resistor Selection'!AL$4),'Resistor Selection'!$AL$4,VLOOKUP('Resistor Selection'!AJ9,'Resistor Selection'!B$15:R$30,'Pinstrap Reverse Lookup'!E$6+2,FALSE))</f>
        <v>8660</v>
      </c>
      <c r="AQ9">
        <f t="shared" si="0"/>
        <v>4</v>
      </c>
    </row>
    <row r="10" spans="1:43" x14ac:dyDescent="0.15">
      <c r="A10" s="122"/>
      <c r="B10" s="122">
        <v>6</v>
      </c>
      <c r="C10" s="122">
        <v>1050</v>
      </c>
      <c r="D10" s="122">
        <v>1150</v>
      </c>
      <c r="E10" s="122">
        <v>1270</v>
      </c>
      <c r="F10" s="122">
        <v>1400</v>
      </c>
      <c r="G10" s="122">
        <v>1540</v>
      </c>
      <c r="H10" s="122">
        <v>1690</v>
      </c>
      <c r="I10" s="122">
        <v>1870</v>
      </c>
      <c r="J10" s="122">
        <v>2050</v>
      </c>
      <c r="K10" s="122">
        <v>2260</v>
      </c>
      <c r="L10" s="122">
        <v>2490</v>
      </c>
      <c r="M10" s="122">
        <v>2740</v>
      </c>
      <c r="N10" s="122">
        <v>3010</v>
      </c>
      <c r="O10" s="122">
        <v>3320</v>
      </c>
      <c r="P10" s="122">
        <v>3650</v>
      </c>
      <c r="Q10" s="122">
        <v>4020</v>
      </c>
      <c r="R10" s="122">
        <v>4420</v>
      </c>
      <c r="S10" s="122">
        <v>4870</v>
      </c>
      <c r="T10" s="122">
        <v>5360</v>
      </c>
      <c r="U10" s="122">
        <v>5900</v>
      </c>
      <c r="V10" s="122">
        <v>6490</v>
      </c>
      <c r="W10" s="122">
        <v>7150</v>
      </c>
      <c r="X10" s="122">
        <v>7870</v>
      </c>
      <c r="Y10" s="122">
        <v>8660</v>
      </c>
      <c r="Z10" s="122">
        <v>9530</v>
      </c>
      <c r="AA10" s="122">
        <v>10500</v>
      </c>
      <c r="AB10" s="122">
        <v>11500</v>
      </c>
      <c r="AC10" s="122">
        <v>12700</v>
      </c>
      <c r="AD10" s="122">
        <v>14000</v>
      </c>
      <c r="AE10" s="122">
        <v>15400</v>
      </c>
      <c r="AF10" s="122">
        <v>16900</v>
      </c>
      <c r="AG10" s="122">
        <v>18700</v>
      </c>
      <c r="AH10" s="122">
        <v>20500</v>
      </c>
      <c r="AJ10">
        <f t="shared" si="3"/>
        <v>5</v>
      </c>
      <c r="AK10">
        <f t="shared" si="1"/>
        <v>7150</v>
      </c>
      <c r="AL10">
        <f t="shared" si="2"/>
        <v>12100</v>
      </c>
      <c r="AM10" t="str">
        <f>IF(OR('Pinstrap Reverse Lookup'!C$3=AL$3,'Pinstrap Reverse Lookup'!C$3='Resistor Selection'!AL$4),'Resistor Selection'!$AL$4,VLOOKUP('Resistor Selection'!AJ10,'Resistor Selection'!B$15:R$30,'Pinstrap Reverse Lookup'!E$3+2,FALSE))</f>
        <v>Open</v>
      </c>
      <c r="AN10">
        <f>IF(OR('Pinstrap Reverse Lookup'!C$4=AL$3,'Pinstrap Reverse Lookup'!C$4='Resistor Selection'!AL$4),'Resistor Selection'!$AL$4,VLOOKUP('Resistor Selection'!AJ10,'Resistor Selection'!B$15:R$30,'Pinstrap Reverse Lookup'!E$4+2,FALSE))</f>
        <v>14700</v>
      </c>
      <c r="AO10">
        <f>IF(OR('Pinstrap Reverse Lookup'!C$5=AL$3,'Pinstrap Reverse Lookup'!C$5='Resistor Selection'!AL$4),'Resistor Selection'!$AL$4,VLOOKUP('Resistor Selection'!AJ10,'Resistor Selection'!B$15:R$30,'Pinstrap Reverse Lookup'!E$5+2,FALSE))</f>
        <v>5620</v>
      </c>
      <c r="AP10">
        <f>IF(OR('Pinstrap Reverse Lookup'!C$6=AL$3,'Pinstrap Reverse Lookup'!C$6='Resistor Selection'!AL$4),'Resistor Selection'!$AL$4,VLOOKUP('Resistor Selection'!AJ10,'Resistor Selection'!B$15:R$30,'Pinstrap Reverse Lookup'!E$6+2,FALSE))</f>
        <v>6810</v>
      </c>
      <c r="AQ10">
        <f t="shared" si="0"/>
        <v>5</v>
      </c>
    </row>
    <row r="11" spans="1:43" x14ac:dyDescent="0.15">
      <c r="A11" s="122"/>
      <c r="B11" s="122">
        <v>7</v>
      </c>
      <c r="C11" s="122">
        <v>487</v>
      </c>
      <c r="D11" s="122">
        <v>536</v>
      </c>
      <c r="E11" s="122">
        <v>590</v>
      </c>
      <c r="F11" s="122">
        <v>649</v>
      </c>
      <c r="G11" s="122">
        <v>715</v>
      </c>
      <c r="H11" s="122">
        <v>787</v>
      </c>
      <c r="I11" s="122">
        <v>866</v>
      </c>
      <c r="J11" s="122">
        <v>953</v>
      </c>
      <c r="K11" s="122">
        <v>1050</v>
      </c>
      <c r="L11" s="122">
        <v>1150</v>
      </c>
      <c r="M11" s="122">
        <v>1270</v>
      </c>
      <c r="N11" s="122">
        <v>1400</v>
      </c>
      <c r="O11" s="122">
        <v>1540</v>
      </c>
      <c r="P11" s="122">
        <v>1690</v>
      </c>
      <c r="Q11" s="122">
        <v>1870</v>
      </c>
      <c r="R11" s="122">
        <v>2050</v>
      </c>
      <c r="S11" s="122">
        <v>2260</v>
      </c>
      <c r="T11" s="122">
        <v>2490</v>
      </c>
      <c r="U11" s="122">
        <v>2740</v>
      </c>
      <c r="V11" s="122">
        <v>3010</v>
      </c>
      <c r="W11" s="122">
        <v>3320</v>
      </c>
      <c r="X11" s="122">
        <v>3650</v>
      </c>
      <c r="Y11" s="122">
        <v>4020</v>
      </c>
      <c r="Z11" s="122">
        <v>4420</v>
      </c>
      <c r="AA11" s="122">
        <v>4870</v>
      </c>
      <c r="AB11" s="122">
        <v>5360</v>
      </c>
      <c r="AC11" s="122">
        <v>5900</v>
      </c>
      <c r="AD11" s="122">
        <v>6490</v>
      </c>
      <c r="AE11" s="122">
        <v>7150</v>
      </c>
      <c r="AF11" s="122">
        <v>7870</v>
      </c>
      <c r="AG11" s="122">
        <v>8660</v>
      </c>
      <c r="AH11" s="122">
        <v>9530</v>
      </c>
      <c r="AJ11">
        <f t="shared" si="3"/>
        <v>6</v>
      </c>
      <c r="AK11">
        <f t="shared" si="1"/>
        <v>7870</v>
      </c>
      <c r="AL11">
        <f t="shared" si="2"/>
        <v>14700</v>
      </c>
      <c r="AM11" t="str">
        <f>IF(OR('Pinstrap Reverse Lookup'!C$3=AL$3,'Pinstrap Reverse Lookup'!C$3='Resistor Selection'!AL$4),'Resistor Selection'!$AL$4,VLOOKUP('Resistor Selection'!AJ11,'Resistor Selection'!B$15:R$30,'Pinstrap Reverse Lookup'!E$3+2,FALSE))</f>
        <v>Open</v>
      </c>
      <c r="AN11">
        <f>IF(OR('Pinstrap Reverse Lookup'!C$4=AL$3,'Pinstrap Reverse Lookup'!C$4='Resistor Selection'!AL$4),'Resistor Selection'!$AL$4,VLOOKUP('Resistor Selection'!AJ11,'Resistor Selection'!B$15:R$30,'Pinstrap Reverse Lookup'!E$4+2,FALSE))</f>
        <v>12100</v>
      </c>
      <c r="AO11">
        <f>IF(OR('Pinstrap Reverse Lookup'!C$5=AL$3,'Pinstrap Reverse Lookup'!C$5='Resistor Selection'!AL$4),'Resistor Selection'!$AL$4,VLOOKUP('Resistor Selection'!AJ11,'Resistor Selection'!B$15:R$30,'Pinstrap Reverse Lookup'!E$5+2,FALSE))</f>
        <v>4640</v>
      </c>
      <c r="AP11">
        <f>IF(OR('Pinstrap Reverse Lookup'!C$6=AL$3,'Pinstrap Reverse Lookup'!C$6='Resistor Selection'!AL$4),'Resistor Selection'!$AL$4,VLOOKUP('Resistor Selection'!AJ11,'Resistor Selection'!B$15:R$30,'Pinstrap Reverse Lookup'!E$6+2,FALSE))</f>
        <v>5620</v>
      </c>
      <c r="AQ11">
        <f t="shared" si="0"/>
        <v>6</v>
      </c>
    </row>
    <row r="12" spans="1:43" x14ac:dyDescent="0.15">
      <c r="B12" s="192" t="s">
        <v>350</v>
      </c>
      <c r="C12" s="192"/>
      <c r="D12" s="192"/>
      <c r="E12" s="192"/>
      <c r="F12" s="192"/>
      <c r="G12" s="192"/>
      <c r="H12" s="192"/>
      <c r="I12" s="192"/>
      <c r="J12" s="192"/>
      <c r="K12" s="192"/>
      <c r="L12" s="192"/>
      <c r="M12" s="192"/>
      <c r="N12" s="192"/>
      <c r="O12" s="192"/>
      <c r="P12" s="192"/>
      <c r="Q12" s="192"/>
      <c r="R12" s="192"/>
      <c r="AJ12">
        <f t="shared" si="3"/>
        <v>7</v>
      </c>
      <c r="AK12">
        <f t="shared" si="1"/>
        <v>8660</v>
      </c>
      <c r="AL12">
        <f t="shared" si="2"/>
        <v>17800</v>
      </c>
      <c r="AM12" t="str">
        <f>IF(OR('Pinstrap Reverse Lookup'!C$3=AL$3,'Pinstrap Reverse Lookup'!C$3='Resistor Selection'!AL$4),'Resistor Selection'!$AL$4,VLOOKUP('Resistor Selection'!AJ12,'Resistor Selection'!B$15:R$30,'Pinstrap Reverse Lookup'!E$3+2,FALSE))</f>
        <v>Open</v>
      </c>
      <c r="AN12">
        <f>IF(OR('Pinstrap Reverse Lookup'!C$4=AL$3,'Pinstrap Reverse Lookup'!C$4='Resistor Selection'!AL$4),'Resistor Selection'!$AL$4,VLOOKUP('Resistor Selection'!AJ12,'Resistor Selection'!B$15:R$30,'Pinstrap Reverse Lookup'!E$4+2,FALSE))</f>
        <v>10000</v>
      </c>
      <c r="AO12">
        <f>IF(OR('Pinstrap Reverse Lookup'!C$5=AL$3,'Pinstrap Reverse Lookup'!C$5='Resistor Selection'!AL$4),'Resistor Selection'!$AL$4,VLOOKUP('Resistor Selection'!AJ12,'Resistor Selection'!B$15:R$30,'Pinstrap Reverse Lookup'!E$5+2,FALSE))</f>
        <v>3830</v>
      </c>
      <c r="AP12">
        <f>IF(OR('Pinstrap Reverse Lookup'!C$6=AL$3,'Pinstrap Reverse Lookup'!C$6='Resistor Selection'!AL$4),'Resistor Selection'!$AL$4,VLOOKUP('Resistor Selection'!AJ12,'Resistor Selection'!B$15:R$30,'Pinstrap Reverse Lookup'!E$6+2,FALSE))</f>
        <v>4640</v>
      </c>
      <c r="AQ12">
        <f t="shared" si="0"/>
        <v>7</v>
      </c>
    </row>
    <row r="13" spans="1:43" x14ac:dyDescent="0.15">
      <c r="B13" t="s">
        <v>274</v>
      </c>
      <c r="C13" s="36">
        <v>0</v>
      </c>
      <c r="D13" s="36">
        <f>C13+1</f>
        <v>1</v>
      </c>
      <c r="E13" s="36">
        <f t="shared" ref="E13:R13" si="4">D13+1</f>
        <v>2</v>
      </c>
      <c r="F13" s="36">
        <f t="shared" si="4"/>
        <v>3</v>
      </c>
      <c r="G13" s="36">
        <f t="shared" si="4"/>
        <v>4</v>
      </c>
      <c r="H13" s="36">
        <f t="shared" si="4"/>
        <v>5</v>
      </c>
      <c r="I13" s="36">
        <f t="shared" si="4"/>
        <v>6</v>
      </c>
      <c r="J13" s="36">
        <f t="shared" si="4"/>
        <v>7</v>
      </c>
      <c r="K13" s="36">
        <f t="shared" si="4"/>
        <v>8</v>
      </c>
      <c r="L13" s="36">
        <f t="shared" si="4"/>
        <v>9</v>
      </c>
      <c r="M13" s="36">
        <f t="shared" si="4"/>
        <v>10</v>
      </c>
      <c r="N13" s="36">
        <f t="shared" si="4"/>
        <v>11</v>
      </c>
      <c r="O13" s="36">
        <f t="shared" si="4"/>
        <v>12</v>
      </c>
      <c r="P13" s="36">
        <f t="shared" si="4"/>
        <v>13</v>
      </c>
      <c r="Q13" s="36">
        <f t="shared" si="4"/>
        <v>14</v>
      </c>
      <c r="R13" s="36">
        <f t="shared" si="4"/>
        <v>15</v>
      </c>
      <c r="S13" s="9"/>
      <c r="T13" s="9"/>
      <c r="U13" s="9"/>
      <c r="V13" s="9"/>
      <c r="W13" s="9"/>
      <c r="X13" s="9"/>
      <c r="Y13" s="9"/>
      <c r="Z13" s="9"/>
      <c r="AA13" s="9"/>
      <c r="AB13" s="9"/>
      <c r="AC13" s="9"/>
      <c r="AD13" s="9"/>
      <c r="AE13" s="9"/>
      <c r="AF13" s="9"/>
      <c r="AG13" s="9"/>
      <c r="AH13" s="9"/>
      <c r="AJ13">
        <f t="shared" si="3"/>
        <v>8</v>
      </c>
      <c r="AK13">
        <f t="shared" si="1"/>
        <v>9530</v>
      </c>
      <c r="AL13">
        <f t="shared" si="2"/>
        <v>21500</v>
      </c>
      <c r="AM13" t="str">
        <f>IF(OR('Pinstrap Reverse Lookup'!C$3=AL$3,'Pinstrap Reverse Lookup'!C$3='Resistor Selection'!AL$4),'Resistor Selection'!$AL$4,VLOOKUP('Resistor Selection'!AJ13,'Resistor Selection'!B$15:R$30,'Pinstrap Reverse Lookup'!E$3+2,FALSE))</f>
        <v>Open</v>
      </c>
      <c r="AN13">
        <f>IF(OR('Pinstrap Reverse Lookup'!C$4=AL$3,'Pinstrap Reverse Lookup'!C$4='Resistor Selection'!AL$4),'Resistor Selection'!$AL$4,VLOOKUP('Resistor Selection'!AJ13,'Resistor Selection'!B$15:R$30,'Pinstrap Reverse Lookup'!E$4+2,FALSE))</f>
        <v>8250</v>
      </c>
      <c r="AO13">
        <f>IF(OR('Pinstrap Reverse Lookup'!C$5=AL$3,'Pinstrap Reverse Lookup'!C$5='Resistor Selection'!AL$4),'Resistor Selection'!$AL$4,VLOOKUP('Resistor Selection'!AJ13,'Resistor Selection'!B$15:R$30,'Pinstrap Reverse Lookup'!E$5+2,FALSE))</f>
        <v>3160</v>
      </c>
      <c r="AP13">
        <f>IF(OR('Pinstrap Reverse Lookup'!C$6=AL$3,'Pinstrap Reverse Lookup'!C$6='Resistor Selection'!AL$4),'Resistor Selection'!$AL$4,VLOOKUP('Resistor Selection'!AJ13,'Resistor Selection'!B$15:R$30,'Pinstrap Reverse Lookup'!E$6+2,FALSE))</f>
        <v>3830</v>
      </c>
      <c r="AQ13">
        <f t="shared" si="0"/>
        <v>8</v>
      </c>
    </row>
    <row r="14" spans="1:43" x14ac:dyDescent="0.15">
      <c r="B14" s="20" t="s">
        <v>14</v>
      </c>
      <c r="C14" s="35">
        <v>4640</v>
      </c>
      <c r="D14" s="35">
        <v>5620</v>
      </c>
      <c r="E14" s="35">
        <v>6810</v>
      </c>
      <c r="F14" s="35">
        <v>8250</v>
      </c>
      <c r="G14" s="35">
        <v>10000</v>
      </c>
      <c r="H14" s="35">
        <v>12100</v>
      </c>
      <c r="I14" s="35">
        <v>14700</v>
      </c>
      <c r="J14" s="35">
        <v>17800</v>
      </c>
      <c r="K14" s="35">
        <v>21500</v>
      </c>
      <c r="L14" s="35">
        <v>26100</v>
      </c>
      <c r="M14" s="35">
        <v>31600</v>
      </c>
      <c r="N14" s="35">
        <v>38300</v>
      </c>
      <c r="O14" s="35">
        <v>46400</v>
      </c>
      <c r="P14" s="35">
        <v>56200</v>
      </c>
      <c r="Q14" s="35">
        <v>68100</v>
      </c>
      <c r="R14" s="35">
        <v>82500</v>
      </c>
      <c r="S14" s="9"/>
      <c r="T14" s="9"/>
      <c r="U14" s="9"/>
      <c r="V14" s="9"/>
      <c r="W14" s="9"/>
      <c r="X14" s="9"/>
      <c r="Y14" s="9"/>
      <c r="Z14" s="9"/>
      <c r="AA14" s="9"/>
      <c r="AB14" s="9"/>
      <c r="AC14" s="9"/>
      <c r="AD14" s="9"/>
      <c r="AE14" s="9"/>
      <c r="AF14" s="9"/>
      <c r="AG14" s="9"/>
      <c r="AH14" s="9"/>
      <c r="AJ14">
        <f t="shared" si="3"/>
        <v>9</v>
      </c>
      <c r="AK14">
        <f t="shared" si="1"/>
        <v>10500</v>
      </c>
      <c r="AL14">
        <f t="shared" si="2"/>
        <v>26100</v>
      </c>
      <c r="AM14" t="str">
        <f>IF(OR('Pinstrap Reverse Lookup'!C$3=AL$3,'Pinstrap Reverse Lookup'!C$3='Resistor Selection'!AL$4),'Resistor Selection'!$AL$4,VLOOKUP('Resistor Selection'!AJ14,'Resistor Selection'!B$15:R$30,'Pinstrap Reverse Lookup'!E$3+2,FALSE))</f>
        <v>Open</v>
      </c>
      <c r="AN14">
        <f>IF(OR('Pinstrap Reverse Lookup'!C$4=AL$3,'Pinstrap Reverse Lookup'!C$4='Resistor Selection'!AL$4),'Resistor Selection'!$AL$4,VLOOKUP('Resistor Selection'!AJ14,'Resistor Selection'!B$15:R$30,'Pinstrap Reverse Lookup'!E$4+2,FALSE))</f>
        <v>6810</v>
      </c>
      <c r="AO14">
        <f>IF(OR('Pinstrap Reverse Lookup'!C$5=AL$3,'Pinstrap Reverse Lookup'!C$5='Resistor Selection'!AL$4),'Resistor Selection'!$AL$4,VLOOKUP('Resistor Selection'!AJ14,'Resistor Selection'!B$15:R$30,'Pinstrap Reverse Lookup'!E$5+2,FALSE))</f>
        <v>2610</v>
      </c>
      <c r="AP14">
        <f>IF(OR('Pinstrap Reverse Lookup'!C$6=AL$3,'Pinstrap Reverse Lookup'!C$6='Resistor Selection'!AL$4),'Resistor Selection'!$AL$4,VLOOKUP('Resistor Selection'!AJ14,'Resistor Selection'!B$15:R$30,'Pinstrap Reverse Lookup'!E$6+2,FALSE))</f>
        <v>3160</v>
      </c>
      <c r="AQ14">
        <f t="shared" si="0"/>
        <v>9</v>
      </c>
    </row>
    <row r="15" spans="1:43" x14ac:dyDescent="0.15">
      <c r="A15" t="s">
        <v>275</v>
      </c>
      <c r="B15" s="20">
        <v>0</v>
      </c>
      <c r="C15" s="36">
        <v>21500</v>
      </c>
      <c r="D15" s="36">
        <v>26100</v>
      </c>
      <c r="E15" s="36">
        <v>31600</v>
      </c>
      <c r="F15" s="36">
        <v>38300</v>
      </c>
      <c r="G15" s="36">
        <v>46400</v>
      </c>
      <c r="H15" s="36">
        <v>56200</v>
      </c>
      <c r="I15" s="36">
        <v>68100</v>
      </c>
      <c r="J15" s="36">
        <v>82500</v>
      </c>
      <c r="K15" s="36">
        <v>100000</v>
      </c>
      <c r="L15" s="36">
        <v>121000</v>
      </c>
      <c r="M15" s="36">
        <v>147000</v>
      </c>
      <c r="N15" s="36">
        <v>178000</v>
      </c>
      <c r="O15" s="36">
        <v>215000</v>
      </c>
      <c r="P15" s="36">
        <v>261000</v>
      </c>
      <c r="Q15" s="36">
        <v>316000</v>
      </c>
      <c r="R15" s="36">
        <v>402000</v>
      </c>
      <c r="S15" s="9"/>
      <c r="T15" s="9"/>
      <c r="U15" s="9"/>
      <c r="V15" s="9"/>
      <c r="W15" s="9"/>
      <c r="X15" s="9"/>
      <c r="Y15" s="9"/>
      <c r="Z15" s="9"/>
      <c r="AA15" s="9"/>
      <c r="AB15" s="9"/>
      <c r="AC15" s="9"/>
      <c r="AD15" s="9"/>
      <c r="AE15" s="9"/>
      <c r="AF15" s="9"/>
      <c r="AG15" s="9"/>
      <c r="AH15" s="9"/>
      <c r="AJ15">
        <f t="shared" si="3"/>
        <v>10</v>
      </c>
      <c r="AK15">
        <f t="shared" si="1"/>
        <v>11500</v>
      </c>
      <c r="AL15">
        <f t="shared" si="2"/>
        <v>31600</v>
      </c>
      <c r="AM15" t="str">
        <f>IF(OR('Pinstrap Reverse Lookup'!C$3=AL$3,'Pinstrap Reverse Lookup'!C$3='Resistor Selection'!AL$4),'Resistor Selection'!$AL$4,VLOOKUP('Resistor Selection'!AJ15,'Resistor Selection'!B$15:R$30,'Pinstrap Reverse Lookup'!E$3+2,FALSE))</f>
        <v>Open</v>
      </c>
      <c r="AN15">
        <f>IF(OR('Pinstrap Reverse Lookup'!C$4=AL$3,'Pinstrap Reverse Lookup'!C$4='Resistor Selection'!AL$4),'Resistor Selection'!$AL$4,VLOOKUP('Resistor Selection'!AJ15,'Resistor Selection'!B$15:R$30,'Pinstrap Reverse Lookup'!E$4+2,FALSE))</f>
        <v>5360</v>
      </c>
      <c r="AO15">
        <f>IF(OR('Pinstrap Reverse Lookup'!C$5=AL$3,'Pinstrap Reverse Lookup'!C$5='Resistor Selection'!AL$4),'Resistor Selection'!$AL$4,VLOOKUP('Resistor Selection'!AJ15,'Resistor Selection'!B$15:R$30,'Pinstrap Reverse Lookup'!E$5+2,FALSE))</f>
        <v>2050</v>
      </c>
      <c r="AP15">
        <f>IF(OR('Pinstrap Reverse Lookup'!C$6=AL$3,'Pinstrap Reverse Lookup'!C$6='Resistor Selection'!AL$4),'Resistor Selection'!$AL$4,VLOOKUP('Resistor Selection'!AJ15,'Resistor Selection'!B$15:R$30,'Pinstrap Reverse Lookup'!E$6+2,FALSE))</f>
        <v>2490</v>
      </c>
      <c r="AQ15">
        <f t="shared" si="0"/>
        <v>10</v>
      </c>
    </row>
    <row r="16" spans="1:43" x14ac:dyDescent="0.15">
      <c r="B16" s="20">
        <v>1</v>
      </c>
      <c r="C16" s="36">
        <v>15400</v>
      </c>
      <c r="D16" s="36">
        <v>18700</v>
      </c>
      <c r="E16" s="36">
        <v>22600</v>
      </c>
      <c r="F16" s="36">
        <v>27400</v>
      </c>
      <c r="G16" s="36">
        <v>33200</v>
      </c>
      <c r="H16" s="36">
        <v>40200</v>
      </c>
      <c r="I16" s="36">
        <v>48700</v>
      </c>
      <c r="J16" s="36">
        <v>59000</v>
      </c>
      <c r="K16" s="36">
        <v>71500</v>
      </c>
      <c r="L16" s="36">
        <v>86600</v>
      </c>
      <c r="M16" s="36">
        <v>105000</v>
      </c>
      <c r="N16" s="36">
        <v>127000</v>
      </c>
      <c r="O16" s="36">
        <v>154000</v>
      </c>
      <c r="P16" s="36">
        <v>187000</v>
      </c>
      <c r="Q16" s="36">
        <v>226000</v>
      </c>
      <c r="R16" s="36">
        <v>274000</v>
      </c>
      <c r="S16" s="9"/>
      <c r="T16" s="9"/>
      <c r="U16" s="9"/>
      <c r="V16" s="9"/>
      <c r="W16" s="9"/>
      <c r="X16" s="9"/>
      <c r="Y16" s="9"/>
      <c r="Z16" s="9"/>
      <c r="AA16" s="9"/>
      <c r="AB16" s="9"/>
      <c r="AC16" s="9"/>
      <c r="AD16" s="9"/>
      <c r="AE16" s="9"/>
      <c r="AF16" s="9"/>
      <c r="AG16" s="9"/>
      <c r="AH16" s="9"/>
      <c r="AJ16">
        <f t="shared" si="3"/>
        <v>11</v>
      </c>
      <c r="AK16">
        <f t="shared" si="1"/>
        <v>12700</v>
      </c>
      <c r="AL16">
        <f t="shared" si="2"/>
        <v>38300</v>
      </c>
      <c r="AM16" t="str">
        <f>IF(OR('Pinstrap Reverse Lookup'!C$3=AL$3,'Pinstrap Reverse Lookup'!C$3='Resistor Selection'!AL$4),'Resistor Selection'!$AL$4,VLOOKUP('Resistor Selection'!AJ16,'Resistor Selection'!B$15:R$30,'Pinstrap Reverse Lookup'!E$3+2,FALSE))</f>
        <v>Open</v>
      </c>
      <c r="AN16">
        <f>IF(OR('Pinstrap Reverse Lookup'!C$4=AL$3,'Pinstrap Reverse Lookup'!C$4='Resistor Selection'!AL$4),'Resistor Selection'!$AL$4,VLOOKUP('Resistor Selection'!AJ16,'Resistor Selection'!B$15:R$30,'Pinstrap Reverse Lookup'!E$4+2,FALSE))</f>
        <v>4220</v>
      </c>
      <c r="AO16">
        <f>IF(OR('Pinstrap Reverse Lookup'!C$5=AL$3,'Pinstrap Reverse Lookup'!C$5='Resistor Selection'!AL$4),'Resistor Selection'!$AL$4,VLOOKUP('Resistor Selection'!AJ16,'Resistor Selection'!B$15:R$30,'Pinstrap Reverse Lookup'!E$5+2,FALSE))</f>
        <v>1620</v>
      </c>
      <c r="AP16">
        <f>IF(OR('Pinstrap Reverse Lookup'!C$6=AL$3,'Pinstrap Reverse Lookup'!C$6='Resistor Selection'!AL$4),'Resistor Selection'!$AL$4,VLOOKUP('Resistor Selection'!AJ16,'Resistor Selection'!B$15:R$30,'Pinstrap Reverse Lookup'!E$6+2,FALSE))</f>
        <v>1960</v>
      </c>
      <c r="AQ16">
        <f t="shared" si="0"/>
        <v>11</v>
      </c>
    </row>
    <row r="17" spans="2:43" x14ac:dyDescent="0.15">
      <c r="B17" s="20">
        <v>2</v>
      </c>
      <c r="C17" s="36">
        <v>11500</v>
      </c>
      <c r="D17" s="36">
        <v>14000</v>
      </c>
      <c r="E17" s="36">
        <v>16900</v>
      </c>
      <c r="F17" s="36">
        <v>20500</v>
      </c>
      <c r="G17" s="36">
        <v>24900</v>
      </c>
      <c r="H17" s="36">
        <v>30100</v>
      </c>
      <c r="I17" s="36">
        <v>36500</v>
      </c>
      <c r="J17" s="36">
        <v>44200</v>
      </c>
      <c r="K17" s="36">
        <v>53600</v>
      </c>
      <c r="L17" s="36">
        <v>64900</v>
      </c>
      <c r="M17" s="36">
        <v>78700</v>
      </c>
      <c r="N17" s="36">
        <v>95300</v>
      </c>
      <c r="O17" s="36">
        <v>115000</v>
      </c>
      <c r="P17" s="36">
        <v>140000</v>
      </c>
      <c r="Q17" s="36">
        <v>169000</v>
      </c>
      <c r="R17" s="36">
        <v>205000</v>
      </c>
      <c r="S17" s="9"/>
      <c r="T17" s="9"/>
      <c r="U17" s="9"/>
      <c r="V17" s="9"/>
      <c r="W17" s="9"/>
      <c r="X17" s="9"/>
      <c r="Y17" s="9"/>
      <c r="Z17" s="9"/>
      <c r="AA17" s="9"/>
      <c r="AB17" s="9"/>
      <c r="AC17" s="9"/>
      <c r="AD17" s="9"/>
      <c r="AE17" s="9"/>
      <c r="AF17" s="9"/>
      <c r="AG17" s="9"/>
      <c r="AH17" s="9"/>
      <c r="AJ17">
        <f t="shared" si="3"/>
        <v>12</v>
      </c>
      <c r="AK17">
        <f t="shared" si="1"/>
        <v>14000</v>
      </c>
      <c r="AL17">
        <f t="shared" si="2"/>
        <v>46400</v>
      </c>
      <c r="AM17" t="str">
        <f>IF(OR('Pinstrap Reverse Lookup'!C$3=AL$3,'Pinstrap Reverse Lookup'!C$3='Resistor Selection'!AL$4),'Resistor Selection'!$AL$4,VLOOKUP('Resistor Selection'!AJ17,'Resistor Selection'!B$15:R$30,'Pinstrap Reverse Lookup'!E$3+2,FALSE))</f>
        <v>Open</v>
      </c>
      <c r="AN17">
        <f>IF(OR('Pinstrap Reverse Lookup'!C$4=AL$3,'Pinstrap Reverse Lookup'!C$4='Resistor Selection'!AL$4),'Resistor Selection'!$AL$4,VLOOKUP('Resistor Selection'!AJ17,'Resistor Selection'!B$15:R$30,'Pinstrap Reverse Lookup'!E$4+2,FALSE))</f>
        <v>3320</v>
      </c>
      <c r="AO17">
        <f>IF(OR('Pinstrap Reverse Lookup'!C$5=AL$3,'Pinstrap Reverse Lookup'!C$5='Resistor Selection'!AL$4),'Resistor Selection'!$AL$4,VLOOKUP('Resistor Selection'!AJ17,'Resistor Selection'!B$15:R$30,'Pinstrap Reverse Lookup'!E$5+2,FALSE))</f>
        <v>1270</v>
      </c>
      <c r="AP17">
        <f>IF(OR('Pinstrap Reverse Lookup'!C$6=AL$3,'Pinstrap Reverse Lookup'!C$6='Resistor Selection'!AL$4),'Resistor Selection'!$AL$4,VLOOKUP('Resistor Selection'!AJ17,'Resistor Selection'!B$15:R$30,'Pinstrap Reverse Lookup'!E$6+2,FALSE))</f>
        <v>1540</v>
      </c>
      <c r="AQ17">
        <f t="shared" si="0"/>
        <v>12</v>
      </c>
    </row>
    <row r="18" spans="2:43" x14ac:dyDescent="0.15">
      <c r="B18" s="20">
        <v>3</v>
      </c>
      <c r="C18" s="36">
        <v>9090</v>
      </c>
      <c r="D18" s="36">
        <v>11000</v>
      </c>
      <c r="E18" s="36">
        <v>13300</v>
      </c>
      <c r="F18" s="36">
        <v>16200</v>
      </c>
      <c r="G18" s="36">
        <v>19600</v>
      </c>
      <c r="H18" s="36">
        <v>23700</v>
      </c>
      <c r="I18" s="36">
        <v>28700</v>
      </c>
      <c r="J18" s="36">
        <v>34800</v>
      </c>
      <c r="K18" s="36">
        <v>42200</v>
      </c>
      <c r="L18" s="36">
        <v>51100</v>
      </c>
      <c r="M18" s="36">
        <v>61900</v>
      </c>
      <c r="N18" s="36">
        <v>75000</v>
      </c>
      <c r="O18" s="36">
        <v>90900</v>
      </c>
      <c r="P18" s="36">
        <v>110000</v>
      </c>
      <c r="Q18" s="36">
        <v>133000</v>
      </c>
      <c r="R18" s="36">
        <v>162000</v>
      </c>
      <c r="S18" s="9"/>
      <c r="T18" s="9"/>
      <c r="U18" s="9"/>
      <c r="V18" s="9"/>
      <c r="W18" s="9"/>
      <c r="X18" s="9"/>
      <c r="Y18" s="9"/>
      <c r="Z18" s="9"/>
      <c r="AA18" s="9"/>
      <c r="AB18" s="9"/>
      <c r="AC18" s="9"/>
      <c r="AD18" s="9"/>
      <c r="AE18" s="9"/>
      <c r="AF18" s="9"/>
      <c r="AG18" s="9"/>
      <c r="AH18" s="9"/>
      <c r="AJ18">
        <f t="shared" si="3"/>
        <v>13</v>
      </c>
      <c r="AK18">
        <f t="shared" si="1"/>
        <v>15400</v>
      </c>
      <c r="AL18">
        <f t="shared" si="2"/>
        <v>56200</v>
      </c>
      <c r="AM18" t="str">
        <f>IF(OR('Pinstrap Reverse Lookup'!C$3=AL$3,'Pinstrap Reverse Lookup'!C$3='Resistor Selection'!AL$4),'Resistor Selection'!$AL$4,VLOOKUP('Resistor Selection'!AJ18,'Resistor Selection'!B$15:R$30,'Pinstrap Reverse Lookup'!E$3+2,FALSE))</f>
        <v>Open</v>
      </c>
      <c r="AN18">
        <f>IF(OR('Pinstrap Reverse Lookup'!C$4=AL$3,'Pinstrap Reverse Lookup'!C$4='Resistor Selection'!AL$4),'Resistor Selection'!$AL$4,VLOOKUP('Resistor Selection'!AJ18,'Resistor Selection'!B$15:R$30,'Pinstrap Reverse Lookup'!E$4+2,FALSE))</f>
        <v>2490</v>
      </c>
      <c r="AO18">
        <f>IF(OR('Pinstrap Reverse Lookup'!C$5=AL$3,'Pinstrap Reverse Lookup'!C$5='Resistor Selection'!AL$4),'Resistor Selection'!$AL$4,VLOOKUP('Resistor Selection'!AJ18,'Resistor Selection'!B$15:R$30,'Pinstrap Reverse Lookup'!E$5+2,FALSE))</f>
        <v>953</v>
      </c>
      <c r="AP18">
        <f>IF(OR('Pinstrap Reverse Lookup'!C$6=AL$3,'Pinstrap Reverse Lookup'!C$6='Resistor Selection'!AL$4),'Resistor Selection'!$AL$4,VLOOKUP('Resistor Selection'!AJ18,'Resistor Selection'!B$15:R$30,'Pinstrap Reverse Lookup'!E$6+2,FALSE))</f>
        <v>1150</v>
      </c>
      <c r="AQ18">
        <f t="shared" si="0"/>
        <v>13</v>
      </c>
    </row>
    <row r="19" spans="2:43" x14ac:dyDescent="0.15">
      <c r="B19" s="20">
        <v>4</v>
      </c>
      <c r="C19" s="36">
        <v>7150</v>
      </c>
      <c r="D19" s="36">
        <v>8660</v>
      </c>
      <c r="E19" s="36">
        <v>10500</v>
      </c>
      <c r="F19" s="36">
        <v>12700</v>
      </c>
      <c r="G19" s="36">
        <v>15400</v>
      </c>
      <c r="H19" s="36">
        <v>18700</v>
      </c>
      <c r="I19" s="36">
        <v>22600</v>
      </c>
      <c r="J19" s="36">
        <v>27400</v>
      </c>
      <c r="K19" s="36">
        <v>33200</v>
      </c>
      <c r="L19" s="36">
        <v>40200</v>
      </c>
      <c r="M19" s="36">
        <v>48700</v>
      </c>
      <c r="N19" s="36">
        <v>59000</v>
      </c>
      <c r="O19" s="36">
        <v>71500</v>
      </c>
      <c r="P19" s="36">
        <v>86600</v>
      </c>
      <c r="Q19" s="36">
        <v>105000</v>
      </c>
      <c r="R19" s="36">
        <v>127000</v>
      </c>
      <c r="S19" s="9"/>
      <c r="T19" s="9"/>
      <c r="U19" s="9"/>
      <c r="V19" s="9"/>
      <c r="W19" s="9"/>
      <c r="X19" s="9"/>
      <c r="Y19" s="9"/>
      <c r="Z19" s="9"/>
      <c r="AA19" s="9"/>
      <c r="AB19" s="9"/>
      <c r="AC19" s="9"/>
      <c r="AD19" s="9"/>
      <c r="AE19" s="9"/>
      <c r="AF19" s="9"/>
      <c r="AG19" s="9"/>
      <c r="AH19" s="9"/>
      <c r="AJ19">
        <f t="shared" si="3"/>
        <v>14</v>
      </c>
      <c r="AK19">
        <f t="shared" si="1"/>
        <v>16900</v>
      </c>
      <c r="AL19">
        <f t="shared" si="2"/>
        <v>68100</v>
      </c>
      <c r="AM19" t="str">
        <f>IF(OR('Pinstrap Reverse Lookup'!C$3=AL$3,'Pinstrap Reverse Lookup'!C$3='Resistor Selection'!AL$4),'Resistor Selection'!$AL$4,VLOOKUP('Resistor Selection'!AJ19,'Resistor Selection'!B$15:R$30,'Pinstrap Reverse Lookup'!E$3+2,FALSE))</f>
        <v>Open</v>
      </c>
      <c r="AN19">
        <f>IF(OR('Pinstrap Reverse Lookup'!C$4=AL$3,'Pinstrap Reverse Lookup'!C$4='Resistor Selection'!AL$4),'Resistor Selection'!$AL$4,VLOOKUP('Resistor Selection'!AJ19,'Resistor Selection'!B$15:R$30,'Pinstrap Reverse Lookup'!E$4+2,FALSE))</f>
        <v>1870</v>
      </c>
      <c r="AO19">
        <f>IF(OR('Pinstrap Reverse Lookup'!C$5=AL$3,'Pinstrap Reverse Lookup'!C$5='Resistor Selection'!AL$4),'Resistor Selection'!$AL$4,VLOOKUP('Resistor Selection'!AJ19,'Resistor Selection'!B$15:R$30,'Pinstrap Reverse Lookup'!E$5+2,FALSE))</f>
        <v>715</v>
      </c>
      <c r="AP19">
        <f>IF(OR('Pinstrap Reverse Lookup'!C$6=AL$3,'Pinstrap Reverse Lookup'!C$6='Resistor Selection'!AL$4),'Resistor Selection'!$AL$4,VLOOKUP('Resistor Selection'!AJ19,'Resistor Selection'!B$15:R$30,'Pinstrap Reverse Lookup'!E$6+2,FALSE))</f>
        <v>866</v>
      </c>
      <c r="AQ19">
        <f t="shared" si="0"/>
        <v>14</v>
      </c>
    </row>
    <row r="20" spans="2:43" x14ac:dyDescent="0.15">
      <c r="B20" s="20">
        <v>5</v>
      </c>
      <c r="C20" s="36">
        <v>5620</v>
      </c>
      <c r="D20" s="36">
        <v>6810</v>
      </c>
      <c r="E20" s="36">
        <v>8250</v>
      </c>
      <c r="F20" s="36">
        <v>10000</v>
      </c>
      <c r="G20" s="36">
        <v>12100</v>
      </c>
      <c r="H20" s="36">
        <v>14700</v>
      </c>
      <c r="I20" s="36">
        <v>17800</v>
      </c>
      <c r="J20" s="36">
        <v>21500</v>
      </c>
      <c r="K20" s="36">
        <v>26100</v>
      </c>
      <c r="L20" s="36">
        <v>31600</v>
      </c>
      <c r="M20" s="36">
        <v>38300</v>
      </c>
      <c r="N20" s="36">
        <v>46400</v>
      </c>
      <c r="O20" s="36">
        <v>56200</v>
      </c>
      <c r="P20" s="36">
        <v>68100</v>
      </c>
      <c r="Q20" s="36">
        <v>82500</v>
      </c>
      <c r="R20" s="36">
        <v>100000</v>
      </c>
      <c r="S20" s="9"/>
      <c r="T20" s="9"/>
      <c r="U20" s="9"/>
      <c r="V20" s="9"/>
      <c r="W20" s="9"/>
      <c r="X20" s="9"/>
      <c r="Y20" s="9"/>
      <c r="Z20" s="9"/>
      <c r="AA20" s="9"/>
      <c r="AB20" s="9"/>
      <c r="AC20" s="9"/>
      <c r="AD20" s="9"/>
      <c r="AE20" s="9"/>
      <c r="AF20" s="9"/>
      <c r="AG20" s="9"/>
      <c r="AH20" s="9"/>
      <c r="AJ20">
        <f t="shared" si="3"/>
        <v>15</v>
      </c>
      <c r="AK20">
        <f t="shared" si="1"/>
        <v>18700</v>
      </c>
      <c r="AL20">
        <f t="shared" si="2"/>
        <v>82500</v>
      </c>
      <c r="AM20" t="str">
        <f>IF(OR('Pinstrap Reverse Lookup'!C$3=AL$3,'Pinstrap Reverse Lookup'!C$3='Resistor Selection'!AL$4),'Resistor Selection'!$AL$4,VLOOKUP('Resistor Selection'!AJ20,'Resistor Selection'!B$15:R$30,'Pinstrap Reverse Lookup'!E$3+2,FALSE))</f>
        <v>Open</v>
      </c>
      <c r="AN20">
        <f>IF(OR('Pinstrap Reverse Lookup'!C$4=AL$3,'Pinstrap Reverse Lookup'!C$4='Resistor Selection'!AL$4),'Resistor Selection'!$AL$4,VLOOKUP('Resistor Selection'!AJ20,'Resistor Selection'!B$15:R$30,'Pinstrap Reverse Lookup'!E$4+2,FALSE))</f>
        <v>1330</v>
      </c>
      <c r="AO20">
        <f>IF(OR('Pinstrap Reverse Lookup'!C$5=AL$3,'Pinstrap Reverse Lookup'!C$5='Resistor Selection'!AL$4),'Resistor Selection'!$AL$4,VLOOKUP('Resistor Selection'!AJ20,'Resistor Selection'!B$15:R$30,'Pinstrap Reverse Lookup'!E$5+2,FALSE))</f>
        <v>511</v>
      </c>
      <c r="AP20">
        <f>IF(OR('Pinstrap Reverse Lookup'!C$6=AL$3,'Pinstrap Reverse Lookup'!C$6='Resistor Selection'!AL$4),'Resistor Selection'!$AL$4,VLOOKUP('Resistor Selection'!AJ20,'Resistor Selection'!B$15:R$30,'Pinstrap Reverse Lookup'!E$6+2,FALSE))</f>
        <v>619</v>
      </c>
      <c r="AQ20">
        <f t="shared" si="0"/>
        <v>15</v>
      </c>
    </row>
    <row r="21" spans="2:43" x14ac:dyDescent="0.15">
      <c r="B21" s="20">
        <v>6</v>
      </c>
      <c r="C21" s="36">
        <v>4640</v>
      </c>
      <c r="D21" s="36">
        <v>5620</v>
      </c>
      <c r="E21" s="36">
        <v>6810</v>
      </c>
      <c r="F21" s="36">
        <v>8250</v>
      </c>
      <c r="G21" s="36">
        <v>10000</v>
      </c>
      <c r="H21" s="36">
        <v>12100</v>
      </c>
      <c r="I21" s="36">
        <v>14700</v>
      </c>
      <c r="J21" s="36">
        <v>17800</v>
      </c>
      <c r="K21" s="36">
        <v>21500</v>
      </c>
      <c r="L21" s="36">
        <v>26100</v>
      </c>
      <c r="M21" s="36">
        <v>31600</v>
      </c>
      <c r="N21" s="36">
        <v>38300</v>
      </c>
      <c r="O21" s="36">
        <v>46400</v>
      </c>
      <c r="P21" s="36">
        <v>56200</v>
      </c>
      <c r="Q21" s="36">
        <v>68100</v>
      </c>
      <c r="R21" s="36">
        <v>82500</v>
      </c>
      <c r="S21" s="9"/>
      <c r="T21" s="9"/>
      <c r="U21" s="9"/>
      <c r="V21" s="9"/>
      <c r="W21" s="9"/>
      <c r="X21" s="9"/>
      <c r="Y21" s="9"/>
      <c r="Z21" s="9"/>
      <c r="AA21" s="9"/>
      <c r="AB21" s="9"/>
      <c r="AC21" s="9"/>
      <c r="AD21" s="9"/>
      <c r="AE21" s="9"/>
      <c r="AF21" s="9"/>
      <c r="AG21" s="9"/>
      <c r="AH21" s="9"/>
      <c r="AJ21">
        <f t="shared" si="3"/>
        <v>16</v>
      </c>
      <c r="AK21">
        <f t="shared" si="1"/>
        <v>20500</v>
      </c>
      <c r="AQ21">
        <f t="shared" si="0"/>
        <v>16</v>
      </c>
    </row>
    <row r="22" spans="2:43" x14ac:dyDescent="0.15">
      <c r="B22" s="20">
        <v>7</v>
      </c>
      <c r="C22" s="36">
        <v>3830</v>
      </c>
      <c r="D22" s="36">
        <v>4640</v>
      </c>
      <c r="E22" s="36">
        <v>5620</v>
      </c>
      <c r="F22" s="36">
        <v>6810</v>
      </c>
      <c r="G22" s="36">
        <v>8250</v>
      </c>
      <c r="H22" s="36">
        <v>10000</v>
      </c>
      <c r="I22" s="36">
        <v>12100</v>
      </c>
      <c r="J22" s="36">
        <v>14700</v>
      </c>
      <c r="K22" s="36">
        <v>17800</v>
      </c>
      <c r="L22" s="36">
        <v>21500</v>
      </c>
      <c r="M22" s="36">
        <v>26100</v>
      </c>
      <c r="N22" s="36">
        <v>31600</v>
      </c>
      <c r="O22" s="36">
        <v>38300</v>
      </c>
      <c r="P22" s="36">
        <v>46400</v>
      </c>
      <c r="Q22" s="36">
        <v>56200</v>
      </c>
      <c r="R22" s="36">
        <v>68100</v>
      </c>
      <c r="S22" s="9"/>
      <c r="T22" s="9"/>
      <c r="U22" s="9"/>
      <c r="V22" s="9"/>
      <c r="W22" s="9"/>
      <c r="X22" s="9"/>
      <c r="Y22" s="9"/>
      <c r="Z22" s="9"/>
      <c r="AA22" s="9"/>
      <c r="AB22" s="9"/>
      <c r="AC22" s="9"/>
      <c r="AD22" s="9"/>
      <c r="AE22" s="9"/>
      <c r="AF22" s="9"/>
      <c r="AG22" s="9"/>
      <c r="AH22" s="9"/>
      <c r="AJ22">
        <f t="shared" si="3"/>
        <v>17</v>
      </c>
      <c r="AK22">
        <f t="shared" si="1"/>
        <v>22600</v>
      </c>
      <c r="AQ22">
        <f t="shared" si="0"/>
        <v>17</v>
      </c>
    </row>
    <row r="23" spans="2:43" x14ac:dyDescent="0.15">
      <c r="B23" s="20">
        <v>8</v>
      </c>
      <c r="C23" s="36">
        <v>3160</v>
      </c>
      <c r="D23" s="36">
        <v>3830</v>
      </c>
      <c r="E23" s="36">
        <v>4640</v>
      </c>
      <c r="F23" s="36">
        <v>5620</v>
      </c>
      <c r="G23" s="36">
        <v>6810</v>
      </c>
      <c r="H23" s="36">
        <v>8250</v>
      </c>
      <c r="I23" s="36">
        <v>10000</v>
      </c>
      <c r="J23" s="36">
        <v>12100</v>
      </c>
      <c r="K23" s="36">
        <v>14700</v>
      </c>
      <c r="L23" s="36">
        <v>17800</v>
      </c>
      <c r="M23" s="36">
        <v>21500</v>
      </c>
      <c r="N23" s="36">
        <v>26100</v>
      </c>
      <c r="O23" s="36">
        <v>31600</v>
      </c>
      <c r="P23" s="36">
        <v>38300</v>
      </c>
      <c r="Q23" s="36">
        <v>46400</v>
      </c>
      <c r="R23" s="36">
        <v>56200</v>
      </c>
      <c r="S23" s="9"/>
      <c r="T23" s="9"/>
      <c r="U23" s="9"/>
      <c r="V23" s="9"/>
      <c r="W23" s="9"/>
      <c r="X23" s="9"/>
      <c r="Y23" s="9"/>
      <c r="Z23" s="9"/>
      <c r="AA23" s="9"/>
      <c r="AB23" s="9"/>
      <c r="AC23" s="9"/>
      <c r="AD23" s="9"/>
      <c r="AE23" s="9"/>
      <c r="AF23" s="9"/>
      <c r="AG23" s="9"/>
      <c r="AH23" s="9"/>
      <c r="AJ23">
        <f t="shared" si="3"/>
        <v>18</v>
      </c>
      <c r="AK23">
        <f t="shared" si="1"/>
        <v>24900</v>
      </c>
      <c r="AQ23">
        <f t="shared" si="0"/>
        <v>18</v>
      </c>
    </row>
    <row r="24" spans="2:43" x14ac:dyDescent="0.15">
      <c r="B24" s="20">
        <v>9</v>
      </c>
      <c r="C24" s="36">
        <v>2610</v>
      </c>
      <c r="D24" s="36">
        <v>3160</v>
      </c>
      <c r="E24" s="36">
        <v>3830</v>
      </c>
      <c r="F24" s="36">
        <v>4640</v>
      </c>
      <c r="G24" s="36">
        <v>5620</v>
      </c>
      <c r="H24" s="36">
        <v>6810</v>
      </c>
      <c r="I24" s="36">
        <v>8250</v>
      </c>
      <c r="J24" s="36">
        <v>10000</v>
      </c>
      <c r="K24" s="36">
        <v>12100</v>
      </c>
      <c r="L24" s="36">
        <v>14700</v>
      </c>
      <c r="M24" s="36">
        <v>17800</v>
      </c>
      <c r="N24" s="36">
        <v>21500</v>
      </c>
      <c r="O24" s="36">
        <v>26100</v>
      </c>
      <c r="P24" s="36">
        <v>31600</v>
      </c>
      <c r="Q24" s="36">
        <v>38300</v>
      </c>
      <c r="R24" s="36">
        <v>46400</v>
      </c>
      <c r="S24" s="9"/>
      <c r="T24" s="9"/>
      <c r="U24" s="9"/>
      <c r="V24" s="9"/>
      <c r="W24" s="9"/>
      <c r="X24" s="9"/>
      <c r="Y24" s="9"/>
      <c r="Z24" s="9"/>
      <c r="AA24" s="9"/>
      <c r="AB24" s="9"/>
      <c r="AC24" s="9"/>
      <c r="AD24" s="9"/>
      <c r="AE24" s="9"/>
      <c r="AF24" s="9"/>
      <c r="AG24" s="9"/>
      <c r="AH24" s="9"/>
      <c r="AJ24">
        <f t="shared" si="3"/>
        <v>19</v>
      </c>
      <c r="AK24">
        <f t="shared" si="1"/>
        <v>27400</v>
      </c>
      <c r="AQ24">
        <f t="shared" si="0"/>
        <v>19</v>
      </c>
    </row>
    <row r="25" spans="2:43" x14ac:dyDescent="0.15">
      <c r="B25" s="20">
        <v>10</v>
      </c>
      <c r="C25" s="36">
        <v>2050</v>
      </c>
      <c r="D25" s="36">
        <v>2490</v>
      </c>
      <c r="E25" s="36">
        <v>3010</v>
      </c>
      <c r="F25" s="36">
        <v>3650</v>
      </c>
      <c r="G25" s="36">
        <v>4420</v>
      </c>
      <c r="H25" s="36">
        <v>5360</v>
      </c>
      <c r="I25" s="36">
        <v>6490</v>
      </c>
      <c r="J25" s="36">
        <v>7870</v>
      </c>
      <c r="K25" s="36">
        <v>9530</v>
      </c>
      <c r="L25" s="36">
        <v>11500</v>
      </c>
      <c r="M25" s="36">
        <v>14000</v>
      </c>
      <c r="N25" s="36">
        <v>16900</v>
      </c>
      <c r="O25" s="36">
        <v>20500</v>
      </c>
      <c r="P25" s="36">
        <v>24900</v>
      </c>
      <c r="Q25" s="36">
        <v>30100</v>
      </c>
      <c r="R25" s="36">
        <v>36500</v>
      </c>
      <c r="S25" s="9"/>
      <c r="T25" s="9"/>
      <c r="U25" s="9"/>
      <c r="V25" s="9"/>
      <c r="W25" s="9"/>
      <c r="X25" s="9"/>
      <c r="Y25" s="9"/>
      <c r="Z25" s="9"/>
      <c r="AA25" s="9"/>
      <c r="AB25" s="9"/>
      <c r="AC25" s="9"/>
      <c r="AD25" s="9"/>
      <c r="AE25" s="9"/>
      <c r="AF25" s="9"/>
      <c r="AG25" s="9"/>
      <c r="AH25" s="9"/>
      <c r="AJ25">
        <f t="shared" si="3"/>
        <v>20</v>
      </c>
      <c r="AK25">
        <f t="shared" si="1"/>
        <v>30100</v>
      </c>
      <c r="AQ25">
        <f t="shared" si="0"/>
        <v>20</v>
      </c>
    </row>
    <row r="26" spans="2:43" x14ac:dyDescent="0.15">
      <c r="B26" s="20">
        <v>11</v>
      </c>
      <c r="C26" s="36">
        <v>1620</v>
      </c>
      <c r="D26" s="36">
        <v>1960</v>
      </c>
      <c r="E26" s="36">
        <v>2370</v>
      </c>
      <c r="F26" s="36">
        <v>2870</v>
      </c>
      <c r="G26" s="36">
        <v>3480</v>
      </c>
      <c r="H26" s="36">
        <v>4220</v>
      </c>
      <c r="I26" s="36">
        <v>5110</v>
      </c>
      <c r="J26" s="36">
        <v>6190</v>
      </c>
      <c r="K26" s="36">
        <v>7500</v>
      </c>
      <c r="L26" s="36">
        <v>9090</v>
      </c>
      <c r="M26" s="36">
        <v>11000</v>
      </c>
      <c r="N26" s="36">
        <v>13300</v>
      </c>
      <c r="O26" s="36">
        <v>16200</v>
      </c>
      <c r="P26" s="36">
        <v>19600</v>
      </c>
      <c r="Q26" s="36">
        <v>23700</v>
      </c>
      <c r="R26" s="36">
        <v>28700</v>
      </c>
      <c r="S26" s="9"/>
      <c r="T26" s="9"/>
      <c r="U26" s="9"/>
      <c r="V26" s="9"/>
      <c r="W26" s="9"/>
      <c r="X26" s="9"/>
      <c r="Y26" s="9"/>
      <c r="Z26" s="9"/>
      <c r="AA26" s="9"/>
      <c r="AB26" s="9"/>
      <c r="AC26" s="9"/>
      <c r="AD26" s="9"/>
      <c r="AE26" s="9"/>
      <c r="AF26" s="9"/>
      <c r="AG26" s="9"/>
      <c r="AH26" s="9"/>
      <c r="AJ26">
        <f t="shared" si="3"/>
        <v>21</v>
      </c>
      <c r="AK26">
        <f t="shared" si="1"/>
        <v>33200</v>
      </c>
      <c r="AQ26">
        <f t="shared" si="0"/>
        <v>21</v>
      </c>
    </row>
    <row r="27" spans="2:43" x14ac:dyDescent="0.15">
      <c r="B27" s="20">
        <v>12</v>
      </c>
      <c r="C27" s="36">
        <v>1270</v>
      </c>
      <c r="D27" s="36">
        <v>1540</v>
      </c>
      <c r="E27" s="36">
        <v>1870</v>
      </c>
      <c r="F27" s="36">
        <v>2260</v>
      </c>
      <c r="G27" s="36">
        <v>2740</v>
      </c>
      <c r="H27" s="36">
        <v>3320</v>
      </c>
      <c r="I27" s="36">
        <v>4020</v>
      </c>
      <c r="J27" s="36">
        <v>4870</v>
      </c>
      <c r="K27" s="36">
        <v>5900</v>
      </c>
      <c r="L27" s="36">
        <v>7150</v>
      </c>
      <c r="M27" s="36">
        <v>8660</v>
      </c>
      <c r="N27" s="36">
        <v>10500</v>
      </c>
      <c r="O27" s="36">
        <v>12700</v>
      </c>
      <c r="P27" s="36">
        <v>15400</v>
      </c>
      <c r="Q27" s="36">
        <v>18700</v>
      </c>
      <c r="R27" s="36">
        <v>22600</v>
      </c>
      <c r="S27" s="9"/>
      <c r="T27" s="9"/>
      <c r="U27" s="9"/>
      <c r="V27" s="9"/>
      <c r="W27" s="9"/>
      <c r="X27" s="9"/>
      <c r="Y27" s="9"/>
      <c r="Z27" s="9"/>
      <c r="AA27" s="9"/>
      <c r="AB27" s="9"/>
      <c r="AC27" s="9"/>
      <c r="AD27" s="9"/>
      <c r="AE27" s="9"/>
      <c r="AF27" s="9"/>
      <c r="AG27" s="9"/>
      <c r="AH27" s="9"/>
      <c r="AJ27">
        <f t="shared" si="3"/>
        <v>22</v>
      </c>
      <c r="AK27">
        <f t="shared" si="1"/>
        <v>36500</v>
      </c>
      <c r="AQ27">
        <f t="shared" si="0"/>
        <v>22</v>
      </c>
    </row>
    <row r="28" spans="2:43" x14ac:dyDescent="0.15">
      <c r="B28" s="20">
        <v>13</v>
      </c>
      <c r="C28" s="36">
        <v>953</v>
      </c>
      <c r="D28" s="36">
        <v>1150</v>
      </c>
      <c r="E28" s="36">
        <v>1400</v>
      </c>
      <c r="F28" s="36">
        <v>1690</v>
      </c>
      <c r="G28" s="36">
        <v>2050</v>
      </c>
      <c r="H28" s="36">
        <v>2490</v>
      </c>
      <c r="I28" s="36">
        <v>3010</v>
      </c>
      <c r="J28" s="36">
        <v>3650</v>
      </c>
      <c r="K28" s="36">
        <v>4420</v>
      </c>
      <c r="L28" s="36">
        <v>5360</v>
      </c>
      <c r="M28" s="36">
        <v>6490</v>
      </c>
      <c r="N28" s="36">
        <v>7870</v>
      </c>
      <c r="O28" s="36">
        <v>9530</v>
      </c>
      <c r="P28" s="36">
        <v>11500</v>
      </c>
      <c r="Q28" s="36">
        <v>14000</v>
      </c>
      <c r="R28" s="36">
        <v>16900</v>
      </c>
      <c r="S28" s="9"/>
      <c r="T28" s="9"/>
      <c r="U28" s="9"/>
      <c r="V28" s="9"/>
      <c r="W28" s="9"/>
      <c r="X28" s="9"/>
      <c r="Y28" s="9"/>
      <c r="Z28" s="9"/>
      <c r="AA28" s="9"/>
      <c r="AB28" s="9"/>
      <c r="AC28" s="9"/>
      <c r="AD28" s="9"/>
      <c r="AE28" s="9"/>
      <c r="AF28" s="9"/>
      <c r="AG28" s="9"/>
      <c r="AH28" s="9"/>
      <c r="AJ28">
        <f t="shared" si="3"/>
        <v>23</v>
      </c>
      <c r="AK28">
        <f t="shared" si="1"/>
        <v>40200</v>
      </c>
      <c r="AQ28">
        <f t="shared" si="0"/>
        <v>23</v>
      </c>
    </row>
    <row r="29" spans="2:43" x14ac:dyDescent="0.15">
      <c r="B29" s="20">
        <v>14</v>
      </c>
      <c r="C29" s="36">
        <v>715</v>
      </c>
      <c r="D29" s="36">
        <v>866</v>
      </c>
      <c r="E29" s="36">
        <v>1050</v>
      </c>
      <c r="F29" s="36">
        <v>1270</v>
      </c>
      <c r="G29" s="36">
        <v>1540</v>
      </c>
      <c r="H29" s="36">
        <v>1870</v>
      </c>
      <c r="I29" s="36">
        <v>2260</v>
      </c>
      <c r="J29" s="36">
        <v>2740</v>
      </c>
      <c r="K29" s="36">
        <v>3320</v>
      </c>
      <c r="L29" s="36">
        <v>4020</v>
      </c>
      <c r="M29" s="36">
        <v>4870</v>
      </c>
      <c r="N29" s="36">
        <v>5900</v>
      </c>
      <c r="O29" s="36">
        <v>7150</v>
      </c>
      <c r="P29" s="36">
        <v>8660</v>
      </c>
      <c r="Q29" s="36">
        <v>10500</v>
      </c>
      <c r="R29" s="36">
        <v>12700</v>
      </c>
      <c r="S29" s="9"/>
      <c r="T29" s="9"/>
      <c r="U29" s="9"/>
      <c r="V29" s="9"/>
      <c r="W29" s="9"/>
      <c r="X29" s="9"/>
      <c r="Y29" s="9"/>
      <c r="Z29" s="9"/>
      <c r="AA29" s="9"/>
      <c r="AB29" s="9"/>
      <c r="AC29" s="9"/>
      <c r="AD29" s="9"/>
      <c r="AE29" s="9"/>
      <c r="AF29" s="9"/>
      <c r="AG29" s="9"/>
      <c r="AH29" s="9"/>
      <c r="AJ29">
        <f t="shared" si="3"/>
        <v>24</v>
      </c>
      <c r="AK29">
        <f t="shared" si="1"/>
        <v>44200</v>
      </c>
      <c r="AQ29">
        <f t="shared" si="0"/>
        <v>24</v>
      </c>
    </row>
    <row r="30" spans="2:43" x14ac:dyDescent="0.15">
      <c r="B30" s="20">
        <v>15</v>
      </c>
      <c r="C30" s="36">
        <v>511</v>
      </c>
      <c r="D30" s="36">
        <v>619</v>
      </c>
      <c r="E30" s="36">
        <v>750</v>
      </c>
      <c r="F30" s="36">
        <v>909</v>
      </c>
      <c r="G30" s="36">
        <v>1100</v>
      </c>
      <c r="H30" s="36">
        <v>1330</v>
      </c>
      <c r="I30" s="36">
        <v>1620</v>
      </c>
      <c r="J30" s="36">
        <v>1960</v>
      </c>
      <c r="K30" s="36">
        <v>2370</v>
      </c>
      <c r="L30" s="36">
        <v>2870</v>
      </c>
      <c r="M30" s="36">
        <v>3480</v>
      </c>
      <c r="N30" s="36">
        <v>4220</v>
      </c>
      <c r="O30" s="36">
        <v>5110</v>
      </c>
      <c r="P30" s="36">
        <v>6190</v>
      </c>
      <c r="Q30" s="36">
        <v>7500</v>
      </c>
      <c r="R30" s="36">
        <v>9090</v>
      </c>
      <c r="S30" s="9"/>
      <c r="T30" s="9"/>
      <c r="U30" s="9"/>
      <c r="V30" s="9"/>
      <c r="W30" s="9"/>
      <c r="X30" s="9"/>
      <c r="Y30" s="9"/>
      <c r="Z30" s="9"/>
      <c r="AA30" s="9"/>
      <c r="AB30" s="9"/>
      <c r="AC30" s="9"/>
      <c r="AD30" s="9"/>
      <c r="AE30" s="9"/>
      <c r="AF30" s="9"/>
      <c r="AG30" s="9"/>
      <c r="AH30" s="9"/>
      <c r="AJ30">
        <f t="shared" si="3"/>
        <v>25</v>
      </c>
      <c r="AK30">
        <f t="shared" si="1"/>
        <v>48700</v>
      </c>
      <c r="AQ30">
        <f t="shared" si="0"/>
        <v>25</v>
      </c>
    </row>
    <row r="31" spans="2:43" x14ac:dyDescent="0.15">
      <c r="S31" s="9"/>
      <c r="T31" s="9"/>
      <c r="U31" s="9"/>
      <c r="V31" s="9"/>
      <c r="W31" s="9"/>
      <c r="X31" s="9"/>
      <c r="Y31" s="9"/>
      <c r="Z31" s="9"/>
      <c r="AA31" s="9"/>
      <c r="AB31" s="9"/>
      <c r="AC31" s="9"/>
      <c r="AD31" s="9"/>
      <c r="AE31" s="9"/>
      <c r="AF31" s="9"/>
      <c r="AG31" s="9"/>
      <c r="AH31" s="9"/>
      <c r="AJ31">
        <f t="shared" si="3"/>
        <v>26</v>
      </c>
      <c r="AK31">
        <f t="shared" si="1"/>
        <v>53600</v>
      </c>
      <c r="AQ31">
        <f t="shared" si="0"/>
        <v>26</v>
      </c>
    </row>
    <row r="32" spans="2:43" x14ac:dyDescent="0.15">
      <c r="AJ32">
        <f t="shared" si="3"/>
        <v>27</v>
      </c>
      <c r="AK32">
        <f t="shared" si="1"/>
        <v>59000</v>
      </c>
      <c r="AQ32">
        <f t="shared" si="0"/>
        <v>27</v>
      </c>
    </row>
    <row r="33" spans="36:43" x14ac:dyDescent="0.15">
      <c r="AJ33">
        <f t="shared" si="3"/>
        <v>28</v>
      </c>
      <c r="AK33">
        <f t="shared" si="1"/>
        <v>64900</v>
      </c>
      <c r="AQ33">
        <f t="shared" si="0"/>
        <v>28</v>
      </c>
    </row>
    <row r="34" spans="36:43" x14ac:dyDescent="0.15">
      <c r="AJ34">
        <f t="shared" si="3"/>
        <v>29</v>
      </c>
      <c r="AK34">
        <f t="shared" si="1"/>
        <v>71500</v>
      </c>
      <c r="AQ34">
        <f t="shared" si="0"/>
        <v>29</v>
      </c>
    </row>
    <row r="35" spans="36:43" x14ac:dyDescent="0.15">
      <c r="AJ35">
        <f t="shared" si="3"/>
        <v>30</v>
      </c>
      <c r="AK35">
        <f t="shared" si="1"/>
        <v>78700</v>
      </c>
      <c r="AQ35">
        <f t="shared" si="0"/>
        <v>30</v>
      </c>
    </row>
    <row r="36" spans="36:43" x14ac:dyDescent="0.15">
      <c r="AJ36">
        <f t="shared" si="3"/>
        <v>31</v>
      </c>
      <c r="AK36">
        <f t="shared" si="1"/>
        <v>86600</v>
      </c>
      <c r="AQ36">
        <f t="shared" si="0"/>
        <v>31</v>
      </c>
    </row>
  </sheetData>
  <sheetProtection sheet="1" objects="1" scenarios="1" selectLockedCells="1"/>
  <mergeCells count="2">
    <mergeCell ref="B1:AH1"/>
    <mergeCell ref="B12:R12"/>
  </mergeCells>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Ver_x002e_ xmlns="3c78f53b-1e1a-4bd0-bde5-8f4af4b526cf">1</Ver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B57CC44EE9C9449C2A26F40A8282C4" ma:contentTypeVersion="1" ma:contentTypeDescription="Create a new document." ma:contentTypeScope="" ma:versionID="b6ef5f7a1601679a84dbf06269006c08">
  <xsd:schema xmlns:xsd="http://www.w3.org/2001/XMLSchema" xmlns:xs="http://www.w3.org/2001/XMLSchema" xmlns:p="http://schemas.microsoft.com/office/2006/metadata/properties" xmlns:ns2="3c78f53b-1e1a-4bd0-bde5-8f4af4b526cf" targetNamespace="http://schemas.microsoft.com/office/2006/metadata/properties" ma:root="true" ma:fieldsID="02ecee3fe3ac56addc47ae9c7087b6a0" ns2:_="">
    <xsd:import namespace="3c78f53b-1e1a-4bd0-bde5-8f4af4b526cf"/>
    <xsd:element name="properties">
      <xsd:complexType>
        <xsd:sequence>
          <xsd:element name="documentManagement">
            <xsd:complexType>
              <xsd:all>
                <xsd:element ref="ns2:Ver_x002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8f53b-1e1a-4bd0-bde5-8f4af4b526cf" elementFormDefault="qualified">
    <xsd:import namespace="http://schemas.microsoft.com/office/2006/documentManagement/types"/>
    <xsd:import namespace="http://schemas.microsoft.com/office/infopath/2007/PartnerControls"/>
    <xsd:element name="Ver_x002e_" ma:index="8" ma:displayName="Ver." ma:description="Document version" ma:list="{3c78f53b-1e1a-4bd0-bde5-8f4af4b526cf}" ma:internalName="Ver_x002e_" ma:showField="_UIVersionString">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6E7A8-5D77-46DF-BE6D-4ED3D887F47D}">
  <ds:schemaRefs>
    <ds:schemaRef ds:uri="http://schemas.microsoft.com/sharepoint/v3/contenttype/forms"/>
  </ds:schemaRefs>
</ds:datastoreItem>
</file>

<file path=customXml/itemProps2.xml><?xml version="1.0" encoding="utf-8"?>
<ds:datastoreItem xmlns:ds="http://schemas.openxmlformats.org/officeDocument/2006/customXml" ds:itemID="{44B62997-24DA-40E7-8841-8284CD6E711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3c78f53b-1e1a-4bd0-bde5-8f4af4b526cf"/>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48285369-BA58-4D2A-9658-B4FC5C66D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8f53b-1e1a-4bd0-bde5-8f4af4b52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30</vt:i4>
      </vt:variant>
    </vt:vector>
  </HeadingPairs>
  <TitlesOfParts>
    <vt:vector size="37" baseType="lpstr">
      <vt:lpstr>Design Worksheet</vt:lpstr>
      <vt:lpstr>Pin Detect Programming</vt:lpstr>
      <vt:lpstr>COMP_DECODE</vt:lpstr>
      <vt:lpstr>Pinstrap Reverse Lookup</vt:lpstr>
      <vt:lpstr>Compensation References</vt:lpstr>
      <vt:lpstr>Resistor References</vt:lpstr>
      <vt:lpstr>Resistor Selection</vt:lpstr>
      <vt:lpstr>Cin_cer</vt:lpstr>
      <vt:lpstr>Comp_Code</vt:lpstr>
      <vt:lpstr>Cout_bulk</vt:lpstr>
      <vt:lpstr>Cout_cer</vt:lpstr>
      <vt:lpstr>Cout_max</vt:lpstr>
      <vt:lpstr>Cout_total</vt:lpstr>
      <vt:lpstr>CSA</vt:lpstr>
      <vt:lpstr>ESR_bulk</vt:lpstr>
      <vt:lpstr>ESR_cer</vt:lpstr>
      <vt:lpstr>fcoi_trgt</vt:lpstr>
      <vt:lpstr>fcov_trgt</vt:lpstr>
      <vt:lpstr>fpi_trgt</vt:lpstr>
      <vt:lpstr>fsw</vt:lpstr>
      <vt:lpstr>fzi_trgt</vt:lpstr>
      <vt:lpstr>GM_PS</vt:lpstr>
      <vt:lpstr>ILOOP</vt:lpstr>
      <vt:lpstr>ILOOP_trgt</vt:lpstr>
      <vt:lpstr>Iout</vt:lpstr>
      <vt:lpstr>Iphase</vt:lpstr>
      <vt:lpstr>Iripple</vt:lpstr>
      <vt:lpstr>Lout</vt:lpstr>
      <vt:lpstr>Mod_ratio</vt:lpstr>
      <vt:lpstr>Phases</vt:lpstr>
      <vt:lpstr>Pvin</vt:lpstr>
      <vt:lpstr>VLOOP</vt:lpstr>
      <vt:lpstr>VLOOP_trgt</vt:lpstr>
      <vt:lpstr>VOSL</vt:lpstr>
      <vt:lpstr>Vout</vt:lpstr>
      <vt:lpstr>Vref</vt:lpstr>
      <vt:lpstr>Zout_fco_trgt</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Peter</dc:creator>
  <cp:lastModifiedBy>Administrator</cp:lastModifiedBy>
  <dcterms:created xsi:type="dcterms:W3CDTF">2017-09-08T18:35:14Z</dcterms:created>
  <dcterms:modified xsi:type="dcterms:W3CDTF">2021-09-28T02:34:33Z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0x01010015B57CC44EE9C9449C2A26F40A8282C4</vt:lpwstr>
  </property>
</Properties>
</file>