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tabRatio="492" activeTab="0"/>
  </bookViews>
  <sheets>
    <sheet name="DESIGN INPUTS AND CALCULATIONS" sheetId="1" r:id="rId1"/>
    <sheet name="SCHEMATIC" sheetId="2" r:id="rId2"/>
    <sheet name="data" sheetId="3" state="hidden" r:id="rId3"/>
    <sheet name="VCOMP" sheetId="4" state="hidden" r:id="rId4"/>
  </sheets>
  <externalReferences>
    <externalReference r:id="rId7"/>
  </externalReferences>
  <definedNames>
    <definedName name="a_1">'data'!$H$39</definedName>
    <definedName name="a_2">'data'!$H$49</definedName>
    <definedName name="a_3">'data'!$H$60</definedName>
    <definedName name="a_4">'data'!$H$65</definedName>
    <definedName name="Alpha1_A">'[1]Ideal ICOMP_MH'!$B$309</definedName>
    <definedName name="Alpha1_B">'[1]Ideal ICOMP_MH'!$B$310</definedName>
    <definedName name="Alpha1_C">'[1]Ideal ICOMP_MH'!$B$311</definedName>
    <definedName name="Alpha2">'[1]Ideal ICOMP_MH'!$B$313</definedName>
    <definedName name="b_1">'data'!$H$40</definedName>
    <definedName name="b_2">'data'!$H$50</definedName>
    <definedName name="b_3">'data'!$H$61</definedName>
    <definedName name="b_4">'data'!$H$66</definedName>
    <definedName name="Beta">'[1]Ideal ICOMP_MH'!$B$314</definedName>
    <definedName name="c_1">'data'!$H$41</definedName>
    <definedName name="c_2">'data'!$H$51</definedName>
    <definedName name="c_3">'data'!$H$62</definedName>
    <definedName name="C_f1">'data'!$B$245</definedName>
    <definedName name="C_f2">'data'!$B$257</definedName>
    <definedName name="C_s1">'data'!$A$234</definedName>
    <definedName name="C_s2">'data'!$A$247</definedName>
    <definedName name="Cicomp">'DESIGN INPUTS AND CALCULATIONS'!$C$190</definedName>
    <definedName name="Cicomp_maxrcmd">'DESIGN INPUTS AND CALCULATIONS'!$C$188</definedName>
    <definedName name="Cicomp_minrcmd">'DESIGN INPUTS AND CALCULATIONS'!$C$189</definedName>
    <definedName name="CICOMPmax_initial">'data'!$F$251</definedName>
    <definedName name="CICOMPmin_initial">'data'!$F$256</definedName>
    <definedName name="Cin">'DESIGN INPUTS AND CALCULATIONS'!$C$69</definedName>
    <definedName name="Cin_initial">'data'!$F$227</definedName>
    <definedName name="Cin_rcmd">'DESIGN INPUTS AND CALCULATIONS'!$C$68</definedName>
    <definedName name="Cisense">'DESIGN INPUTS AND CALCULATIONS'!$C$126</definedName>
    <definedName name="Cisense_initial">'data'!$F$275</definedName>
    <definedName name="Coss">'DESIGN INPUTS AND CALCULATIONS'!$C$104</definedName>
    <definedName name="Cout">'DESIGN INPUTS AND CALCULATIONS'!$C$134</definedName>
    <definedName name="Cout_initial">'data'!$F$235</definedName>
    <definedName name="Cout_rcmd">'DESIGN INPUTS AND CALCULATIONS'!$C$133</definedName>
    <definedName name="Cvcomp">'DESIGN INPUTS AND CALCULATIONS'!$C$261</definedName>
    <definedName name="Cvcomp_p">'DESIGN INPUTS AND CALCULATIONS'!$C$267</definedName>
    <definedName name="Cvcomp_p_initial">'data'!$F$270</definedName>
    <definedName name="Cvcomp_p_rcmd">'DESIGN INPUTS AND CALCULATIONS'!$C$266</definedName>
    <definedName name="Cvcomp_rcmd">'DESIGN INPUTS AND CALCULATIONS'!$C$260</definedName>
    <definedName name="CVCOMPinitial">'data'!$F$261</definedName>
    <definedName name="Cvins">'DESIGN INPUTS AND CALCULATIONS'!$C$312</definedName>
    <definedName name="Cvins_actual">'DESIGN INPUTS AND CALCULATIONS'!$C$313</definedName>
    <definedName name="Cvsense">'DESIGN INPUTS AND CALCULATIONS'!$C$152</definedName>
    <definedName name="Cvsense_initial">'data'!$F$244</definedName>
    <definedName name="d_1">'data'!$H$42</definedName>
    <definedName name="d_2">'data'!$H$52</definedName>
    <definedName name="delta_Rfb1">'DESIGN INPUTS AND CALCULATIONS'!#REF!</definedName>
    <definedName name="delta_Rfb2">'DESIGN INPUTS AND CALCULATIONS'!#REF!</definedName>
    <definedName name="Dmax">'DESIGN INPUTS AND CALCULATIONS'!$C$74</definedName>
    <definedName name="_xlnm.Print_Area" localSheetId="0">'DESIGN INPUTS AND CALCULATIONS'!$A$1:$E$49</definedName>
    <definedName name="E_48f">'data'!$B$228</definedName>
    <definedName name="E_48s">'data'!$A$181</definedName>
    <definedName name="eff">'DESIGN INPUTS AND CALCULATIONS'!$C$35</definedName>
    <definedName name="f_Iavg">'DESIGN INPUTS AND CALCULATIONS'!$C$188</definedName>
    <definedName name="fiavg">'DESIGN INPUTS AND CALCULATIONS'!$C$191</definedName>
    <definedName name="fline_max">'DESIGN INPUTS AND CALCULATIONS'!$C$26</definedName>
    <definedName name="fline_min">'DESIGN INPUTS AND CALCULATIONS'!$C$25</definedName>
    <definedName name="fline_nom">'DESIGN INPUTS AND CALCULATIONS'!#REF!</definedName>
    <definedName name="fpole">'DESIGN INPUTS AND CALCULATIONS'!$C$265</definedName>
    <definedName name="fPWM_PSpole">'DESIGN INPUTS AND CALCULATIONS'!$C$257</definedName>
    <definedName name="fsw">'DESIGN INPUTS AND CALCULATIONS'!$C$41</definedName>
    <definedName name="fSW_target">'DESIGN INPUTS AND CALCULATIONS'!$C$38</definedName>
    <definedName name="ftyp">'data'!$H$33</definedName>
    <definedName name="fv">'DESIGN INPUTS AND CALCULATIONS'!$C$258</definedName>
    <definedName name="fzero">'DESIGN INPUTS AND CALCULATIONS'!$C$264</definedName>
    <definedName name="G">'[1]Ideal ICOMP_MH'!$B$315</definedName>
    <definedName name="gmi">'data'!$F$249</definedName>
    <definedName name="gmv">'data'!$I$249</definedName>
    <definedName name="GVL_dB">'DESIGN INPUTS AND CALCULATIONS'!$C$259</definedName>
    <definedName name="I_Lpeak">'DESIGN INPUTS AND CALCULATIONS'!$C$75</definedName>
    <definedName name="Ibridge">'DESIGN INPUTS AND CALCULATIONS'!$C$57</definedName>
    <definedName name="Icout_2fline">'DESIGN INPUTS AND CALCULATIONS'!$C$137</definedName>
    <definedName name="Icout_HF">'DESIGN INPUTS AND CALCULATIONS'!$C$138</definedName>
    <definedName name="Icout_rms">'DESIGN INPUTS AND CALCULATIONS'!$C$139</definedName>
    <definedName name="Ids_rms">'DESIGN INPUTS AND CALCULATIONS'!$C$99</definedName>
    <definedName name="Ifuse">'DESIGN INPUTS AND CALCULATIONS'!$C$49</definedName>
    <definedName name="Iin_avg_max">'DESIGN INPUTS AND CALCULATIONS'!$C$48</definedName>
    <definedName name="Iin_peak_max">'DESIGN INPUTS AND CALCULATIONS'!$C$47</definedName>
    <definedName name="Iin_rms_max">'DESIGN INPUTS AND CALCULATIONS'!$C$46</definedName>
    <definedName name="Iinrush">'DESIGN INPUTS AND CALCULATIONS'!$C$124</definedName>
    <definedName name="Il_peak_actual">'DESIGN INPUTS AND CALCULATIONS'!$C$79</definedName>
    <definedName name="Iout">'DESIGN INPUTS AND CALCULATIONS'!$C$37</definedName>
    <definedName name="Iout_OC">'DESIGN INPUTS AND CALCULATIONS'!$C$121</definedName>
    <definedName name="Ipcl">'DESIGN INPUTS AND CALCULATIONS'!$C$122</definedName>
    <definedName name="Iripple">'DESIGN INPUTS AND CALCULATIONS'!$C$66</definedName>
    <definedName name="Iripple_actual">'DESIGN INPUTS AND CALCULATIONS'!$C$78</definedName>
    <definedName name="Isoc">'DESIGN INPUTS AND CALCULATIONS'!$C$119</definedName>
    <definedName name="K_1">'data'!$H$31</definedName>
    <definedName name="K_1V2">'data'!$H$43</definedName>
    <definedName name="K_1V3">'data'!$H$53</definedName>
    <definedName name="K_2V2">'data'!$H$44</definedName>
    <definedName name="K_2V3">'data'!$H$54</definedName>
    <definedName name="K_3V2">'data'!$H$45</definedName>
    <definedName name="K_3V3">'data'!$H$55</definedName>
    <definedName name="K_4V2">'data'!$H$46</definedName>
    <definedName name="K_4V3">'data'!$H$56</definedName>
    <definedName name="K_5V3">'data'!$H$57</definedName>
    <definedName name="K_FQ">'data'!$H$32</definedName>
    <definedName name="kHz">'data'!$H$7</definedName>
    <definedName name="kOhms">'data'!$H$18</definedName>
    <definedName name="L_I_ripple_factor">'DESIGN INPUTS AND CALCULATIONS'!$C$64</definedName>
    <definedName name="Lbst">'DESIGN INPUTS AND CALCULATIONS'!$C$77</definedName>
    <definedName name="Lbst_rcmd">'DESIGN INPUTS AND CALCULATIONS'!$C$76</definedName>
    <definedName name="Lripplefactor_actual">'DESIGN INPUTS AND CALCULATIONS'!$C$80</definedName>
    <definedName name="M_1">'DESIGN INPUTS AND CALCULATIONS'!$C$185</definedName>
    <definedName name="M_2">'DESIGN INPUTS AND CALCULATIONS'!$C$186</definedName>
    <definedName name="M_3">'DESIGN INPUTS AND CALCULATIONS'!$C$187</definedName>
    <definedName name="M1M2">'data'!$H$35</definedName>
    <definedName name="M1M2_calc">'DESIGN INPUTS AND CALCULATIONS'!$C$183</definedName>
    <definedName name="mA">'data'!$H$10</definedName>
    <definedName name="MegOhm">'data'!$H$22</definedName>
    <definedName name="mH">'data'!$H$23</definedName>
    <definedName name="MHz">'data'!$H$16</definedName>
    <definedName name="mOhms">'data'!$H$8</definedName>
    <definedName name="ms">'data'!$H$9</definedName>
    <definedName name="mV">'data'!$H$5</definedName>
    <definedName name="mW">'data'!$H$14</definedName>
    <definedName name="nC">'data'!$H$19</definedName>
    <definedName name="nF">'data'!$H$20</definedName>
    <definedName name="Nholdup">'DESIGN INPUTS AND CALCULATIONS'!$C$131</definedName>
    <definedName name="Nibop">'DESIGN INPUTS AND CALCULATIONS'!$C$311</definedName>
    <definedName name="Nibop_actual">'DESIGN INPUTS AND CALCULATIONS'!$C$314</definedName>
    <definedName name="ns">'data'!$H$13</definedName>
    <definedName name="P_FET">'DESIGN INPUTS AND CALCULATIONS'!$C$111</definedName>
    <definedName name="P_FETcond">'DESIGN INPUTS AND CALCULATIONS'!$C$109</definedName>
    <definedName name="P_FETgate">'DESIGN INPUTS AND CALCULATIONS'!$C$108</definedName>
    <definedName name="P_FETsw">'DESIGN INPUTS AND CALCULATIONS'!$C$110</definedName>
    <definedName name="P_Rsense">'DESIGN INPUTS AND CALCULATIONS'!$C$120</definedName>
    <definedName name="P_rvins">'DESIGN INPUTS AND CALCULATIONS'!$C$310</definedName>
    <definedName name="P_rvins1">'DESIGN INPUTS AND CALCULATIONS'!$C$310</definedName>
    <definedName name="Pbridge">'DESIGN INPUTS AND CALCULATIONS'!$C$59</definedName>
    <definedName name="Pdiode">'DESIGN INPUTS AND CALCULATIONS'!$C$91</definedName>
    <definedName name="Pdiode_cond">'DESIGN INPUTS AND CALCULATIONS'!$C$89</definedName>
    <definedName name="Pdiode_reverse">'DESIGN INPUTS AND CALCULATIONS'!$C$90</definedName>
    <definedName name="Pdivider">'DESIGN INPUTS AND CALCULATIONS'!$C$153</definedName>
    <definedName name="percent_load">'DESIGN INPUTS AND CALCULATIONS'!$J$186</definedName>
    <definedName name="PF">'DESIGN INPUTS AND CALCULATIONS'!$C$34</definedName>
    <definedName name="picoF">'data'!$H$15</definedName>
    <definedName name="Pin_max">'DESIGN INPUTS AND CALCULATIONS'!$C$45</definedName>
    <definedName name="Pout">'DESIGN INPUTS AND CALCULATIONS'!$C$32</definedName>
    <definedName name="Prsense">'DESIGN INPUTS AND CALCULATIONS'!$C$120</definedName>
    <definedName name="Pvins">'DESIGN INPUTS AND CALCULATIONS'!$C$310</definedName>
    <definedName name="Qg">'DESIGN INPUTS AND CALCULATIONS'!$C$101</definedName>
    <definedName name="Qrr">'DESIGN INPUTS AND CALCULATIONS'!$C$85</definedName>
    <definedName name="R_fb1">'DESIGN INPUTS AND CALCULATIONS'!$C$144</definedName>
    <definedName name="R_fb2">'DESIGN INPUTS AND CALCULATIONS'!$C$146</definedName>
    <definedName name="R_fb2_rcmd">'DESIGN INPUTS AND CALCULATIONS'!$C$145</definedName>
    <definedName name="Rchs_bridge">'DESIGN INPUTS AND CALCULATIONS'!$C$55</definedName>
    <definedName name="Rds_on">'DESIGN INPUTS AND CALCULATIONS'!$C$100</definedName>
    <definedName name="Rfb1_rcmd">'DESIGN INPUTS AND CALCULATIONS'!$C$143</definedName>
    <definedName name="Rfb1_tempco">'DESIGN INPUTS AND CALCULATIONS'!#REF!</definedName>
    <definedName name="Rfb2_tempco">'DESIGN INPUTS AND CALCULATIONS'!#REF!</definedName>
    <definedName name="Rfb2initial">'data'!$F$241</definedName>
    <definedName name="Rfreq">'DESIGN INPUTS AND CALCULATIONS'!$C$40</definedName>
    <definedName name="Rfreq_initial">'data'!$F$232</definedName>
    <definedName name="Rfreq_rcmd">'DESIGN INPUTS AND CALCULATIONS'!$C$39</definedName>
    <definedName name="Risense">'DESIGN INPUTS AND CALCULATIONS'!$C$125</definedName>
    <definedName name="Rjc_bridge">'DESIGN INPUTS AND CALCULATIONS'!$C$54</definedName>
    <definedName name="Rsense">'DESIGN INPUTS AND CALCULATIONS'!$C$117</definedName>
    <definedName name="Rsense_ideal">'DESIGN INPUTS AND CALCULATIONS'!$C$116</definedName>
    <definedName name="Rth_case_hs">'DESIGN INPUTS AND CALCULATIONS'!$C$88</definedName>
    <definedName name="Rth_CHS_FET">'DESIGN INPUTS AND CALCULATIONS'!$C$107</definedName>
    <definedName name="Rth_diode">'DESIGN INPUTS AND CALCULATIONS'!$C$87</definedName>
    <definedName name="Rth_hs_bridge">'DESIGN INPUTS AND CALCULATIONS'!$C$60</definedName>
    <definedName name="Rth_hs_diode">'DESIGN INPUTS AND CALCULATIONS'!$C$92</definedName>
    <definedName name="Rth_hs_FET">'DESIGN INPUTS AND CALCULATIONS'!$C$112</definedName>
    <definedName name="Rth_jc_FET">'DESIGN INPUTS AND CALCULATIONS'!$C$106</definedName>
    <definedName name="Rvcomp">'DESIGN INPUTS AND CALCULATIONS'!$C$263</definedName>
    <definedName name="Rvcomp_initial">'data'!$F$266</definedName>
    <definedName name="Rvcomp_rcmd">'DESIGN INPUTS AND CALCULATIONS'!$C$262</definedName>
    <definedName name="Rvins1">'DESIGN INPUTS AND CALCULATIONS'!$C$306</definedName>
    <definedName name="Rvins2">'DESIGN INPUTS AND CALCULATIONS'!$C$309</definedName>
    <definedName name="t_holdup">'DESIGN INPUTS AND CALCULATIONS'!$C$132</definedName>
    <definedName name="Tamb">'DESIGN INPUTS AND CALCULATIONS'!$C$36</definedName>
    <definedName name="tf_FET">'DESIGN INPUTS AND CALCULATIONS'!$C$103</definedName>
    <definedName name="Tj_bridge">'DESIGN INPUTS AND CALCULATIONS'!$C$56</definedName>
    <definedName name="Tj_diode">'DESIGN INPUTS AND CALCULATIONS'!$C$86</definedName>
    <definedName name="Tj_FET">'DESIGN INPUTS AND CALCULATIONS'!$C$105</definedName>
    <definedName name="tr_FET">'DESIGN INPUTS AND CALCULATIONS'!$C$102</definedName>
    <definedName name="uA">'data'!$H$17</definedName>
    <definedName name="uC">'data'!$H$21</definedName>
    <definedName name="uF">'data'!$H$6</definedName>
    <definedName name="uH">'data'!$H$12</definedName>
    <definedName name="us">'data'!$H$11</definedName>
    <definedName name="V_ripplefactor">'DESIGN INPUTS AND CALCULATIONS'!$C$65</definedName>
    <definedName name="Vac_off">'DESIGN INPUTS AND CALCULATIONS'!$C$304</definedName>
    <definedName name="Vac_on">'DESIGN INPUTS AND CALCULATIONS'!$C$303</definedName>
    <definedName name="Vacin_max">'DESIGN INPUTS AND CALCULATIONS'!$C$24</definedName>
    <definedName name="Vacin_min">'DESIGN INPUTS AND CALCULATIONS'!$C$23</definedName>
    <definedName name="Vacin_nom">'data'!$K$33</definedName>
    <definedName name="VCC">'DESIGN INPUTS AND CALCULATIONS'!$C$97</definedName>
    <definedName name="Vcomp">'DESIGN INPUTS AND CALCULATIONS'!$C$184</definedName>
    <definedName name="VCOMP1">'data'!$H$37</definedName>
    <definedName name="VCOMP2">'data'!$H$47</definedName>
    <definedName name="VCOMP3">'data'!$H$58</definedName>
    <definedName name="VCOMP4">'data'!$H$63</definedName>
    <definedName name="VCOMP5">'data'!$H$67</definedName>
    <definedName name="Vdiode_blocking">'DESIGN INPUTS AND CALCULATIONS'!$C$93</definedName>
    <definedName name="Vf">'DESIGN INPUTS AND CALCULATIONS'!$C$84</definedName>
    <definedName name="Vf_bridge">'DESIGN INPUTS AND CALCULATIONS'!$C$53</definedName>
    <definedName name="Vgs">'DESIGN INPUTS AND CALCULATIONS'!$C$98</definedName>
    <definedName name="Vin_peak_max">'DESIGN INPUTS AND CALCULATIONS'!$C$28</definedName>
    <definedName name="Vin_peak_min">'DESIGN INPUTS AND CALCULATIONS'!$C$27</definedName>
    <definedName name="Vin_ripple">'DESIGN INPUTS AND CALCULATIONS'!$C$67</definedName>
    <definedName name="VINnom">'DESIGN INPUTS AND CALCULATIONS'!$C$181</definedName>
    <definedName name="Vline">'DESIGN INPUTS AND CALCULATIONS'!$J$181</definedName>
    <definedName name="Voff_trim">'[1]Ideal ICOMP_MH'!$B$316</definedName>
    <definedName name="Vout">'DESIGN INPUTS AND CALCULATIONS'!$C$33</definedName>
    <definedName name="Vout_holdup">'DESIGN INPUTS AND CALCULATIONS'!$C$130</definedName>
    <definedName name="Vout_max">'DESIGN INPUTS AND CALCULATIONS'!$C$149</definedName>
    <definedName name="Vout_min">'DESIGN INPUTS AND CALCULATIONS'!$C$148</definedName>
    <definedName name="Vout_nom">'DESIGN INPUTS AND CALCULATIONS'!$C$147</definedName>
    <definedName name="Vout_ripplepp">'DESIGN INPUTS AND CALCULATIONS'!$C$135</definedName>
    <definedName name="Vovp">'DESIGN INPUTS AND CALCULATIONS'!$C$150</definedName>
    <definedName name="Vrated">'DESIGN INPUTS AND CALCULATIONS'!$C$58</definedName>
    <definedName name="VREF">'data'!$F$216</definedName>
    <definedName name="VREFmax">'data'!$F$218</definedName>
    <definedName name="VREFmin">'data'!$F$217</definedName>
    <definedName name="Vuvd">'DESIGN INPUTS AND CALCULATIONS'!$C$151</definedName>
  </definedNames>
  <calcPr fullCalcOnLoad="1"/>
</workbook>
</file>

<file path=xl/sharedStrings.xml><?xml version="1.0" encoding="utf-8"?>
<sst xmlns="http://schemas.openxmlformats.org/spreadsheetml/2006/main" count="786" uniqueCount="491">
  <si>
    <t>UCC28180 DESIGN CALCULATOR TOOL</t>
  </si>
  <si>
    <t>TI Literature Number:</t>
  </si>
  <si>
    <t>SLUC506</t>
  </si>
  <si>
    <t>Rev C</t>
  </si>
  <si>
    <t>UCC28180 CONTINUOUS CURRENT CONDUCTION MODE PFC CONTROLLER WITH PROGRAMMABLE SWITCHING FREQUENCY</t>
  </si>
  <si>
    <t>Please enter design parameters into the</t>
  </si>
  <si>
    <t>shaded</t>
  </si>
  <si>
    <t xml:space="preserve">cells; </t>
  </si>
  <si>
    <r>
      <t xml:space="preserve">Calculated results will be in </t>
    </r>
    <r>
      <rPr>
        <b/>
        <sz val="12"/>
        <color indexed="10"/>
        <rFont val="Arial"/>
        <family val="2"/>
      </rPr>
      <t>RED</t>
    </r>
  </si>
  <si>
    <r>
      <t xml:space="preserve">Be sure to </t>
    </r>
    <r>
      <rPr>
        <b/>
        <i/>
        <sz val="14"/>
        <rFont val="Arial"/>
        <family val="2"/>
      </rPr>
      <t>ENABLE EDITING</t>
    </r>
    <r>
      <rPr>
        <b/>
        <sz val="14"/>
        <rFont val="Arial"/>
        <family val="2"/>
      </rPr>
      <t xml:space="preserve"> before attempting to use this design calculator</t>
    </r>
  </si>
  <si>
    <r>
      <t xml:space="preserve">This spreadsheet guides the user through the design process of a CONTINUOUS CONDUCTION MODE PFC BOOST CONVERTER using the </t>
    </r>
    <r>
      <rPr>
        <b/>
        <sz val="11"/>
        <color indexed="10"/>
        <rFont val="Arial"/>
        <family val="2"/>
      </rPr>
      <t>UCC28180</t>
    </r>
    <r>
      <rPr>
        <b/>
        <sz val="11"/>
        <rFont val="Arial"/>
        <family val="2"/>
      </rPr>
      <t>.  User interaction is required in order to get the best possible results.  Enter the desired specification where prompted, the highlighted cells are for user inputs; calculations for the design are based upon the inputs.</t>
    </r>
  </si>
  <si>
    <t>WHERE APPLICABLE, A RECOMMENDED VALUE IS GIVEN THAT WILL BE THE BEST CHOICE TO MEET THE GIVEN SPECIFICATION.  IT IS IN THE BEST INTEREST OF THE USER TO USE A VALUE AS CLOSE AS POSSIBLE TO THE SUGGESTED RECOMMENDED VALUE.  FOR ACCURATE RESULTS, THE USER MUST ENTER THE ACTUAL VALUE USED IN THE APPROPRIATE CELL.</t>
  </si>
  <si>
    <t>Disclaimer</t>
  </si>
  <si>
    <t>This product is designed as an aid for customers of Texas Instruments. No warranties, either expressed or implied, with respect to this software or its fitness for any particular purpose, are claimed by Texas Instruments or the author. The software is licensed solely on an "as is" basis. The entire risk as to its quality and performance is with the customer.</t>
  </si>
  <si>
    <t>INPUT:</t>
  </si>
  <si>
    <t>Minimum Input Voltage from AC Line:</t>
  </si>
  <si>
    <r>
      <t>V</t>
    </r>
    <r>
      <rPr>
        <vertAlign val="subscript"/>
        <sz val="10"/>
        <rFont val="Arial"/>
        <family val="2"/>
      </rPr>
      <t>ACIN(min)</t>
    </r>
  </si>
  <si>
    <r>
      <t>V</t>
    </r>
    <r>
      <rPr>
        <vertAlign val="subscript"/>
        <sz val="10"/>
        <rFont val="Arial"/>
        <family val="2"/>
      </rPr>
      <t>RMS</t>
    </r>
  </si>
  <si>
    <t>Maximum Input Voltage from AC Line:</t>
  </si>
  <si>
    <r>
      <t>V</t>
    </r>
    <r>
      <rPr>
        <vertAlign val="subscript"/>
        <sz val="10"/>
        <rFont val="Arial"/>
        <family val="2"/>
      </rPr>
      <t>ACIN(max)</t>
    </r>
  </si>
  <si>
    <t>Minimum Line Frequency:</t>
  </si>
  <si>
    <r>
      <t>f</t>
    </r>
    <r>
      <rPr>
        <vertAlign val="subscript"/>
        <sz val="10"/>
        <rFont val="Arial"/>
        <family val="2"/>
      </rPr>
      <t>LINE(min):</t>
    </r>
  </si>
  <si>
    <t>Hz</t>
  </si>
  <si>
    <t>Maximum Line Frequency:</t>
  </si>
  <si>
    <r>
      <t>f</t>
    </r>
    <r>
      <rPr>
        <vertAlign val="subscript"/>
        <sz val="10"/>
        <rFont val="Arial"/>
        <family val="2"/>
      </rPr>
      <t>LINE(max):</t>
    </r>
  </si>
  <si>
    <t>Minimum Rectified AC Line Voltage:</t>
  </si>
  <si>
    <r>
      <t>V</t>
    </r>
    <r>
      <rPr>
        <vertAlign val="subscript"/>
        <sz val="10"/>
        <rFont val="Arial"/>
        <family val="2"/>
      </rPr>
      <t>IN_PEAK(min)</t>
    </r>
  </si>
  <si>
    <t>V</t>
  </si>
  <si>
    <t>Maximum Rectified AC Line Voltage:</t>
  </si>
  <si>
    <r>
      <t>V</t>
    </r>
    <r>
      <rPr>
        <vertAlign val="subscript"/>
        <sz val="10"/>
        <rFont val="Arial"/>
        <family val="2"/>
      </rPr>
      <t>IN_PEAK(max)</t>
    </r>
  </si>
  <si>
    <t>OUTPUT:</t>
  </si>
  <si>
    <t>Maximum Output Power of PFC Stage:</t>
  </si>
  <si>
    <r>
      <t>P</t>
    </r>
    <r>
      <rPr>
        <vertAlign val="subscript"/>
        <sz val="10"/>
        <rFont val="Arial"/>
        <family val="2"/>
      </rPr>
      <t>OUT(max)</t>
    </r>
  </si>
  <si>
    <t>W</t>
  </si>
  <si>
    <r>
      <t>Output Voltage (Note: Must be &gt; V</t>
    </r>
    <r>
      <rPr>
        <vertAlign val="subscript"/>
        <sz val="10"/>
        <rFont val="Arial"/>
        <family val="2"/>
      </rPr>
      <t>IN_RECTIFIED(max)</t>
    </r>
    <r>
      <rPr>
        <sz val="10"/>
        <rFont val="Arial"/>
        <family val="2"/>
      </rPr>
      <t>):</t>
    </r>
  </si>
  <si>
    <r>
      <t>V</t>
    </r>
    <r>
      <rPr>
        <vertAlign val="subscript"/>
        <sz val="10"/>
        <rFont val="Arial"/>
        <family val="2"/>
      </rPr>
      <t>OUT</t>
    </r>
  </si>
  <si>
    <r>
      <t>Target Power Factor, V</t>
    </r>
    <r>
      <rPr>
        <vertAlign val="subscript"/>
        <sz val="10"/>
        <rFont val="Arial"/>
        <family val="2"/>
      </rPr>
      <t>IN(nom)</t>
    </r>
    <r>
      <rPr>
        <sz val="10"/>
        <rFont val="Arial"/>
        <family val="2"/>
      </rPr>
      <t>, Full Load:</t>
    </r>
  </si>
  <si>
    <t>PF</t>
  </si>
  <si>
    <t>Predicted Efficiency:</t>
  </si>
  <si>
    <t>h</t>
  </si>
  <si>
    <t>Maximum Ambient Temperature:</t>
  </si>
  <si>
    <r>
      <t>T</t>
    </r>
    <r>
      <rPr>
        <vertAlign val="subscript"/>
        <sz val="10"/>
        <rFont val="Arial"/>
        <family val="2"/>
      </rPr>
      <t>AMB(max)</t>
    </r>
  </si>
  <si>
    <r>
      <t>°</t>
    </r>
    <r>
      <rPr>
        <sz val="10"/>
        <rFont val="Arial"/>
        <family val="2"/>
      </rPr>
      <t>C</t>
    </r>
  </si>
  <si>
    <t>Maximum Average Output Current of PFC Stage:</t>
  </si>
  <si>
    <r>
      <t>I</t>
    </r>
    <r>
      <rPr>
        <vertAlign val="subscript"/>
        <sz val="10"/>
        <rFont val="Arial"/>
        <family val="2"/>
      </rPr>
      <t>OUT</t>
    </r>
  </si>
  <si>
    <t>A</t>
  </si>
  <si>
    <t>Desired Switching Frequency:</t>
  </si>
  <si>
    <r>
      <t>f</t>
    </r>
    <r>
      <rPr>
        <b/>
        <vertAlign val="subscript"/>
        <sz val="10"/>
        <rFont val="Arial"/>
        <family val="2"/>
      </rPr>
      <t>SW(target)</t>
    </r>
  </si>
  <si>
    <t>kHz</t>
  </si>
  <si>
    <r>
      <t>Recommended Resistor value on FREQ to Set the Switching Frequency, f</t>
    </r>
    <r>
      <rPr>
        <vertAlign val="subscript"/>
        <sz val="10"/>
        <rFont val="Arial"/>
        <family val="2"/>
      </rPr>
      <t>SW</t>
    </r>
    <r>
      <rPr>
        <sz val="10"/>
        <rFont val="Arial"/>
        <family val="2"/>
      </rPr>
      <t>:</t>
    </r>
  </si>
  <si>
    <r>
      <t>R</t>
    </r>
    <r>
      <rPr>
        <vertAlign val="subscript"/>
        <sz val="10"/>
        <rFont val="Arial"/>
        <family val="2"/>
      </rPr>
      <t>FREQ(recommended)</t>
    </r>
  </si>
  <si>
    <r>
      <t>k</t>
    </r>
    <r>
      <rPr>
        <sz val="10"/>
        <rFont val="Arial"/>
        <family val="2"/>
      </rPr>
      <t>Ω</t>
    </r>
  </si>
  <si>
    <r>
      <t>Actual Value For R</t>
    </r>
    <r>
      <rPr>
        <b/>
        <vertAlign val="subscript"/>
        <sz val="10"/>
        <rFont val="Arial"/>
        <family val="2"/>
      </rPr>
      <t>FREQ</t>
    </r>
    <r>
      <rPr>
        <b/>
        <sz val="10"/>
        <rFont val="Arial"/>
        <family val="2"/>
      </rPr>
      <t xml:space="preserve"> Used: </t>
    </r>
  </si>
  <si>
    <r>
      <t>R</t>
    </r>
    <r>
      <rPr>
        <b/>
        <vertAlign val="subscript"/>
        <sz val="10"/>
        <rFont val="Arial"/>
        <family val="2"/>
      </rPr>
      <t>FREQ</t>
    </r>
    <r>
      <rPr>
        <b/>
        <sz val="10"/>
        <rFont val="Arial"/>
        <family val="2"/>
      </rPr>
      <t xml:space="preserve"> =</t>
    </r>
  </si>
  <si>
    <t>kΩ</t>
  </si>
  <si>
    <r>
      <t>Resultant Switching Frequency, f</t>
    </r>
    <r>
      <rPr>
        <vertAlign val="subscript"/>
        <sz val="10"/>
        <rFont val="Arial"/>
        <family val="2"/>
      </rPr>
      <t>SW</t>
    </r>
    <r>
      <rPr>
        <sz val="10"/>
        <rFont val="Arial"/>
        <family val="2"/>
      </rPr>
      <t>:</t>
    </r>
  </si>
  <si>
    <r>
      <t>f</t>
    </r>
    <r>
      <rPr>
        <vertAlign val="subscript"/>
        <sz val="10"/>
        <rFont val="Arial"/>
        <family val="2"/>
      </rPr>
      <t>SW</t>
    </r>
  </si>
  <si>
    <t>Line Current:</t>
  </si>
  <si>
    <t>Maximum Input Power Drawn from the Line:</t>
  </si>
  <si>
    <r>
      <t>P</t>
    </r>
    <r>
      <rPr>
        <vertAlign val="subscript"/>
        <sz val="10"/>
        <rFont val="Arial"/>
        <family val="2"/>
      </rPr>
      <t>IN(max)</t>
    </r>
  </si>
  <si>
    <t>Maximum RMS AC Line Current:</t>
  </si>
  <si>
    <r>
      <t>I</t>
    </r>
    <r>
      <rPr>
        <vertAlign val="subscript"/>
        <sz val="10"/>
        <rFont val="Arial"/>
        <family val="2"/>
      </rPr>
      <t>IN_RMS(max)</t>
    </r>
  </si>
  <si>
    <t>Maximum Peak AC Line Current, assuming sinusoidal:</t>
  </si>
  <si>
    <r>
      <t>I</t>
    </r>
    <r>
      <rPr>
        <vertAlign val="subscript"/>
        <sz val="10"/>
        <rFont val="Arial"/>
        <family val="2"/>
      </rPr>
      <t>IN_PEAK(max)</t>
    </r>
  </si>
  <si>
    <t>Maximum Average AC Line Current, assuming sinusoidal:</t>
  </si>
  <si>
    <r>
      <t>I</t>
    </r>
    <r>
      <rPr>
        <vertAlign val="subscript"/>
        <sz val="10"/>
        <rFont val="Arial"/>
        <family val="2"/>
      </rPr>
      <t>IN_AVG(max)</t>
    </r>
  </si>
  <si>
    <t>Minimum Input Fuse Rating:</t>
  </si>
  <si>
    <r>
      <t>I</t>
    </r>
    <r>
      <rPr>
        <vertAlign val="subscript"/>
        <sz val="10"/>
        <rFont val="Arial"/>
        <family val="2"/>
      </rPr>
      <t>FUSE</t>
    </r>
  </si>
  <si>
    <t>BRIDGE RECTIFIER:</t>
  </si>
  <si>
    <r>
      <t>Bridge Rectifier Forward Voltage, at I</t>
    </r>
    <r>
      <rPr>
        <vertAlign val="subscript"/>
        <sz val="10"/>
        <rFont val="Arial"/>
        <family val="2"/>
      </rPr>
      <t>IN_PEAK(max)</t>
    </r>
    <r>
      <rPr>
        <sz val="10"/>
        <rFont val="Arial"/>
        <family val="2"/>
      </rPr>
      <t>:</t>
    </r>
  </si>
  <si>
    <r>
      <t>V</t>
    </r>
    <r>
      <rPr>
        <vertAlign val="subscript"/>
        <sz val="10"/>
        <rFont val="Arial"/>
        <family val="2"/>
      </rPr>
      <t>F_BRIDGE</t>
    </r>
  </si>
  <si>
    <t>Bridge Rectifier Thermal Resistance, Junction to Case:</t>
  </si>
  <si>
    <r>
      <t>R</t>
    </r>
    <r>
      <rPr>
        <vertAlign val="subscript"/>
        <sz val="10"/>
        <rFont val="Symbol"/>
        <family val="1"/>
      </rPr>
      <t>q</t>
    </r>
    <r>
      <rPr>
        <vertAlign val="subscript"/>
        <sz val="10"/>
        <rFont val="Arial"/>
        <family val="2"/>
      </rPr>
      <t>JC(Bridge)</t>
    </r>
  </si>
  <si>
    <r>
      <t>°</t>
    </r>
    <r>
      <rPr>
        <sz val="10"/>
        <rFont val="Arial"/>
        <family val="2"/>
      </rPr>
      <t>C/W</t>
    </r>
  </si>
  <si>
    <t>Case to Heatsink Thermal Resistance:</t>
  </si>
  <si>
    <r>
      <t>R</t>
    </r>
    <r>
      <rPr>
        <vertAlign val="subscript"/>
        <sz val="10"/>
        <rFont val="Arial"/>
        <family val="2"/>
      </rPr>
      <t>θCHS(Bridge)</t>
    </r>
  </si>
  <si>
    <t>Bridge Rectifier Maximum Junction Temperature:</t>
  </si>
  <si>
    <r>
      <t>T</t>
    </r>
    <r>
      <rPr>
        <vertAlign val="subscript"/>
        <sz val="10"/>
        <rFont val="Arial"/>
        <family val="2"/>
      </rPr>
      <t>J(max)</t>
    </r>
  </si>
  <si>
    <r>
      <t>°</t>
    </r>
    <r>
      <rPr>
        <sz val="10"/>
        <rFont val="Arial"/>
        <family val="2"/>
      </rPr>
      <t>C</t>
    </r>
  </si>
  <si>
    <t>Bridge Rectifier Minimum Average Current Rating:</t>
  </si>
  <si>
    <r>
      <t>I</t>
    </r>
    <r>
      <rPr>
        <vertAlign val="subscript"/>
        <sz val="10"/>
        <rFont val="Arial"/>
        <family val="2"/>
      </rPr>
      <t>BRIDGE(rated)</t>
    </r>
  </si>
  <si>
    <t>Bridge Rectifier Minimum DC Blocking Voltage Rating:</t>
  </si>
  <si>
    <r>
      <t>V</t>
    </r>
    <r>
      <rPr>
        <vertAlign val="subscript"/>
        <sz val="10"/>
        <rFont val="Arial"/>
        <family val="2"/>
      </rPr>
      <t>DC_BLOCKING(rated</t>
    </r>
    <r>
      <rPr>
        <sz val="10"/>
        <rFont val="Arial"/>
        <family val="2"/>
      </rPr>
      <t>)</t>
    </r>
  </si>
  <si>
    <t>Bridge Rectifier Power Dissipation:</t>
  </si>
  <si>
    <r>
      <t>P</t>
    </r>
    <r>
      <rPr>
        <vertAlign val="subscript"/>
        <sz val="10"/>
        <rFont val="Arial"/>
        <family val="2"/>
      </rPr>
      <t>BRIDGE</t>
    </r>
  </si>
  <si>
    <t>Required Heat Sink Thermal Impedance:</t>
  </si>
  <si>
    <r>
      <t>R</t>
    </r>
    <r>
      <rPr>
        <vertAlign val="subscript"/>
        <sz val="10"/>
        <rFont val="Symbol"/>
        <family val="1"/>
      </rPr>
      <t>q</t>
    </r>
    <r>
      <rPr>
        <vertAlign val="subscript"/>
        <sz val="10"/>
        <rFont val="Arial"/>
        <family val="2"/>
      </rPr>
      <t>HS_AMB(Bridge)</t>
    </r>
  </si>
  <si>
    <r>
      <t>°</t>
    </r>
    <r>
      <rPr>
        <sz val="10"/>
        <rFont val="Arial"/>
        <family val="2"/>
      </rPr>
      <t>C/W</t>
    </r>
  </si>
  <si>
    <t>INPUT CAPACITOR:</t>
  </si>
  <si>
    <t>Inductor Peak-to-Peak Current Ripple Factor (i.e. 0.2 for 20%, 0.3 for 30%). Percentage of minimum input, maximum load, inductor current at 50% duty cycle operating point, not recommended to be &gt; 0.4:</t>
  </si>
  <si>
    <r>
      <t>L</t>
    </r>
    <r>
      <rPr>
        <b/>
        <vertAlign val="subscript"/>
        <sz val="10"/>
        <rFont val="Arial"/>
        <family val="2"/>
      </rPr>
      <t>I_ripple_factor(target)</t>
    </r>
  </si>
  <si>
    <t>Maximum High Frequency Voltage Ripple Factor (i.e. 0.03 for 3%, 0.09 for 9%):</t>
  </si>
  <si>
    <r>
      <t>V</t>
    </r>
    <r>
      <rPr>
        <b/>
        <vertAlign val="subscript"/>
        <sz val="10"/>
        <rFont val="Arial"/>
        <family val="2"/>
      </rPr>
      <t>Cin_ripple_factor</t>
    </r>
  </si>
  <si>
    <t>Target Maximum Allowable Inductor Current Ripple:</t>
  </si>
  <si>
    <r>
      <t>I</t>
    </r>
    <r>
      <rPr>
        <vertAlign val="subscript"/>
        <sz val="10"/>
        <rFont val="Arial"/>
        <family val="2"/>
      </rPr>
      <t>RIPPLE(target)</t>
    </r>
  </si>
  <si>
    <t>Maximum Inductor Voltage Ripple:</t>
  </si>
  <si>
    <r>
      <t>V</t>
    </r>
    <r>
      <rPr>
        <vertAlign val="subscript"/>
        <sz val="10"/>
        <rFont val="Arial"/>
        <family val="2"/>
      </rPr>
      <t>IN_RIPPLE</t>
    </r>
  </si>
  <si>
    <t>Recommended Input Capacitor Value:</t>
  </si>
  <si>
    <r>
      <t>C</t>
    </r>
    <r>
      <rPr>
        <vertAlign val="subscript"/>
        <sz val="10"/>
        <rFont val="Arial"/>
        <family val="2"/>
      </rPr>
      <t>IN(recommended)</t>
    </r>
  </si>
  <si>
    <r>
      <t>m</t>
    </r>
    <r>
      <rPr>
        <sz val="10"/>
        <rFont val="Arial"/>
        <family val="2"/>
      </rPr>
      <t>F</t>
    </r>
  </si>
  <si>
    <t>Actual Value of Input Capacitor Used:</t>
  </si>
  <si>
    <r>
      <t>C</t>
    </r>
    <r>
      <rPr>
        <b/>
        <vertAlign val="subscript"/>
        <sz val="10"/>
        <rFont val="Arial"/>
        <family val="2"/>
      </rPr>
      <t>IN</t>
    </r>
  </si>
  <si>
    <r>
      <t>Required Minimum Voltage Rating for C</t>
    </r>
    <r>
      <rPr>
        <vertAlign val="subscript"/>
        <sz val="10"/>
        <rFont val="Arial"/>
        <family val="2"/>
      </rPr>
      <t>IN</t>
    </r>
    <r>
      <rPr>
        <sz val="10"/>
        <rFont val="Arial"/>
        <family val="2"/>
      </rPr>
      <t>:</t>
    </r>
  </si>
  <si>
    <r>
      <t>V</t>
    </r>
    <r>
      <rPr>
        <vertAlign val="subscript"/>
        <sz val="10"/>
        <rFont val="Arial"/>
        <family val="2"/>
      </rPr>
      <t>CIN(rating)</t>
    </r>
  </si>
  <si>
    <t>BOOST INDUCTOR DESIGN:</t>
  </si>
  <si>
    <t>Maximum Duty Cycle:</t>
  </si>
  <si>
    <r>
      <t>DUTY</t>
    </r>
    <r>
      <rPr>
        <vertAlign val="subscript"/>
        <sz val="10"/>
        <rFont val="Arial"/>
        <family val="2"/>
      </rPr>
      <t>(max)</t>
    </r>
  </si>
  <si>
    <t>Maximum Inductor Peak Current:</t>
  </si>
  <si>
    <r>
      <t>I</t>
    </r>
    <r>
      <rPr>
        <vertAlign val="subscript"/>
        <sz val="10"/>
        <rFont val="Arial"/>
        <family val="2"/>
      </rPr>
      <t>L_PEAK(max)</t>
    </r>
  </si>
  <si>
    <t>Minimum Recommended Boost Inductor Value:</t>
  </si>
  <si>
    <r>
      <t>L</t>
    </r>
    <r>
      <rPr>
        <vertAlign val="subscript"/>
        <sz val="10"/>
        <rFont val="Arial"/>
        <family val="2"/>
      </rPr>
      <t>BST(recommended)</t>
    </r>
  </si>
  <si>
    <t>mH</t>
  </si>
  <si>
    <t>Actual Boost Inductor Value Used:</t>
  </si>
  <si>
    <r>
      <t>L</t>
    </r>
    <r>
      <rPr>
        <b/>
        <vertAlign val="subscript"/>
        <sz val="10"/>
        <rFont val="Arial"/>
        <family val="2"/>
      </rPr>
      <t>BST(actual)</t>
    </r>
    <r>
      <rPr>
        <b/>
        <sz val="10"/>
        <rFont val="Arial"/>
        <family val="2"/>
      </rPr>
      <t xml:space="preserve"> =</t>
    </r>
  </si>
  <si>
    <t>Actual Maximum Inductor Ripple Current:</t>
  </si>
  <si>
    <r>
      <t>I</t>
    </r>
    <r>
      <rPr>
        <vertAlign val="subscript"/>
        <sz val="10"/>
        <rFont val="Arial"/>
        <family val="2"/>
      </rPr>
      <t>RIPPLE(actual)</t>
    </r>
  </si>
  <si>
    <t>Actual Maximum Inductor Peak Current:</t>
  </si>
  <si>
    <r>
      <t>I</t>
    </r>
    <r>
      <rPr>
        <vertAlign val="subscript"/>
        <sz val="10"/>
        <rFont val="Arial"/>
        <family val="2"/>
      </rPr>
      <t>L_PEAK(actual)</t>
    </r>
  </si>
  <si>
    <t>Resultant Inductor Current Ripple Factor:</t>
  </si>
  <si>
    <r>
      <t>L</t>
    </r>
    <r>
      <rPr>
        <vertAlign val="subscript"/>
        <sz val="10"/>
        <rFont val="Arial"/>
        <family val="2"/>
      </rPr>
      <t>I_ripple_factor(actual)</t>
    </r>
  </si>
  <si>
    <t>BOOST DIODE:</t>
  </si>
  <si>
    <r>
      <t>Forward Voltage Drop, at I</t>
    </r>
    <r>
      <rPr>
        <vertAlign val="subscript"/>
        <sz val="10"/>
        <rFont val="Arial"/>
        <family val="2"/>
      </rPr>
      <t>L_PEAK(max)</t>
    </r>
    <r>
      <rPr>
        <sz val="10"/>
        <rFont val="Arial"/>
        <family val="2"/>
      </rPr>
      <t>,125</t>
    </r>
    <r>
      <rPr>
        <sz val="10"/>
        <rFont val="Symbol"/>
        <family val="1"/>
      </rPr>
      <t>°</t>
    </r>
    <r>
      <rPr>
        <sz val="10"/>
        <rFont val="Arial"/>
        <family val="2"/>
      </rPr>
      <t>C:</t>
    </r>
  </si>
  <si>
    <r>
      <t>V</t>
    </r>
    <r>
      <rPr>
        <vertAlign val="subscript"/>
        <sz val="10"/>
        <rFont val="Arial"/>
        <family val="2"/>
      </rPr>
      <t>F</t>
    </r>
  </si>
  <si>
    <t>Reverse Recovery Charge:</t>
  </si>
  <si>
    <r>
      <t>Q</t>
    </r>
    <r>
      <rPr>
        <vertAlign val="subscript"/>
        <sz val="10"/>
        <rFont val="Arial"/>
        <family val="2"/>
      </rPr>
      <t>RR</t>
    </r>
  </si>
  <si>
    <t>nC</t>
  </si>
  <si>
    <t>Boost Diode Maximum Junction Temperature:</t>
  </si>
  <si>
    <t>Boost Diode Thermal Resistance, Junction to Case:</t>
  </si>
  <si>
    <r>
      <t>R</t>
    </r>
    <r>
      <rPr>
        <vertAlign val="subscript"/>
        <sz val="10"/>
        <rFont val="Symbol"/>
        <family val="1"/>
      </rPr>
      <t>q</t>
    </r>
    <r>
      <rPr>
        <vertAlign val="subscript"/>
        <sz val="10"/>
        <rFont val="Arial"/>
        <family val="2"/>
      </rPr>
      <t>JC(Diode)</t>
    </r>
  </si>
  <si>
    <t>Boost Diode Thermal Resistance, Case to Heatsink:</t>
  </si>
  <si>
    <r>
      <t>R</t>
    </r>
    <r>
      <rPr>
        <vertAlign val="subscript"/>
        <sz val="10"/>
        <rFont val="Symbol"/>
        <family val="1"/>
      </rPr>
      <t>q</t>
    </r>
    <r>
      <rPr>
        <vertAlign val="subscript"/>
        <sz val="10"/>
        <rFont val="Arial"/>
        <family val="2"/>
      </rPr>
      <t>CHS(Diode)</t>
    </r>
  </si>
  <si>
    <t>Boost Diode Conduction Losses:</t>
  </si>
  <si>
    <r>
      <t>P</t>
    </r>
    <r>
      <rPr>
        <vertAlign val="subscript"/>
        <sz val="10"/>
        <rFont val="Arial"/>
        <family val="2"/>
      </rPr>
      <t>DIODE(cond)</t>
    </r>
  </si>
  <si>
    <t>Reverse Recovery Losses:</t>
  </si>
  <si>
    <r>
      <t>P</t>
    </r>
    <r>
      <rPr>
        <vertAlign val="subscript"/>
        <sz val="10"/>
        <rFont val="Arial"/>
        <family val="2"/>
      </rPr>
      <t>REVERSE</t>
    </r>
  </si>
  <si>
    <t>Total Boost Diode Losses:</t>
  </si>
  <si>
    <r>
      <t>P</t>
    </r>
    <r>
      <rPr>
        <vertAlign val="subscript"/>
        <sz val="10"/>
        <rFont val="Arial"/>
        <family val="2"/>
      </rPr>
      <t>DIODE(total)</t>
    </r>
  </si>
  <si>
    <r>
      <t>R</t>
    </r>
    <r>
      <rPr>
        <vertAlign val="subscript"/>
        <sz val="10"/>
        <rFont val="Symbol"/>
        <family val="1"/>
      </rPr>
      <t>q</t>
    </r>
    <r>
      <rPr>
        <vertAlign val="subscript"/>
        <sz val="10"/>
        <rFont val="Arial"/>
        <family val="2"/>
      </rPr>
      <t>HS_AMB(Diode)</t>
    </r>
  </si>
  <si>
    <t>Required Diode Blocking Voltage:</t>
  </si>
  <si>
    <r>
      <t>V</t>
    </r>
    <r>
      <rPr>
        <vertAlign val="subscript"/>
        <sz val="10"/>
        <rFont val="Arial"/>
        <family val="2"/>
      </rPr>
      <t>BLOCKING</t>
    </r>
  </si>
  <si>
    <t>SWITCHING ELEMENT:</t>
  </si>
  <si>
    <t>VCC Bias Voltage to the UCC28180:</t>
  </si>
  <si>
    <t>VCC</t>
  </si>
  <si>
    <t>Gate-Source Voltage:</t>
  </si>
  <si>
    <r>
      <t>V</t>
    </r>
    <r>
      <rPr>
        <vertAlign val="subscript"/>
        <sz val="10"/>
        <rFont val="Arial"/>
        <family val="2"/>
      </rPr>
      <t>GS</t>
    </r>
  </si>
  <si>
    <t>Drain-Source RMS Current:</t>
  </si>
  <si>
    <r>
      <t>I</t>
    </r>
    <r>
      <rPr>
        <vertAlign val="subscript"/>
        <sz val="10"/>
        <rFont val="Arial"/>
        <family val="2"/>
      </rPr>
      <t>DS_RMS</t>
    </r>
  </si>
  <si>
    <r>
      <t>FET On-Resistance at  T</t>
    </r>
    <r>
      <rPr>
        <vertAlign val="subscript"/>
        <sz val="10"/>
        <rFont val="Arial"/>
        <family val="2"/>
      </rPr>
      <t>J</t>
    </r>
    <r>
      <rPr>
        <sz val="10"/>
        <rFont val="Arial"/>
        <family val="2"/>
      </rPr>
      <t xml:space="preserve"> = 125°C: </t>
    </r>
  </si>
  <si>
    <r>
      <t>R</t>
    </r>
    <r>
      <rPr>
        <vertAlign val="subscript"/>
        <sz val="10"/>
        <rFont val="Arial"/>
        <family val="2"/>
      </rPr>
      <t>DSon</t>
    </r>
  </si>
  <si>
    <r>
      <t>FET Gate Charge at V</t>
    </r>
    <r>
      <rPr>
        <vertAlign val="subscript"/>
        <sz val="10"/>
        <rFont val="Arial"/>
        <family val="2"/>
      </rPr>
      <t>GS:</t>
    </r>
  </si>
  <si>
    <r>
      <t>Q</t>
    </r>
    <r>
      <rPr>
        <vertAlign val="subscript"/>
        <sz val="10"/>
        <rFont val="Arial"/>
        <family val="2"/>
      </rPr>
      <t>g</t>
    </r>
  </si>
  <si>
    <t>FET Rise Time:</t>
  </si>
  <si>
    <r>
      <t>t</t>
    </r>
    <r>
      <rPr>
        <vertAlign val="subscript"/>
        <sz val="10"/>
        <rFont val="Arial"/>
        <family val="2"/>
      </rPr>
      <t>r</t>
    </r>
  </si>
  <si>
    <t>ns</t>
  </si>
  <si>
    <t>FET Fall Time:</t>
  </si>
  <si>
    <r>
      <t>t</t>
    </r>
    <r>
      <rPr>
        <vertAlign val="subscript"/>
        <sz val="10"/>
        <rFont val="Arial"/>
        <family val="2"/>
      </rPr>
      <t>f</t>
    </r>
  </si>
  <si>
    <t>FET Output Capacitance:</t>
  </si>
  <si>
    <r>
      <t>C</t>
    </r>
    <r>
      <rPr>
        <vertAlign val="subscript"/>
        <sz val="10"/>
        <rFont val="Arial"/>
        <family val="2"/>
      </rPr>
      <t>OSS</t>
    </r>
  </si>
  <si>
    <t>pF</t>
  </si>
  <si>
    <t>FET Maximum Junction Temperature:</t>
  </si>
  <si>
    <t>FET Thermal Resistance, Junction to Case:</t>
  </si>
  <si>
    <r>
      <t>R</t>
    </r>
    <r>
      <rPr>
        <vertAlign val="subscript"/>
        <sz val="10"/>
        <rFont val="Symbol"/>
        <family val="1"/>
      </rPr>
      <t>q</t>
    </r>
    <r>
      <rPr>
        <vertAlign val="subscript"/>
        <sz val="10"/>
        <rFont val="Arial"/>
        <family val="2"/>
      </rPr>
      <t>JC(FET)</t>
    </r>
  </si>
  <si>
    <t>FET Thermal Resistance, Case to Heatsink:</t>
  </si>
  <si>
    <r>
      <t>R</t>
    </r>
    <r>
      <rPr>
        <vertAlign val="subscript"/>
        <sz val="10"/>
        <rFont val="Symbol"/>
        <family val="1"/>
      </rPr>
      <t>q</t>
    </r>
    <r>
      <rPr>
        <vertAlign val="subscript"/>
        <sz val="10"/>
        <rFont val="Arial"/>
        <family val="2"/>
      </rPr>
      <t>CHS(FET)</t>
    </r>
  </si>
  <si>
    <t>Gate Drive Losses (actually dissipated in the gate drive circuitry):</t>
  </si>
  <si>
    <r>
      <t>P</t>
    </r>
    <r>
      <rPr>
        <vertAlign val="subscript"/>
        <sz val="10"/>
        <rFont val="Arial"/>
        <family val="2"/>
      </rPr>
      <t>GATE</t>
    </r>
  </si>
  <si>
    <t>FET Conduction Losses:</t>
  </si>
  <si>
    <r>
      <t>P</t>
    </r>
    <r>
      <rPr>
        <vertAlign val="subscript"/>
        <sz val="10"/>
        <rFont val="Arial"/>
        <family val="2"/>
      </rPr>
      <t>COND</t>
    </r>
  </si>
  <si>
    <t>FET Switching Losses:</t>
  </si>
  <si>
    <r>
      <t>P</t>
    </r>
    <r>
      <rPr>
        <vertAlign val="subscript"/>
        <sz val="10"/>
        <rFont val="Arial"/>
        <family val="2"/>
      </rPr>
      <t>SW</t>
    </r>
  </si>
  <si>
    <t>FET Losses, Total:</t>
  </si>
  <si>
    <r>
      <t>P</t>
    </r>
    <r>
      <rPr>
        <vertAlign val="subscript"/>
        <sz val="10"/>
        <rFont val="Arial"/>
        <family val="2"/>
      </rPr>
      <t>FET</t>
    </r>
  </si>
  <si>
    <r>
      <t>R</t>
    </r>
    <r>
      <rPr>
        <vertAlign val="subscript"/>
        <sz val="10"/>
        <rFont val="Symbol"/>
        <family val="1"/>
      </rPr>
      <t>q</t>
    </r>
    <r>
      <rPr>
        <vertAlign val="subscript"/>
        <sz val="10"/>
        <rFont val="Arial"/>
        <family val="2"/>
      </rPr>
      <t>HS_AMB(FET)</t>
    </r>
  </si>
  <si>
    <t>CURRENT SENSE RESISTOR:</t>
  </si>
  <si>
    <r>
      <t>Ideal Value for R</t>
    </r>
    <r>
      <rPr>
        <vertAlign val="subscript"/>
        <sz val="10"/>
        <rFont val="Arial"/>
        <family val="2"/>
      </rPr>
      <t>SENSE</t>
    </r>
    <r>
      <rPr>
        <sz val="10"/>
        <rFont val="Arial"/>
        <family val="2"/>
      </rPr>
      <t>, for 110% Inductor SOC Threshold:</t>
    </r>
  </si>
  <si>
    <r>
      <t>R</t>
    </r>
    <r>
      <rPr>
        <vertAlign val="subscript"/>
        <sz val="10"/>
        <rFont val="Arial"/>
        <family val="2"/>
      </rPr>
      <t>SENSE(ideal)</t>
    </r>
  </si>
  <si>
    <r>
      <t>Actual Value for R</t>
    </r>
    <r>
      <rPr>
        <b/>
        <vertAlign val="subscript"/>
        <sz val="10"/>
        <rFont val="Arial"/>
        <family val="2"/>
      </rPr>
      <t>SENSE</t>
    </r>
    <r>
      <rPr>
        <b/>
        <sz val="10"/>
        <rFont val="Arial"/>
        <family val="2"/>
      </rPr>
      <t>: Current Sense Resistor:</t>
    </r>
  </si>
  <si>
    <r>
      <t>R</t>
    </r>
    <r>
      <rPr>
        <b/>
        <vertAlign val="subscript"/>
        <sz val="10"/>
        <rFont val="Arial"/>
        <family val="2"/>
      </rPr>
      <t>SENSE</t>
    </r>
  </si>
  <si>
    <t>ICOMP Voltage at Vin_Min, ICOMP to be &lt;5.7V to avoid ICOMP amp saturation</t>
  </si>
  <si>
    <t xml:space="preserve">ICOMP </t>
  </si>
  <si>
    <t>Inductor Current at Soft Over-Current Threshold:</t>
  </si>
  <si>
    <r>
      <t>I</t>
    </r>
    <r>
      <rPr>
        <vertAlign val="subscript"/>
        <sz val="10"/>
        <rFont val="Arial"/>
        <family val="2"/>
      </rPr>
      <t>OVERCURRENT</t>
    </r>
    <r>
      <rPr>
        <sz val="10"/>
        <rFont val="Arial"/>
        <family val="2"/>
      </rPr>
      <t>_</t>
    </r>
    <r>
      <rPr>
        <vertAlign val="subscript"/>
        <sz val="10"/>
        <rFont val="Arial"/>
        <family val="2"/>
      </rPr>
      <t>SOC</t>
    </r>
  </si>
  <si>
    <r>
      <t>Power Dissipated in R</t>
    </r>
    <r>
      <rPr>
        <vertAlign val="subscript"/>
        <sz val="10"/>
        <rFont val="Arial"/>
        <family val="2"/>
      </rPr>
      <t>SENSE</t>
    </r>
    <r>
      <rPr>
        <sz val="10"/>
        <rFont val="Arial"/>
        <family val="2"/>
      </rPr>
      <t>:</t>
    </r>
  </si>
  <si>
    <r>
      <t>P</t>
    </r>
    <r>
      <rPr>
        <vertAlign val="subscript"/>
        <sz val="10"/>
        <rFont val="Arial"/>
        <family val="2"/>
      </rPr>
      <t>Rsense</t>
    </r>
  </si>
  <si>
    <t>Theoretical Output Over-Current Inception Point:</t>
  </si>
  <si>
    <r>
      <t>I</t>
    </r>
    <r>
      <rPr>
        <vertAlign val="subscript"/>
        <sz val="10"/>
        <rFont val="Arial"/>
        <family val="2"/>
      </rPr>
      <t>OUT_OVERCURRENT</t>
    </r>
  </si>
  <si>
    <t>Maximum ISENSE Peak Current Limit Threshold:</t>
  </si>
  <si>
    <r>
      <t>I</t>
    </r>
    <r>
      <rPr>
        <vertAlign val="subscript"/>
        <sz val="10"/>
        <rFont val="Arial"/>
        <family val="2"/>
      </rPr>
      <t>PCL</t>
    </r>
  </si>
  <si>
    <r>
      <t>Resistance of Thermistor at 25</t>
    </r>
    <r>
      <rPr>
        <sz val="10"/>
        <rFont val="Symbol"/>
        <family val="1"/>
      </rPr>
      <t>°</t>
    </r>
    <r>
      <rPr>
        <sz val="10"/>
        <rFont val="Arial"/>
        <family val="2"/>
      </rPr>
      <t>C:</t>
    </r>
  </si>
  <si>
    <r>
      <t>R</t>
    </r>
    <r>
      <rPr>
        <vertAlign val="subscript"/>
        <sz val="10"/>
        <rFont val="Arial"/>
        <family val="2"/>
      </rPr>
      <t>THERM</t>
    </r>
  </si>
  <si>
    <t>Maximum Inrush Current:</t>
  </si>
  <si>
    <r>
      <t>I</t>
    </r>
    <r>
      <rPr>
        <vertAlign val="subscript"/>
        <sz val="10"/>
        <rFont val="Arial"/>
        <family val="2"/>
      </rPr>
      <t>INRUSH</t>
    </r>
  </si>
  <si>
    <t>Recommended ISENSE Series Resistor:</t>
  </si>
  <si>
    <r>
      <t>R</t>
    </r>
    <r>
      <rPr>
        <b/>
        <vertAlign val="subscript"/>
        <sz val="10"/>
        <rFont val="Arial"/>
        <family val="2"/>
      </rPr>
      <t>ISENSE</t>
    </r>
  </si>
  <si>
    <t>Recommended ISENSE Filter Capacitor:</t>
  </si>
  <si>
    <r>
      <t>C</t>
    </r>
    <r>
      <rPr>
        <b/>
        <vertAlign val="subscript"/>
        <sz val="10"/>
        <rFont val="Arial"/>
        <family val="2"/>
      </rPr>
      <t>ISENSE</t>
    </r>
  </si>
  <si>
    <t>OUTPUT CAPACITOR:</t>
  </si>
  <si>
    <t>Required Minimum Output Voltage:</t>
  </si>
  <si>
    <r>
      <t>V</t>
    </r>
    <r>
      <rPr>
        <vertAlign val="subscript"/>
        <sz val="10"/>
        <rFont val="Arial"/>
        <family val="2"/>
      </rPr>
      <t>OUT_HOLDUP(min)</t>
    </r>
  </si>
  <si>
    <t>Desired Number of Line Cycles For Output Holdup Time  (typ one line cycle):</t>
  </si>
  <si>
    <r>
      <t>N</t>
    </r>
    <r>
      <rPr>
        <vertAlign val="subscript"/>
        <sz val="10"/>
        <rFont val="Arial"/>
        <family val="2"/>
      </rPr>
      <t>HOLD_UP</t>
    </r>
  </si>
  <si>
    <t>Minimum Output Voltage Holdup Time:</t>
  </si>
  <si>
    <r>
      <t>t</t>
    </r>
    <r>
      <rPr>
        <vertAlign val="subscript"/>
        <sz val="10"/>
        <rFont val="Arial"/>
        <family val="2"/>
      </rPr>
      <t>Hold_UP(min)</t>
    </r>
  </si>
  <si>
    <t>ms</t>
  </si>
  <si>
    <t>Recommended Minimum Output Capacitor Value:</t>
  </si>
  <si>
    <r>
      <t>C</t>
    </r>
    <r>
      <rPr>
        <vertAlign val="subscript"/>
        <sz val="10"/>
        <rFont val="Arial"/>
        <family val="2"/>
      </rPr>
      <t>OUT(recommended)</t>
    </r>
  </si>
  <si>
    <t>Actual Output Capacitor Value:</t>
  </si>
  <si>
    <r>
      <t>C</t>
    </r>
    <r>
      <rPr>
        <b/>
        <vertAlign val="subscript"/>
        <sz val="10"/>
        <rFont val="Arial"/>
        <family val="2"/>
      </rPr>
      <t>OUT</t>
    </r>
  </si>
  <si>
    <t>Output Voltage Peak to Peak Ripple:</t>
  </si>
  <si>
    <r>
      <t>V</t>
    </r>
    <r>
      <rPr>
        <vertAlign val="subscript"/>
        <sz val="10"/>
        <rFont val="Arial"/>
        <family val="2"/>
      </rPr>
      <t>OUT_RIPPLEpp</t>
    </r>
  </si>
  <si>
    <t>Output Capacitor Ripple Current at Twice Line Frequency:</t>
  </si>
  <si>
    <r>
      <t>I</t>
    </r>
    <r>
      <rPr>
        <vertAlign val="subscript"/>
        <sz val="10"/>
        <rFont val="Arial"/>
        <family val="2"/>
      </rPr>
      <t>Cout_2fline</t>
    </r>
  </si>
  <si>
    <r>
      <t>A</t>
    </r>
    <r>
      <rPr>
        <vertAlign val="subscript"/>
        <sz val="10"/>
        <rFont val="Arial"/>
        <family val="2"/>
      </rPr>
      <t>RMS</t>
    </r>
  </si>
  <si>
    <t>Output Capacitor High Frequency Ripple Current:</t>
  </si>
  <si>
    <r>
      <t>I</t>
    </r>
    <r>
      <rPr>
        <vertAlign val="subscript"/>
        <sz val="10"/>
        <rFont val="Arial"/>
        <family val="2"/>
      </rPr>
      <t>Cout_HF</t>
    </r>
  </si>
  <si>
    <t>Total Output Capacitor Ripple Current:</t>
  </si>
  <si>
    <r>
      <t>I</t>
    </r>
    <r>
      <rPr>
        <vertAlign val="subscript"/>
        <sz val="10"/>
        <rFont val="Arial"/>
        <family val="2"/>
      </rPr>
      <t>Cout_RMS(total)</t>
    </r>
  </si>
  <si>
    <t>OUTPUT VOLTAGE SET POINT:</t>
  </si>
  <si>
    <t>Recommended Value for the Top Divider Resistor:</t>
  </si>
  <si>
    <r>
      <t>R</t>
    </r>
    <r>
      <rPr>
        <vertAlign val="subscript"/>
        <sz val="10"/>
        <rFont val="Arial"/>
        <family val="2"/>
      </rPr>
      <t>FB1(recommended)</t>
    </r>
  </si>
  <si>
    <r>
      <t>M</t>
    </r>
    <r>
      <rPr>
        <sz val="10"/>
        <rFont val="Symbol"/>
        <family val="1"/>
      </rPr>
      <t>W</t>
    </r>
  </si>
  <si>
    <t>Actual Value of the Top Divider Resistor:</t>
  </si>
  <si>
    <r>
      <t>R</t>
    </r>
    <r>
      <rPr>
        <b/>
        <vertAlign val="subscript"/>
        <sz val="10"/>
        <rFont val="Arial"/>
        <family val="2"/>
      </rPr>
      <t>FB1(actual)</t>
    </r>
  </si>
  <si>
    <r>
      <t>M</t>
    </r>
    <r>
      <rPr>
        <b/>
        <sz val="10"/>
        <rFont val="Symbol"/>
        <family val="1"/>
      </rPr>
      <t>W</t>
    </r>
  </si>
  <si>
    <t>Recommended Value for the Bottom Divider Resistor (E48 Series):</t>
  </si>
  <si>
    <r>
      <t>R</t>
    </r>
    <r>
      <rPr>
        <vertAlign val="subscript"/>
        <sz val="10"/>
        <rFont val="Arial"/>
        <family val="2"/>
      </rPr>
      <t>FB2(recommended)</t>
    </r>
  </si>
  <si>
    <r>
      <t>k</t>
    </r>
    <r>
      <rPr>
        <sz val="10"/>
        <rFont val="Symbol"/>
        <family val="1"/>
      </rPr>
      <t>W</t>
    </r>
  </si>
  <si>
    <t>Actual Value of the Bottom Divider Resistor:</t>
  </si>
  <si>
    <r>
      <t>R</t>
    </r>
    <r>
      <rPr>
        <b/>
        <vertAlign val="subscript"/>
        <sz val="10"/>
        <rFont val="Arial"/>
        <family val="2"/>
      </rPr>
      <t>FB2(actual)</t>
    </r>
  </si>
  <si>
    <r>
      <t>k</t>
    </r>
    <r>
      <rPr>
        <b/>
        <sz val="10"/>
        <rFont val="Symbol"/>
        <family val="1"/>
      </rPr>
      <t>W</t>
    </r>
  </si>
  <si>
    <t>Actual Nominal Output Voltage:</t>
  </si>
  <si>
    <r>
      <t>V</t>
    </r>
    <r>
      <rPr>
        <b/>
        <vertAlign val="subscript"/>
        <sz val="10"/>
        <rFont val="Arial"/>
        <family val="2"/>
      </rPr>
      <t>OUT</t>
    </r>
  </si>
  <si>
    <r>
      <t>Minimum Output Voltage with respect to V</t>
    </r>
    <r>
      <rPr>
        <vertAlign val="subscript"/>
        <sz val="10"/>
        <rFont val="Arial"/>
        <family val="2"/>
      </rPr>
      <t>REF:</t>
    </r>
  </si>
  <si>
    <r>
      <t>V</t>
    </r>
    <r>
      <rPr>
        <vertAlign val="subscript"/>
        <sz val="10"/>
        <rFont val="Arial"/>
        <family val="2"/>
      </rPr>
      <t>OUT(min)</t>
    </r>
  </si>
  <si>
    <r>
      <t>Maximum Output Voltage with respect to V</t>
    </r>
    <r>
      <rPr>
        <vertAlign val="subscript"/>
        <sz val="10"/>
        <rFont val="Arial"/>
        <family val="2"/>
      </rPr>
      <t>REF:</t>
    </r>
  </si>
  <si>
    <r>
      <t>V</t>
    </r>
    <r>
      <rPr>
        <vertAlign val="subscript"/>
        <sz val="10"/>
        <rFont val="Arial"/>
        <family val="2"/>
      </rPr>
      <t>OUT(max)</t>
    </r>
  </si>
  <si>
    <t>OVP Set Point: Typical DC Output Voltage to Trigger OVP:</t>
  </si>
  <si>
    <r>
      <t>V</t>
    </r>
    <r>
      <rPr>
        <vertAlign val="subscript"/>
        <sz val="10"/>
        <rFont val="Arial"/>
        <family val="2"/>
      </rPr>
      <t>OVP</t>
    </r>
  </si>
  <si>
    <t>UVD Set Point: Typical DC Output Voltage to Trigger UVD:</t>
  </si>
  <si>
    <r>
      <t>V</t>
    </r>
    <r>
      <rPr>
        <vertAlign val="subscript"/>
        <sz val="10"/>
        <rFont val="Arial"/>
        <family val="2"/>
      </rPr>
      <t>UVD</t>
    </r>
  </si>
  <si>
    <t>Recommended Value for Filter Capacitor on VSENSE:</t>
  </si>
  <si>
    <r>
      <t>C</t>
    </r>
    <r>
      <rPr>
        <b/>
        <vertAlign val="subscript"/>
        <sz val="10"/>
        <rFont val="Arial"/>
        <family val="2"/>
      </rPr>
      <t>VSENSE</t>
    </r>
  </si>
  <si>
    <t>Power Dissipated in Voltage Divider:</t>
  </si>
  <si>
    <r>
      <t>P</t>
    </r>
    <r>
      <rPr>
        <vertAlign val="subscript"/>
        <sz val="10"/>
        <rFont val="Arial"/>
        <family val="2"/>
      </rPr>
      <t>RfB1+RFB2</t>
    </r>
  </si>
  <si>
    <t>COMPENSATION:</t>
  </si>
  <si>
    <t>The Loop will be Optimized at a Selected Specific Line Voltage.  For a Wide Input Range, Optimization is Recommended at the Mean of Min and Max Input.  For a Design with a Specific Nominal Line Voltage, Optimize at that Nominal Voltage. VCOMP at Any Line Voltage or as a Function of Load is Shown at Right</t>
  </si>
  <si>
    <t>To Determine VCOMP for a Specific Line Voltage at Full Load:</t>
  </si>
  <si>
    <t>Line Voltage for Optimized Loop Design:</t>
  </si>
  <si>
    <r>
      <t>V</t>
    </r>
    <r>
      <rPr>
        <vertAlign val="subscript"/>
        <sz val="11"/>
        <rFont val="Arial"/>
        <family val="2"/>
      </rPr>
      <t>INnom</t>
    </r>
  </si>
  <si>
    <t>Enter Line Voltage for VCOMP calculation</t>
  </si>
  <si>
    <r>
      <t>V</t>
    </r>
    <r>
      <rPr>
        <vertAlign val="subscript"/>
        <sz val="10"/>
        <rFont val="Arial"/>
        <family val="2"/>
      </rPr>
      <t>LINE</t>
    </r>
  </si>
  <si>
    <t xml:space="preserve">Open Loop Transfer Function for Current Loop:  </t>
  </si>
  <si>
    <t>Resultant VCOMP at Full Load</t>
  </si>
  <si>
    <r>
      <t>VCOMP at V</t>
    </r>
    <r>
      <rPr>
        <vertAlign val="subscript"/>
        <sz val="10"/>
        <rFont val="Arial"/>
        <family val="2"/>
      </rPr>
      <t>LINE</t>
    </r>
  </si>
  <si>
    <t>Product of the Voltage Loop Variables:</t>
  </si>
  <si>
    <r>
      <t>M</t>
    </r>
    <r>
      <rPr>
        <vertAlign val="subscript"/>
        <sz val="10"/>
        <rFont val="Arial"/>
        <family val="2"/>
      </rPr>
      <t>1</t>
    </r>
    <r>
      <rPr>
        <sz val="10"/>
        <rFont val="Arial"/>
        <family val="2"/>
      </rPr>
      <t>M</t>
    </r>
    <r>
      <rPr>
        <vertAlign val="subscript"/>
        <sz val="10"/>
        <rFont val="Arial"/>
        <family val="2"/>
      </rPr>
      <t>2</t>
    </r>
  </si>
  <si>
    <r>
      <t>V/</t>
    </r>
    <r>
      <rPr>
        <sz val="10"/>
        <rFont val="Symbol"/>
        <family val="1"/>
      </rPr>
      <t>m</t>
    </r>
    <r>
      <rPr>
        <sz val="10"/>
        <rFont val="Arial"/>
        <family val="2"/>
      </rPr>
      <t>s</t>
    </r>
  </si>
  <si>
    <t>Resultant ICOMP at Full Load</t>
  </si>
  <si>
    <r>
      <t>VCOMP Voltage at V</t>
    </r>
    <r>
      <rPr>
        <b/>
        <vertAlign val="subscript"/>
        <sz val="10"/>
        <rFont val="Arial"/>
        <family val="2"/>
      </rPr>
      <t>INnom</t>
    </r>
    <r>
      <rPr>
        <b/>
        <sz val="10"/>
        <rFont val="Arial"/>
        <family val="2"/>
      </rPr>
      <t>:</t>
    </r>
  </si>
  <si>
    <t>VCOMP</t>
  </si>
  <si>
    <t>To Determine VCOMP at Selected Line Voltage and at a Specific Load, enter a value from 1 to 100 for 1% to 100% load:</t>
  </si>
  <si>
    <r>
      <t>Internal Current Loop Gain Factor M</t>
    </r>
    <r>
      <rPr>
        <vertAlign val="subscript"/>
        <sz val="10"/>
        <rFont val="Arial"/>
        <family val="2"/>
      </rPr>
      <t>1</t>
    </r>
    <r>
      <rPr>
        <sz val="10"/>
        <rFont val="Arial"/>
        <family val="2"/>
      </rPr>
      <t>:</t>
    </r>
  </si>
  <si>
    <r>
      <t>M</t>
    </r>
    <r>
      <rPr>
        <vertAlign val="subscript"/>
        <sz val="10"/>
        <rFont val="Arial"/>
        <family val="2"/>
      </rPr>
      <t>1</t>
    </r>
  </si>
  <si>
    <r>
      <t>Internal Voltage Loop PWM Ramp Slope M</t>
    </r>
    <r>
      <rPr>
        <vertAlign val="subscript"/>
        <sz val="10"/>
        <rFont val="Arial"/>
        <family val="2"/>
      </rPr>
      <t>2</t>
    </r>
    <r>
      <rPr>
        <sz val="10"/>
        <rFont val="Arial"/>
        <family val="2"/>
      </rPr>
      <t>:</t>
    </r>
  </si>
  <si>
    <r>
      <t>M</t>
    </r>
    <r>
      <rPr>
        <vertAlign val="subscript"/>
        <sz val="10"/>
        <rFont val="Arial"/>
        <family val="2"/>
      </rPr>
      <t>2</t>
    </r>
  </si>
  <si>
    <t>Percentage of Full Load for VCOMP Calculation:</t>
  </si>
  <si>
    <t>% of Full Load:</t>
  </si>
  <si>
    <t>%</t>
  </si>
  <si>
    <r>
      <t>Non-Linear Gain Voltage Loop Variable M</t>
    </r>
    <r>
      <rPr>
        <vertAlign val="subscript"/>
        <sz val="10"/>
        <rFont val="Arial"/>
        <family val="2"/>
      </rPr>
      <t>3</t>
    </r>
    <r>
      <rPr>
        <sz val="10"/>
        <rFont val="Arial"/>
        <family val="2"/>
      </rPr>
      <t>:</t>
    </r>
  </si>
  <si>
    <r>
      <t>M</t>
    </r>
    <r>
      <rPr>
        <vertAlign val="subscript"/>
        <sz val="10"/>
        <rFont val="Arial"/>
        <family val="2"/>
      </rPr>
      <t>3</t>
    </r>
  </si>
  <si>
    <t>Resultant VCOMP at Selected Load</t>
  </si>
  <si>
    <t>VCOMP at %load selected</t>
  </si>
  <si>
    <t>Maximum Recommended ICOMP Capacitor Value:</t>
  </si>
  <si>
    <r>
      <t>C</t>
    </r>
    <r>
      <rPr>
        <vertAlign val="subscript"/>
        <sz val="10"/>
        <rFont val="Arial"/>
        <family val="2"/>
      </rPr>
      <t>ICOMPmax(recommended)</t>
    </r>
  </si>
  <si>
    <t>Minimum Recommended ICOMP Capacitor Value:</t>
  </si>
  <si>
    <r>
      <t>C</t>
    </r>
    <r>
      <rPr>
        <vertAlign val="subscript"/>
        <sz val="10"/>
        <rFont val="Arial"/>
        <family val="2"/>
      </rPr>
      <t>ICOMPmin(recommended)</t>
    </r>
  </si>
  <si>
    <t>Actual Value Used for ICOMP Capacitor:</t>
  </si>
  <si>
    <r>
      <t>C</t>
    </r>
    <r>
      <rPr>
        <b/>
        <vertAlign val="subscript"/>
        <sz val="10"/>
        <rFont val="Arial"/>
        <family val="2"/>
      </rPr>
      <t>ICOMP(actual)</t>
    </r>
  </si>
  <si>
    <t>Resultant Actual Current Averaging Pole Frequency:</t>
  </si>
  <si>
    <r>
      <t>f</t>
    </r>
    <r>
      <rPr>
        <vertAlign val="subscript"/>
        <sz val="10"/>
        <rFont val="Arial"/>
        <family val="2"/>
      </rPr>
      <t>IAVG(actual)</t>
    </r>
  </si>
  <si>
    <t xml:space="preserve">Open Loop Transfer Function for Voltage Loop:  </t>
  </si>
  <si>
    <t>PWM to Power Stage Pole:</t>
  </si>
  <si>
    <r>
      <t>f</t>
    </r>
    <r>
      <rPr>
        <vertAlign val="subscript"/>
        <sz val="10"/>
        <rFont val="Arial"/>
        <family val="2"/>
      </rPr>
      <t>PWM_PS(pole)</t>
    </r>
  </si>
  <si>
    <r>
      <t>Desired Voltage Loop Crossover Frequency ( f</t>
    </r>
    <r>
      <rPr>
        <b/>
        <vertAlign val="subscript"/>
        <sz val="10"/>
        <rFont val="Arial"/>
        <family val="2"/>
      </rPr>
      <t>V</t>
    </r>
    <r>
      <rPr>
        <b/>
        <sz val="10"/>
        <rFont val="Arial"/>
        <family val="2"/>
      </rPr>
      <t xml:space="preserve"> &lt; 20Hz):</t>
    </r>
  </si>
  <si>
    <r>
      <t>f</t>
    </r>
    <r>
      <rPr>
        <b/>
        <vertAlign val="subscript"/>
        <sz val="10"/>
        <rFont val="Arial"/>
        <family val="2"/>
      </rPr>
      <t>V</t>
    </r>
  </si>
  <si>
    <r>
      <t>Open Loop Voltage Gain at Desired f</t>
    </r>
    <r>
      <rPr>
        <vertAlign val="subscript"/>
        <sz val="10"/>
        <rFont val="Arial"/>
        <family val="2"/>
      </rPr>
      <t>V</t>
    </r>
    <r>
      <rPr>
        <sz val="10"/>
        <rFont val="Arial"/>
        <family val="2"/>
      </rPr>
      <t>:</t>
    </r>
  </si>
  <si>
    <r>
      <t>G</t>
    </r>
    <r>
      <rPr>
        <vertAlign val="subscript"/>
        <sz val="10"/>
        <rFont val="Arial"/>
        <family val="2"/>
      </rPr>
      <t>VLdB</t>
    </r>
    <r>
      <rPr>
        <sz val="10"/>
        <rFont val="Arial"/>
        <family val="2"/>
      </rPr>
      <t>(f</t>
    </r>
    <r>
      <rPr>
        <vertAlign val="subscript"/>
        <sz val="10"/>
        <rFont val="Arial"/>
        <family val="2"/>
      </rPr>
      <t>V</t>
    </r>
    <r>
      <rPr>
        <sz val="10"/>
        <rFont val="Arial"/>
        <family val="2"/>
      </rPr>
      <t>)</t>
    </r>
  </si>
  <si>
    <t>dB</t>
  </si>
  <si>
    <t>Recommended Value for the Voltage Compensation Capacitor:</t>
  </si>
  <si>
    <r>
      <t>C</t>
    </r>
    <r>
      <rPr>
        <vertAlign val="subscript"/>
        <sz val="10"/>
        <rFont val="Arial"/>
        <family val="2"/>
      </rPr>
      <t>VCOMP(recommended)</t>
    </r>
  </si>
  <si>
    <r>
      <t>Actual Value Used for C</t>
    </r>
    <r>
      <rPr>
        <b/>
        <vertAlign val="subscript"/>
        <sz val="10"/>
        <rFont val="Arial"/>
        <family val="2"/>
      </rPr>
      <t>VCOMP</t>
    </r>
    <r>
      <rPr>
        <b/>
        <sz val="10"/>
        <rFont val="Arial"/>
        <family val="2"/>
      </rPr>
      <t xml:space="preserve"> Capacitor:</t>
    </r>
  </si>
  <si>
    <r>
      <t>C</t>
    </r>
    <r>
      <rPr>
        <b/>
        <vertAlign val="subscript"/>
        <sz val="10"/>
        <rFont val="Arial"/>
        <family val="2"/>
      </rPr>
      <t>VCOMP(actual)</t>
    </r>
  </si>
  <si>
    <r>
      <t>m</t>
    </r>
    <r>
      <rPr>
        <b/>
        <sz val="10"/>
        <rFont val="Arial"/>
        <family val="2"/>
      </rPr>
      <t>F</t>
    </r>
  </si>
  <si>
    <t>Recommended Value for the Voltage Compensation Resistor:</t>
  </si>
  <si>
    <r>
      <t>R</t>
    </r>
    <r>
      <rPr>
        <vertAlign val="subscript"/>
        <sz val="10"/>
        <rFont val="Arial"/>
        <family val="2"/>
      </rPr>
      <t>VCOMP(recommended)</t>
    </r>
  </si>
  <si>
    <r>
      <t>Actual Value Used for R</t>
    </r>
    <r>
      <rPr>
        <b/>
        <vertAlign val="subscript"/>
        <sz val="10"/>
        <rFont val="Arial"/>
        <family val="2"/>
      </rPr>
      <t>VCOMP</t>
    </r>
    <r>
      <rPr>
        <b/>
        <sz val="10"/>
        <rFont val="Arial"/>
        <family val="2"/>
      </rPr>
      <t xml:space="preserve"> Resistor:</t>
    </r>
  </si>
  <si>
    <r>
      <t>R</t>
    </r>
    <r>
      <rPr>
        <b/>
        <vertAlign val="subscript"/>
        <sz val="10"/>
        <rFont val="Arial"/>
        <family val="2"/>
      </rPr>
      <t>VCOMP(actual)</t>
    </r>
  </si>
  <si>
    <t>Resultant Value of Voltage Compensation Zero:</t>
  </si>
  <si>
    <r>
      <t>f</t>
    </r>
    <r>
      <rPr>
        <vertAlign val="subscript"/>
        <sz val="10"/>
        <rFont val="Arial"/>
        <family val="2"/>
      </rPr>
      <t>ZERO</t>
    </r>
  </si>
  <si>
    <r>
      <t>Desired Voltage Compensation Pole (f</t>
    </r>
    <r>
      <rPr>
        <b/>
        <vertAlign val="subscript"/>
        <sz val="10"/>
        <rFont val="Arial"/>
        <family val="2"/>
      </rPr>
      <t>Pole</t>
    </r>
    <r>
      <rPr>
        <b/>
        <sz val="10"/>
        <rFont val="Arial"/>
        <family val="2"/>
      </rPr>
      <t xml:space="preserve"> &lt; 50Hz):</t>
    </r>
  </si>
  <si>
    <r>
      <t>f</t>
    </r>
    <r>
      <rPr>
        <b/>
        <vertAlign val="subscript"/>
        <sz val="10"/>
        <rFont val="Arial"/>
        <family val="2"/>
      </rPr>
      <t>POLE</t>
    </r>
  </si>
  <si>
    <t>Recommended Value for the Parallel Voltage Compensation Capacitor:</t>
  </si>
  <si>
    <r>
      <t>C</t>
    </r>
    <r>
      <rPr>
        <vertAlign val="subscript"/>
        <sz val="10"/>
        <rFont val="Arial"/>
        <family val="2"/>
      </rPr>
      <t>VCOMP_P(recommended)</t>
    </r>
  </si>
  <si>
    <t>Actual Value for the Parallel Voltage Compensation Capacitor:</t>
  </si>
  <si>
    <r>
      <t>C</t>
    </r>
    <r>
      <rPr>
        <b/>
        <vertAlign val="subscript"/>
        <sz val="10"/>
        <rFont val="Arial"/>
        <family val="2"/>
      </rPr>
      <t>VCOMP_P(actual)</t>
    </r>
  </si>
  <si>
    <t>Typical Schematic for a PFC Continuous Conduction Mode Boost Converter Using the UCC28180</t>
  </si>
  <si>
    <t>RECOMMENDED BILL OF MATERIALS</t>
  </si>
  <si>
    <t>Reference Designator</t>
  </si>
  <si>
    <t>Description/Comments</t>
  </si>
  <si>
    <t>FUSE</t>
  </si>
  <si>
    <t>Type:</t>
  </si>
  <si>
    <t>Fast Acting</t>
  </si>
  <si>
    <t>Voltage Rating:</t>
  </si>
  <si>
    <t>Current Rating:</t>
  </si>
  <si>
    <t>BRIDGE</t>
  </si>
  <si>
    <t>DC Blocking Voltage:</t>
  </si>
  <si>
    <t>Power Dissipation:</t>
  </si>
  <si>
    <t>CIN</t>
  </si>
  <si>
    <t>Film Capacitor, X2</t>
  </si>
  <si>
    <t>Value:</t>
  </si>
  <si>
    <t>Volatge Rating:</t>
  </si>
  <si>
    <r>
      <t>V</t>
    </r>
    <r>
      <rPr>
        <vertAlign val="subscript"/>
        <sz val="16"/>
        <rFont val="Arial"/>
        <family val="2"/>
      </rPr>
      <t>RMS</t>
    </r>
  </si>
  <si>
    <t>LBST</t>
  </si>
  <si>
    <t>Inductor Value:</t>
  </si>
  <si>
    <t>Peak Current Rating:</t>
  </si>
  <si>
    <t>Ripple Current:</t>
  </si>
  <si>
    <t>DBOOST</t>
  </si>
  <si>
    <t>Diode, Low Reverse Recovery Charge, Schottky</t>
  </si>
  <si>
    <t>Average Current Rating:</t>
  </si>
  <si>
    <t>QFET</t>
  </si>
  <si>
    <t>MOSFET, Nchannel</t>
  </si>
  <si>
    <t>RMS Drain Current Rating:</t>
  </si>
  <si>
    <t>RSENSE</t>
  </si>
  <si>
    <t>Resistor, Low Inductance</t>
  </si>
  <si>
    <t>RISENSE</t>
  </si>
  <si>
    <t>Resistor, Chip, 1/16W</t>
  </si>
  <si>
    <t>CISENSE</t>
  </si>
  <si>
    <t>Capacitor, Ceramic, 100V, X7R, ±10%</t>
  </si>
  <si>
    <t>COUT</t>
  </si>
  <si>
    <t xml:space="preserve">Capacitor, Aluminum, ±20% </t>
  </si>
  <si>
    <r>
      <t>2 x f</t>
    </r>
    <r>
      <rPr>
        <vertAlign val="subscript"/>
        <sz val="16"/>
        <rFont val="Arial"/>
        <family val="2"/>
      </rPr>
      <t>LINE</t>
    </r>
    <r>
      <rPr>
        <sz val="16"/>
        <rFont val="Arial"/>
        <family val="2"/>
      </rPr>
      <t xml:space="preserve"> Ripple Current Rating:</t>
    </r>
  </si>
  <si>
    <r>
      <t>A</t>
    </r>
    <r>
      <rPr>
        <vertAlign val="subscript"/>
        <sz val="16"/>
        <rFont val="Arial"/>
        <family val="2"/>
      </rPr>
      <t>RMS</t>
    </r>
  </si>
  <si>
    <t>HF Ripple Current Rating:</t>
  </si>
  <si>
    <t>RFB1</t>
  </si>
  <si>
    <t>Resistor, Chip, Total Voltage Rating 400V, ±1%</t>
  </si>
  <si>
    <r>
      <t>M</t>
    </r>
    <r>
      <rPr>
        <sz val="16"/>
        <rFont val="Symbol"/>
        <family val="1"/>
      </rPr>
      <t>W</t>
    </r>
  </si>
  <si>
    <t>RFB2</t>
  </si>
  <si>
    <t>Resistor, Chip, 1/10W, ±1%</t>
  </si>
  <si>
    <r>
      <t>k</t>
    </r>
    <r>
      <rPr>
        <sz val="16"/>
        <rFont val="Symbol"/>
        <family val="1"/>
      </rPr>
      <t>W</t>
    </r>
  </si>
  <si>
    <t>CVSENSE</t>
  </si>
  <si>
    <t>Capacitor, Ceramic, 50V, X7R, ±10%</t>
  </si>
  <si>
    <t>CICOMP</t>
  </si>
  <si>
    <t>Recommended Values:</t>
  </si>
  <si>
    <t>pF min</t>
  </si>
  <si>
    <t>CVCOMP</t>
  </si>
  <si>
    <t>Capacitor, Ceramic, 10V, X5R, ±10%</t>
  </si>
  <si>
    <r>
      <t>m</t>
    </r>
    <r>
      <rPr>
        <sz val="16"/>
        <rFont val="Arial"/>
        <family val="2"/>
      </rPr>
      <t>F</t>
    </r>
  </si>
  <si>
    <t>RVCOMP</t>
  </si>
  <si>
    <t>CVCOMP_P</t>
  </si>
  <si>
    <t>RFREQ</t>
  </si>
  <si>
    <t>CVCC</t>
  </si>
  <si>
    <t>Ceramic, Low ESR/ESL, placed close to the VCC and GND pins with short traces</t>
  </si>
  <si>
    <t>Values:</t>
  </si>
  <si>
    <r>
      <t>m</t>
    </r>
    <r>
      <rPr>
        <sz val="16"/>
        <rFont val="Arial"/>
        <family val="2"/>
      </rPr>
      <t>F min</t>
    </r>
  </si>
  <si>
    <r>
      <t>m</t>
    </r>
    <r>
      <rPr>
        <sz val="16"/>
        <rFont val="Arial"/>
        <family val="2"/>
      </rPr>
      <t>F max</t>
    </r>
  </si>
  <si>
    <t>DSTART</t>
  </si>
  <si>
    <t>Diode, Switching</t>
  </si>
  <si>
    <t>DTURNOFF</t>
  </si>
  <si>
    <t>Diode, Schottky</t>
  </si>
  <si>
    <t>RGATE</t>
  </si>
  <si>
    <t>As Needed</t>
  </si>
  <si>
    <t>RGATE2</t>
  </si>
  <si>
    <r>
      <t>k</t>
    </r>
    <r>
      <rPr>
        <sz val="16"/>
        <rFont val="Calibri"/>
        <family val="2"/>
      </rPr>
      <t>Ω</t>
    </r>
  </si>
  <si>
    <t>Data for M1M2 vs VCOMP table</t>
  </si>
  <si>
    <t>M1</t>
  </si>
  <si>
    <t>M2</t>
  </si>
  <si>
    <t>M1M2</t>
  </si>
  <si>
    <t>mV factor</t>
  </si>
  <si>
    <t>uF factor</t>
  </si>
  <si>
    <t>kHz factor</t>
  </si>
  <si>
    <t>mΩ factor</t>
  </si>
  <si>
    <t>ms factor</t>
  </si>
  <si>
    <t>mA factor</t>
  </si>
  <si>
    <t>us factor</t>
  </si>
  <si>
    <t>uH factor</t>
  </si>
  <si>
    <t>ns factor</t>
  </si>
  <si>
    <t>mW factor</t>
  </si>
  <si>
    <t>pF factor</t>
  </si>
  <si>
    <t>MHz factor</t>
  </si>
  <si>
    <t>uA factor</t>
  </si>
  <si>
    <r>
      <t>k</t>
    </r>
    <r>
      <rPr>
        <sz val="11"/>
        <color indexed="8"/>
        <rFont val="Calibri"/>
        <family val="2"/>
      </rPr>
      <t>Ω</t>
    </r>
    <r>
      <rPr>
        <sz val="11"/>
        <color indexed="8"/>
        <rFont val="Arial"/>
        <family val="2"/>
      </rPr>
      <t xml:space="preserve"> factor</t>
    </r>
  </si>
  <si>
    <t>nC factor</t>
  </si>
  <si>
    <t>nF factor</t>
  </si>
  <si>
    <t>uC factor</t>
  </si>
  <si>
    <t>MΩ factor</t>
  </si>
  <si>
    <t>mH factor</t>
  </si>
  <si>
    <r>
      <t>K</t>
    </r>
    <r>
      <rPr>
        <vertAlign val="subscript"/>
        <sz val="11"/>
        <rFont val="Arial"/>
        <family val="2"/>
      </rPr>
      <t>1</t>
    </r>
  </si>
  <si>
    <r>
      <t>K</t>
    </r>
    <r>
      <rPr>
        <vertAlign val="subscript"/>
        <sz val="11"/>
        <rFont val="Arial"/>
        <family val="2"/>
      </rPr>
      <t>FQ</t>
    </r>
  </si>
  <si>
    <r>
      <t>f</t>
    </r>
    <r>
      <rPr>
        <vertAlign val="subscript"/>
        <sz val="11"/>
        <rFont val="Arial"/>
        <family val="2"/>
      </rPr>
      <t>TYP</t>
    </r>
  </si>
  <si>
    <t>VCOMP1</t>
  </si>
  <si>
    <r>
      <t>a</t>
    </r>
    <r>
      <rPr>
        <vertAlign val="subscript"/>
        <sz val="11"/>
        <rFont val="Arial"/>
        <family val="2"/>
      </rPr>
      <t>1</t>
    </r>
  </si>
  <si>
    <r>
      <t>b</t>
    </r>
    <r>
      <rPr>
        <vertAlign val="subscript"/>
        <sz val="11"/>
        <rFont val="Arial"/>
        <family val="2"/>
      </rPr>
      <t>1</t>
    </r>
  </si>
  <si>
    <r>
      <t>c</t>
    </r>
    <r>
      <rPr>
        <vertAlign val="subscript"/>
        <sz val="11"/>
        <rFont val="Arial"/>
        <family val="2"/>
      </rPr>
      <t>1</t>
    </r>
  </si>
  <si>
    <r>
      <t>d</t>
    </r>
    <r>
      <rPr>
        <vertAlign val="subscript"/>
        <sz val="11"/>
        <rFont val="Arial"/>
        <family val="2"/>
      </rPr>
      <t>1</t>
    </r>
  </si>
  <si>
    <r>
      <t>K</t>
    </r>
    <r>
      <rPr>
        <vertAlign val="subscript"/>
        <sz val="11"/>
        <rFont val="Arial"/>
        <family val="2"/>
      </rPr>
      <t>1V2</t>
    </r>
  </si>
  <si>
    <r>
      <t>K</t>
    </r>
    <r>
      <rPr>
        <vertAlign val="subscript"/>
        <sz val="11"/>
        <rFont val="Arial"/>
        <family val="2"/>
      </rPr>
      <t>2V2</t>
    </r>
  </si>
  <si>
    <r>
      <t>K</t>
    </r>
    <r>
      <rPr>
        <vertAlign val="subscript"/>
        <sz val="11"/>
        <rFont val="Arial"/>
        <family val="2"/>
      </rPr>
      <t>3V2</t>
    </r>
  </si>
  <si>
    <r>
      <t>K</t>
    </r>
    <r>
      <rPr>
        <vertAlign val="subscript"/>
        <sz val="11"/>
        <rFont val="Arial"/>
        <family val="2"/>
      </rPr>
      <t>4V2</t>
    </r>
  </si>
  <si>
    <t>VCOMP2</t>
  </si>
  <si>
    <r>
      <t>a</t>
    </r>
    <r>
      <rPr>
        <vertAlign val="subscript"/>
        <sz val="11"/>
        <rFont val="Arial"/>
        <family val="2"/>
      </rPr>
      <t>2</t>
    </r>
  </si>
  <si>
    <r>
      <t>b</t>
    </r>
    <r>
      <rPr>
        <vertAlign val="subscript"/>
        <sz val="11"/>
        <rFont val="Arial"/>
        <family val="2"/>
      </rPr>
      <t>2</t>
    </r>
  </si>
  <si>
    <r>
      <t>c</t>
    </r>
    <r>
      <rPr>
        <vertAlign val="subscript"/>
        <sz val="11"/>
        <rFont val="Arial"/>
        <family val="2"/>
      </rPr>
      <t>2</t>
    </r>
  </si>
  <si>
    <r>
      <t>d</t>
    </r>
    <r>
      <rPr>
        <vertAlign val="subscript"/>
        <sz val="11"/>
        <rFont val="Arial"/>
        <family val="2"/>
      </rPr>
      <t>2</t>
    </r>
  </si>
  <si>
    <r>
      <t>K</t>
    </r>
    <r>
      <rPr>
        <vertAlign val="subscript"/>
        <sz val="11"/>
        <rFont val="Arial"/>
        <family val="2"/>
      </rPr>
      <t>1V3</t>
    </r>
  </si>
  <si>
    <r>
      <t>K</t>
    </r>
    <r>
      <rPr>
        <vertAlign val="subscript"/>
        <sz val="11"/>
        <rFont val="Arial"/>
        <family val="2"/>
      </rPr>
      <t>2V3</t>
    </r>
  </si>
  <si>
    <r>
      <t>K</t>
    </r>
    <r>
      <rPr>
        <vertAlign val="subscript"/>
        <sz val="11"/>
        <rFont val="Arial"/>
        <family val="2"/>
      </rPr>
      <t>3V3</t>
    </r>
  </si>
  <si>
    <r>
      <t>K</t>
    </r>
    <r>
      <rPr>
        <vertAlign val="subscript"/>
        <sz val="11"/>
        <rFont val="Arial"/>
        <family val="2"/>
      </rPr>
      <t>4V3</t>
    </r>
  </si>
  <si>
    <r>
      <t>K</t>
    </r>
    <r>
      <rPr>
        <vertAlign val="subscript"/>
        <sz val="11"/>
        <rFont val="Arial"/>
        <family val="2"/>
      </rPr>
      <t>5V3</t>
    </r>
  </si>
  <si>
    <t>VCOMP3</t>
  </si>
  <si>
    <r>
      <t>a</t>
    </r>
    <r>
      <rPr>
        <vertAlign val="subscript"/>
        <sz val="11"/>
        <rFont val="Arial"/>
        <family val="2"/>
      </rPr>
      <t>3</t>
    </r>
  </si>
  <si>
    <r>
      <t>b</t>
    </r>
    <r>
      <rPr>
        <vertAlign val="subscript"/>
        <sz val="11"/>
        <rFont val="Arial"/>
        <family val="2"/>
      </rPr>
      <t>3</t>
    </r>
  </si>
  <si>
    <r>
      <t>c</t>
    </r>
    <r>
      <rPr>
        <vertAlign val="subscript"/>
        <sz val="11"/>
        <rFont val="Arial"/>
        <family val="2"/>
      </rPr>
      <t>3</t>
    </r>
  </si>
  <si>
    <t>VCOMP4</t>
  </si>
  <si>
    <r>
      <t>a</t>
    </r>
    <r>
      <rPr>
        <vertAlign val="subscript"/>
        <sz val="11"/>
        <rFont val="Arial"/>
        <family val="2"/>
      </rPr>
      <t>4</t>
    </r>
  </si>
  <si>
    <r>
      <t>b</t>
    </r>
    <r>
      <rPr>
        <vertAlign val="subscript"/>
        <sz val="10"/>
        <rFont val="Arial"/>
        <family val="2"/>
      </rPr>
      <t>4</t>
    </r>
  </si>
  <si>
    <t>VCOMP5</t>
  </si>
  <si>
    <t>VCOMP =</t>
  </si>
  <si>
    <t>Data For Current Averaging Bode Plot</t>
  </si>
  <si>
    <t>Data For Open Loop Voltage Bode Plot</t>
  </si>
  <si>
    <t>Data for Closed Loop Voltage Bode Plot</t>
  </si>
  <si>
    <t>Log scale converter</t>
  </si>
  <si>
    <t>Total Open Loop Phase</t>
  </si>
  <si>
    <t>EA Gain</t>
  </si>
  <si>
    <t>Total Closed Voltage Loop Bode Plot</t>
  </si>
  <si>
    <t>frequency</t>
  </si>
  <si>
    <t>w</t>
  </si>
  <si>
    <t>Gain</t>
  </si>
  <si>
    <t>Phase</t>
  </si>
  <si>
    <t>Voltage Feedback Gain</t>
  </si>
  <si>
    <t>PWM to Power Stage Gain</t>
  </si>
  <si>
    <t>Total Open Loop Gain</t>
  </si>
  <si>
    <t>Phase Margin</t>
  </si>
  <si>
    <t>rad</t>
  </si>
  <si>
    <t>degrees</t>
  </si>
  <si>
    <t>V/V</t>
  </si>
  <si>
    <t>1+sRVCOMPCVCOMP</t>
  </si>
  <si>
    <t>s(CVCOMP+CVCOMP_P)</t>
  </si>
  <si>
    <t>1+S(rvcompcvcompcvcomp_p/CVCOMP+CVCOMPP)</t>
  </si>
  <si>
    <t>Standard E48 Resistor Values</t>
  </si>
  <si>
    <r>
      <t>VREF</t>
    </r>
    <r>
      <rPr>
        <vertAlign val="subscript"/>
        <sz val="11"/>
        <rFont val="Arial"/>
        <family val="2"/>
      </rPr>
      <t>nom</t>
    </r>
  </si>
  <si>
    <r>
      <t>VREF</t>
    </r>
    <r>
      <rPr>
        <vertAlign val="subscript"/>
        <sz val="11"/>
        <rFont val="Arial"/>
        <family val="2"/>
      </rPr>
      <t>min</t>
    </r>
  </si>
  <si>
    <r>
      <t>VREF</t>
    </r>
    <r>
      <rPr>
        <vertAlign val="subscript"/>
        <sz val="11"/>
        <rFont val="Arial"/>
        <family val="2"/>
      </rPr>
      <t>max</t>
    </r>
  </si>
  <si>
    <t>Standard Component Value Calculations</t>
  </si>
  <si>
    <r>
      <t>C</t>
    </r>
    <r>
      <rPr>
        <vertAlign val="subscript"/>
        <sz val="11"/>
        <rFont val="Arial"/>
        <family val="2"/>
      </rPr>
      <t>IN</t>
    </r>
  </si>
  <si>
    <t>Standard Capacitor Values</t>
  </si>
  <si>
    <r>
      <t>R</t>
    </r>
    <r>
      <rPr>
        <vertAlign val="subscript"/>
        <sz val="11"/>
        <rFont val="Arial"/>
        <family val="2"/>
      </rPr>
      <t>FREQ</t>
    </r>
    <r>
      <rPr>
        <sz val="11"/>
        <rFont val="Arial"/>
        <family val="2"/>
      </rPr>
      <t xml:space="preserve"> =</t>
    </r>
  </si>
  <si>
    <t>C values up to 10nF</t>
  </si>
  <si>
    <r>
      <t>k</t>
    </r>
    <r>
      <rPr>
        <sz val="11"/>
        <rFont val="Calibri"/>
        <family val="2"/>
      </rPr>
      <t>Ω</t>
    </r>
  </si>
  <si>
    <r>
      <t>C</t>
    </r>
    <r>
      <rPr>
        <vertAlign val="subscript"/>
        <sz val="11"/>
        <rFont val="Arial"/>
        <family val="2"/>
      </rPr>
      <t>OUT</t>
    </r>
  </si>
  <si>
    <r>
      <rPr>
        <sz val="11"/>
        <rFont val="Calibri"/>
        <family val="2"/>
      </rPr>
      <t>µ</t>
    </r>
    <r>
      <rPr>
        <sz val="11"/>
        <rFont val="Arial"/>
        <family val="2"/>
      </rPr>
      <t>F</t>
    </r>
  </si>
  <si>
    <r>
      <t>R</t>
    </r>
    <r>
      <rPr>
        <vertAlign val="subscript"/>
        <sz val="11"/>
        <rFont val="Arial"/>
        <family val="2"/>
      </rPr>
      <t>FB2</t>
    </r>
    <r>
      <rPr>
        <sz val="11"/>
        <rFont val="Arial"/>
        <family val="2"/>
      </rPr>
      <t xml:space="preserve"> =</t>
    </r>
  </si>
  <si>
    <t>C values greater than 10nF</t>
  </si>
  <si>
    <r>
      <t>g</t>
    </r>
    <r>
      <rPr>
        <vertAlign val="subscript"/>
        <sz val="11"/>
        <rFont val="Arial"/>
        <family val="2"/>
      </rPr>
      <t>mi</t>
    </r>
  </si>
  <si>
    <r>
      <t>g</t>
    </r>
    <r>
      <rPr>
        <vertAlign val="subscript"/>
        <sz val="11"/>
        <rFont val="Arial"/>
        <family val="2"/>
      </rPr>
      <t>mv</t>
    </r>
  </si>
  <si>
    <r>
      <rPr>
        <sz val="11"/>
        <rFont val="Arial"/>
        <family val="2"/>
      </rPr>
      <t>C</t>
    </r>
    <r>
      <rPr>
        <vertAlign val="subscript"/>
        <sz val="11"/>
        <rFont val="Arial"/>
        <family val="2"/>
      </rPr>
      <t>ICOMPmax</t>
    </r>
  </si>
  <si>
    <r>
      <rPr>
        <sz val="11"/>
        <rFont val="Arial"/>
        <family val="2"/>
      </rPr>
      <t>C</t>
    </r>
    <r>
      <rPr>
        <vertAlign val="subscript"/>
        <sz val="11"/>
        <rFont val="Arial"/>
        <family val="2"/>
      </rPr>
      <t>ICOMPmin</t>
    </r>
  </si>
  <si>
    <r>
      <t>C</t>
    </r>
    <r>
      <rPr>
        <vertAlign val="subscript"/>
        <sz val="11"/>
        <rFont val="Arial"/>
        <family val="2"/>
      </rPr>
      <t>VCOMP</t>
    </r>
  </si>
  <si>
    <r>
      <t>R</t>
    </r>
    <r>
      <rPr>
        <vertAlign val="subscript"/>
        <sz val="11"/>
        <rFont val="Arial"/>
        <family val="2"/>
      </rPr>
      <t>VCOMP</t>
    </r>
  </si>
  <si>
    <r>
      <t>C</t>
    </r>
    <r>
      <rPr>
        <vertAlign val="subscript"/>
        <sz val="11"/>
        <rFont val="Arial"/>
        <family val="2"/>
      </rPr>
      <t>VCOMP_P</t>
    </r>
  </si>
  <si>
    <r>
      <t>C</t>
    </r>
    <r>
      <rPr>
        <vertAlign val="subscript"/>
        <sz val="11"/>
        <rFont val="Arial"/>
        <family val="2"/>
      </rPr>
      <t>ISENSE</t>
    </r>
  </si>
  <si>
    <t xml:space="preserve">To Calculate VCOMP </t>
  </si>
  <si>
    <t>At User Selectable Line Voltage, Full Load</t>
  </si>
  <si>
    <t>At User Selectable Line Voltage, % of Load</t>
  </si>
  <si>
    <t>VCOMP as a function of Line voltage at full load</t>
  </si>
  <si>
    <t>Percent Load</t>
  </si>
  <si>
    <t>VLINE</t>
  </si>
  <si>
    <r>
      <t>K</t>
    </r>
    <r>
      <rPr>
        <b/>
        <vertAlign val="subscript"/>
        <sz val="11"/>
        <rFont val="Arial"/>
        <family val="2"/>
      </rPr>
      <t>1V2</t>
    </r>
  </si>
  <si>
    <r>
      <t>K</t>
    </r>
    <r>
      <rPr>
        <b/>
        <vertAlign val="subscript"/>
        <sz val="11"/>
        <rFont val="Arial"/>
        <family val="2"/>
      </rPr>
      <t>2V2</t>
    </r>
  </si>
  <si>
    <r>
      <t>K</t>
    </r>
    <r>
      <rPr>
        <b/>
        <vertAlign val="subscript"/>
        <sz val="11"/>
        <rFont val="Arial"/>
        <family val="2"/>
      </rPr>
      <t>3V2</t>
    </r>
  </si>
  <si>
    <r>
      <t>K</t>
    </r>
    <r>
      <rPr>
        <b/>
        <vertAlign val="subscript"/>
        <sz val="11"/>
        <rFont val="Arial"/>
        <family val="2"/>
      </rPr>
      <t>4V2</t>
    </r>
  </si>
  <si>
    <r>
      <t>K</t>
    </r>
    <r>
      <rPr>
        <b/>
        <vertAlign val="subscript"/>
        <sz val="11"/>
        <rFont val="Arial"/>
        <family val="2"/>
      </rPr>
      <t>1V3</t>
    </r>
  </si>
  <si>
    <r>
      <t>K</t>
    </r>
    <r>
      <rPr>
        <b/>
        <vertAlign val="subscript"/>
        <sz val="11"/>
        <rFont val="Arial"/>
        <family val="2"/>
      </rPr>
      <t>2V3</t>
    </r>
  </si>
  <si>
    <r>
      <t>K</t>
    </r>
    <r>
      <rPr>
        <b/>
        <vertAlign val="subscript"/>
        <sz val="11"/>
        <rFont val="Arial"/>
        <family val="2"/>
      </rPr>
      <t>3V3</t>
    </r>
  </si>
  <si>
    <r>
      <t>K</t>
    </r>
    <r>
      <rPr>
        <b/>
        <vertAlign val="subscript"/>
        <sz val="11"/>
        <rFont val="Arial"/>
        <family val="2"/>
      </rPr>
      <t>4V3</t>
    </r>
  </si>
  <si>
    <r>
      <t>K</t>
    </r>
    <r>
      <rPr>
        <b/>
        <vertAlign val="subscript"/>
        <sz val="11"/>
        <rFont val="Arial"/>
        <family val="2"/>
      </rPr>
      <t>5V3</t>
    </r>
  </si>
  <si>
    <t>IAC RMS</t>
  </si>
  <si>
    <t>ISENSE_Pk</t>
  </si>
  <si>
    <t>ICOMP</t>
  </si>
  <si>
    <t>ICOMP =</t>
  </si>
  <si>
    <t>VCOMP as a function of Load at Given line voltage</t>
  </si>
  <si>
    <t>%Full Load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</si>
</sst>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0.000"/>
    <numFmt numFmtId="181" formatCode="0E+00"/>
  </numFmts>
  <fonts count="99">
    <font>
      <sz val="10"/>
      <name val="Arial"/>
      <family val="2"/>
    </font>
    <font>
      <sz val="11"/>
      <name val="宋体"/>
      <family val="0"/>
    </font>
    <font>
      <b/>
      <sz val="11"/>
      <name val="Arial"/>
      <family val="2"/>
    </font>
    <font>
      <sz val="11"/>
      <name val="Arial"/>
      <family val="2"/>
    </font>
    <font>
      <b/>
      <sz val="10"/>
      <name val="Arial"/>
      <family val="2"/>
    </font>
    <font>
      <b/>
      <sz val="10"/>
      <color indexed="8"/>
      <name val="Arial"/>
      <family val="2"/>
    </font>
    <font>
      <sz val="10"/>
      <color indexed="8"/>
      <name val="Arial"/>
      <family val="2"/>
    </font>
    <font>
      <b/>
      <sz val="11"/>
      <color indexed="8"/>
      <name val="Arial"/>
      <family val="2"/>
    </font>
    <font>
      <sz val="11"/>
      <color indexed="8"/>
      <name val="Arial"/>
      <family val="2"/>
    </font>
    <font>
      <sz val="11"/>
      <name val="Symbol"/>
      <family val="1"/>
    </font>
    <font>
      <b/>
      <sz val="10"/>
      <color indexed="10"/>
      <name val="Arial"/>
      <family val="2"/>
    </font>
    <font>
      <vertAlign val="subscript"/>
      <sz val="11"/>
      <name val="Arial"/>
      <family val="2"/>
    </font>
    <font>
      <b/>
      <sz val="16"/>
      <name val="Arial"/>
      <family val="2"/>
    </font>
    <font>
      <b/>
      <sz val="14"/>
      <name val="Arial"/>
      <family val="2"/>
    </font>
    <font>
      <sz val="16"/>
      <color indexed="10"/>
      <name val="Arial"/>
      <family val="2"/>
    </font>
    <font>
      <sz val="16"/>
      <name val="Arial"/>
      <family val="2"/>
    </font>
    <font>
      <sz val="16"/>
      <name val="Symbol"/>
      <family val="1"/>
    </font>
    <font>
      <b/>
      <sz val="22"/>
      <color indexed="9"/>
      <name val="Arial"/>
      <family val="2"/>
    </font>
    <font>
      <b/>
      <sz val="9"/>
      <name val="Arial"/>
      <family val="2"/>
    </font>
    <font>
      <b/>
      <sz val="14"/>
      <color indexed="9"/>
      <name val="Arial"/>
      <family val="2"/>
    </font>
    <font>
      <b/>
      <sz val="12"/>
      <name val="Arial"/>
      <family val="2"/>
    </font>
    <font>
      <b/>
      <sz val="14"/>
      <color indexed="10"/>
      <name val="Arial"/>
      <family val="2"/>
    </font>
    <font>
      <sz val="8"/>
      <name val="Arial"/>
      <family val="2"/>
    </font>
    <font>
      <sz val="10"/>
      <color indexed="10"/>
      <name val="Arial"/>
      <family val="2"/>
    </font>
    <font>
      <b/>
      <sz val="8"/>
      <color indexed="10"/>
      <name val="Arial"/>
      <family val="2"/>
    </font>
    <font>
      <sz val="10"/>
      <name val="Symbol"/>
      <family val="1"/>
    </font>
    <font>
      <b/>
      <sz val="24"/>
      <color indexed="9"/>
      <name val="Arial"/>
      <family val="2"/>
    </font>
    <font>
      <b/>
      <sz val="10"/>
      <name val="Symbol"/>
      <family val="1"/>
    </font>
    <font>
      <sz val="12"/>
      <name val="Arial"/>
      <family val="2"/>
    </font>
    <font>
      <sz val="11"/>
      <color indexed="10"/>
      <name val="宋体"/>
      <family val="0"/>
    </font>
    <font>
      <u val="single"/>
      <sz val="10"/>
      <color indexed="36"/>
      <name val="Arial"/>
      <family val="2"/>
    </font>
    <font>
      <sz val="11"/>
      <color indexed="9"/>
      <name val="宋体"/>
      <family val="0"/>
    </font>
    <font>
      <sz val="11"/>
      <color indexed="8"/>
      <name val="宋体"/>
      <family val="0"/>
    </font>
    <font>
      <b/>
      <sz val="11"/>
      <color indexed="9"/>
      <name val="宋体"/>
      <family val="0"/>
    </font>
    <font>
      <b/>
      <sz val="13"/>
      <color indexed="62"/>
      <name val="宋体"/>
      <family val="0"/>
    </font>
    <font>
      <sz val="11"/>
      <color indexed="16"/>
      <name val="宋体"/>
      <family val="0"/>
    </font>
    <font>
      <sz val="11"/>
      <color indexed="53"/>
      <name val="宋体"/>
      <family val="0"/>
    </font>
    <font>
      <i/>
      <sz val="11"/>
      <color indexed="23"/>
      <name val="宋体"/>
      <family val="0"/>
    </font>
    <font>
      <b/>
      <sz val="11"/>
      <color indexed="62"/>
      <name val="宋体"/>
      <family val="0"/>
    </font>
    <font>
      <sz val="11"/>
      <color indexed="62"/>
      <name val="宋体"/>
      <family val="0"/>
    </font>
    <font>
      <sz val="11"/>
      <color indexed="17"/>
      <name val="宋体"/>
      <family val="0"/>
    </font>
    <font>
      <b/>
      <sz val="11"/>
      <color indexed="63"/>
      <name val="宋体"/>
      <family val="0"/>
    </font>
    <font>
      <b/>
      <sz val="18"/>
      <color indexed="62"/>
      <name val="宋体"/>
      <family val="0"/>
    </font>
    <font>
      <u val="single"/>
      <sz val="10"/>
      <color indexed="12"/>
      <name val="Arial"/>
      <family val="2"/>
    </font>
    <font>
      <b/>
      <sz val="11"/>
      <color indexed="53"/>
      <name val="宋体"/>
      <family val="0"/>
    </font>
    <font>
      <b/>
      <sz val="15"/>
      <color indexed="62"/>
      <name val="宋体"/>
      <family val="0"/>
    </font>
    <font>
      <sz val="11"/>
      <color indexed="19"/>
      <name val="宋体"/>
      <family val="0"/>
    </font>
    <font>
      <b/>
      <sz val="11"/>
      <color indexed="8"/>
      <name val="宋体"/>
      <family val="0"/>
    </font>
    <font>
      <vertAlign val="subscript"/>
      <sz val="10"/>
      <name val="Arial"/>
      <family val="2"/>
    </font>
    <font>
      <b/>
      <vertAlign val="subscript"/>
      <sz val="11"/>
      <name val="Arial"/>
      <family val="2"/>
    </font>
    <font>
      <sz val="11"/>
      <color indexed="8"/>
      <name val="Calibri"/>
      <family val="2"/>
    </font>
    <font>
      <sz val="11"/>
      <name val="Calibri"/>
      <family val="2"/>
    </font>
    <font>
      <b/>
      <vertAlign val="subscript"/>
      <sz val="10"/>
      <name val="Arial"/>
      <family val="2"/>
    </font>
    <font>
      <vertAlign val="subscript"/>
      <sz val="16"/>
      <name val="Arial"/>
      <family val="2"/>
    </font>
    <font>
      <sz val="16"/>
      <name val="Calibri"/>
      <family val="2"/>
    </font>
    <font>
      <b/>
      <sz val="12"/>
      <color indexed="10"/>
      <name val="Arial"/>
      <family val="2"/>
    </font>
    <font>
      <b/>
      <i/>
      <sz val="14"/>
      <name val="Arial"/>
      <family val="2"/>
    </font>
    <font>
      <b/>
      <sz val="11"/>
      <color indexed="10"/>
      <name val="Arial"/>
      <family val="2"/>
    </font>
    <font>
      <vertAlign val="subscript"/>
      <sz val="10"/>
      <name val="Symbol"/>
      <family val="1"/>
    </font>
    <font>
      <sz val="9.25"/>
      <color indexed="8"/>
      <name val="Arial"/>
      <family val="0"/>
    </font>
    <font>
      <vertAlign val="subscript"/>
      <sz val="9.25"/>
      <color indexed="8"/>
      <name val="Arial"/>
      <family val="0"/>
    </font>
    <font>
      <b/>
      <sz val="9.25"/>
      <color indexed="8"/>
      <name val="Arial"/>
      <family val="0"/>
    </font>
    <font>
      <b/>
      <vertAlign val="subscript"/>
      <sz val="9.25"/>
      <color indexed="8"/>
      <name val="Arial"/>
      <family val="0"/>
    </font>
    <font>
      <b/>
      <sz val="11.5"/>
      <color indexed="8"/>
      <name val="Arial"/>
      <family val="0"/>
    </font>
    <font>
      <sz val="10.75"/>
      <color indexed="8"/>
      <name val="Arial"/>
      <family val="0"/>
    </font>
    <font>
      <b/>
      <sz val="10.75"/>
      <color indexed="8"/>
      <name val="Arial"/>
      <family val="0"/>
    </font>
    <font>
      <sz val="8.3"/>
      <color indexed="8"/>
      <name val="Arial"/>
      <family val="0"/>
    </font>
    <font>
      <b/>
      <sz val="12"/>
      <color indexed="8"/>
      <name val="Arial"/>
      <family val="0"/>
    </font>
    <font>
      <sz val="10.5"/>
      <color indexed="8"/>
      <name val="Arial"/>
      <family val="0"/>
    </font>
    <font>
      <b/>
      <sz val="10.5"/>
      <color indexed="8"/>
      <name val="Arial"/>
      <family val="0"/>
    </font>
    <font>
      <sz val="8.1"/>
      <color indexed="8"/>
      <name val="Arial"/>
      <family val="0"/>
    </font>
    <font>
      <sz val="11.5"/>
      <color indexed="8"/>
      <name val="Arial"/>
      <family val="0"/>
    </font>
    <font>
      <sz val="8.9"/>
      <color indexed="8"/>
      <name val="Arial"/>
      <family val="0"/>
    </font>
    <font>
      <b/>
      <sz val="11.25"/>
      <color indexed="8"/>
      <name val="Arial"/>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Arial"/>
      <family val="2"/>
    </font>
    <font>
      <sz val="10"/>
      <color theme="1"/>
      <name val="Arial"/>
      <family val="2"/>
    </font>
    <font>
      <b/>
      <sz val="11"/>
      <color theme="1"/>
      <name val="Arial"/>
      <family val="2"/>
    </font>
    <font>
      <sz val="11"/>
      <color theme="1"/>
      <name val="Arial"/>
      <family val="2"/>
    </font>
    <font>
      <b/>
      <sz val="14"/>
      <color theme="0"/>
      <name val="Arial"/>
      <family val="2"/>
    </font>
    <font>
      <b/>
      <sz val="8"/>
      <color rgb="FFFF0000"/>
      <name val="Arial"/>
      <family val="2"/>
    </font>
    <font>
      <sz val="10"/>
      <color rgb="FFFF0000"/>
      <name val="Arial"/>
      <family val="2"/>
    </font>
    <font>
      <b/>
      <sz val="10"/>
      <color rgb="FFFF0000"/>
      <name val="Arial"/>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4" fillId="2" borderId="0" applyNumberFormat="0" applyBorder="0" applyAlignment="0" applyProtection="0"/>
    <xf numFmtId="0" fontId="75"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74" fillId="4" borderId="0" applyNumberFormat="0" applyBorder="0" applyAlignment="0" applyProtection="0"/>
    <xf numFmtId="0" fontId="76" fillId="5" borderId="0" applyNumberFormat="0" applyBorder="0" applyAlignment="0" applyProtection="0"/>
    <xf numFmtId="176" fontId="0" fillId="0" borderId="0" applyFont="0" applyFill="0" applyBorder="0" applyAlignment="0" applyProtection="0"/>
    <xf numFmtId="0" fontId="77"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77" fillId="8"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77" fillId="9" borderId="0" applyNumberFormat="0" applyBorder="0" applyAlignment="0" applyProtection="0"/>
    <xf numFmtId="0" fontId="78" fillId="0" borderId="5" applyNumberFormat="0" applyFill="0" applyAlignment="0" applyProtection="0"/>
    <xf numFmtId="0" fontId="77" fillId="10" borderId="0" applyNumberFormat="0" applyBorder="0" applyAlignment="0" applyProtection="0"/>
    <xf numFmtId="0" fontId="84" fillId="11" borderId="6" applyNumberFormat="0" applyAlignment="0" applyProtection="0"/>
    <xf numFmtId="0" fontId="85" fillId="11" borderId="1" applyNumberFormat="0" applyAlignment="0" applyProtection="0"/>
    <xf numFmtId="0" fontId="86" fillId="12" borderId="7" applyNumberFormat="0" applyAlignment="0" applyProtection="0"/>
    <xf numFmtId="0" fontId="74" fillId="13" borderId="0" applyNumberFormat="0" applyBorder="0" applyAlignment="0" applyProtection="0"/>
    <xf numFmtId="0" fontId="77" fillId="14" borderId="0" applyNumberFormat="0" applyBorder="0" applyAlignment="0" applyProtection="0"/>
    <xf numFmtId="0" fontId="87" fillId="0" borderId="8" applyNumberFormat="0" applyFill="0" applyAlignment="0" applyProtection="0"/>
    <xf numFmtId="0" fontId="88" fillId="0" borderId="9" applyNumberFormat="0" applyFill="0" applyAlignment="0" applyProtection="0"/>
    <xf numFmtId="0" fontId="89" fillId="15" borderId="0" applyNumberFormat="0" applyBorder="0" applyAlignment="0" applyProtection="0"/>
    <xf numFmtId="0" fontId="90" fillId="16" borderId="0" applyNumberFormat="0" applyBorder="0" applyAlignment="0" applyProtection="0"/>
    <xf numFmtId="0" fontId="74" fillId="17" borderId="0" applyNumberFormat="0" applyBorder="0" applyAlignment="0" applyProtection="0"/>
    <xf numFmtId="0" fontId="77"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7" fillId="27" borderId="0" applyNumberFormat="0" applyBorder="0" applyAlignment="0" applyProtection="0"/>
    <xf numFmtId="0" fontId="74"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4" fillId="31" borderId="0" applyNumberFormat="0" applyBorder="0" applyAlignment="0" applyProtection="0"/>
    <xf numFmtId="0" fontId="77" fillId="32" borderId="0" applyNumberFormat="0" applyBorder="0" applyAlignment="0" applyProtection="0"/>
  </cellStyleXfs>
  <cellXfs count="271">
    <xf numFmtId="0" fontId="0" fillId="0" borderId="0" xfId="0" applyAlignment="1">
      <alignment/>
    </xf>
    <xf numFmtId="0" fontId="0" fillId="0" borderId="0" xfId="0" applyAlignment="1" applyProtection="1">
      <alignment/>
      <protection/>
    </xf>
    <xf numFmtId="0" fontId="2" fillId="0" borderId="0" xfId="0" applyFont="1" applyBorder="1" applyAlignment="1" applyProtection="1">
      <alignment horizontal="center" vertical="center"/>
      <protection/>
    </xf>
    <xf numFmtId="0" fontId="0" fillId="0" borderId="0" xfId="0" applyFont="1" applyAlignment="1" applyProtection="1">
      <alignment horizont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protection/>
    </xf>
    <xf numFmtId="0" fontId="3" fillId="0" borderId="10" xfId="0" applyFont="1" applyBorder="1" applyAlignment="1" applyProtection="1">
      <alignment vertical="center"/>
      <protection/>
    </xf>
    <xf numFmtId="0" fontId="4" fillId="0" borderId="10" xfId="0" applyFont="1" applyBorder="1" applyAlignment="1" applyProtection="1">
      <alignment horizontal="center"/>
      <protection/>
    </xf>
    <xf numFmtId="0" fontId="0" fillId="6" borderId="10" xfId="0" applyFill="1" applyBorder="1" applyAlignment="1" applyProtection="1">
      <alignment/>
      <protection/>
    </xf>
    <xf numFmtId="0" fontId="0" fillId="0" borderId="10" xfId="0" applyBorder="1" applyAlignment="1" applyProtection="1">
      <alignment/>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0" fillId="0" borderId="10" xfId="0" applyFill="1" applyBorder="1" applyAlignment="1" applyProtection="1">
      <alignment/>
      <protection/>
    </xf>
    <xf numFmtId="0" fontId="0" fillId="0" borderId="0" xfId="0" applyFill="1" applyAlignment="1" applyProtection="1">
      <alignment/>
      <protection/>
    </xf>
    <xf numFmtId="0" fontId="3" fillId="0" borderId="13" xfId="0" applyFont="1" applyFill="1" applyBorder="1" applyAlignment="1" applyProtection="1">
      <alignment vertical="center"/>
      <protection/>
    </xf>
    <xf numFmtId="0" fontId="3" fillId="0" borderId="0" xfId="0" applyFont="1" applyAlignment="1" applyProtection="1">
      <alignment/>
      <protection/>
    </xf>
    <xf numFmtId="0" fontId="2" fillId="0" borderId="10" xfId="0" applyFont="1" applyBorder="1" applyAlignment="1" applyProtection="1">
      <alignment horizontal="center" vertical="center"/>
      <protection/>
    </xf>
    <xf numFmtId="0" fontId="4" fillId="0" borderId="10" xfId="0" applyFont="1" applyFill="1" applyBorder="1" applyAlignment="1" applyProtection="1">
      <alignment horizontal="center"/>
      <protection/>
    </xf>
    <xf numFmtId="0" fontId="2" fillId="0" borderId="10" xfId="0" applyFont="1" applyFill="1" applyBorder="1" applyAlignment="1" applyProtection="1">
      <alignment horizontal="center" vertical="center"/>
      <protection/>
    </xf>
    <xf numFmtId="0" fontId="91" fillId="0" borderId="10" xfId="0" applyFont="1" applyBorder="1" applyAlignment="1">
      <alignment horizontal="center"/>
    </xf>
    <xf numFmtId="0" fontId="92" fillId="6" borderId="10" xfId="0" applyFont="1" applyFill="1" applyBorder="1" applyAlignment="1">
      <alignment/>
    </xf>
    <xf numFmtId="180" fontId="91" fillId="0" borderId="10" xfId="0" applyNumberFormat="1" applyFont="1" applyBorder="1" applyAlignment="1">
      <alignment horizontal="center"/>
    </xf>
    <xf numFmtId="180" fontId="92" fillId="6" borderId="10" xfId="0" applyNumberFormat="1" applyFont="1" applyFill="1" applyBorder="1" applyAlignment="1">
      <alignment/>
    </xf>
    <xf numFmtId="0" fontId="92" fillId="0" borderId="10" xfId="0" applyFont="1" applyBorder="1" applyAlignment="1">
      <alignment/>
    </xf>
    <xf numFmtId="180" fontId="92" fillId="0" borderId="10" xfId="0" applyNumberFormat="1" applyFont="1" applyBorder="1" applyAlignment="1">
      <alignment/>
    </xf>
    <xf numFmtId="0" fontId="93" fillId="0" borderId="10" xfId="0" applyFont="1" applyBorder="1" applyAlignment="1">
      <alignment horizontal="center"/>
    </xf>
    <xf numFmtId="180" fontId="0" fillId="6" borderId="0" xfId="0" applyNumberFormat="1" applyFill="1" applyBorder="1" applyAlignment="1" applyProtection="1">
      <alignment horizontal="center"/>
      <protection/>
    </xf>
    <xf numFmtId="180" fontId="0" fillId="0" borderId="0" xfId="0" applyNumberFormat="1" applyFill="1" applyBorder="1" applyAlignment="1" applyProtection="1">
      <alignment horizontal="center"/>
      <protection/>
    </xf>
    <xf numFmtId="180" fontId="93" fillId="0" borderId="10" xfId="0" applyNumberFormat="1" applyFont="1" applyBorder="1" applyAlignment="1">
      <alignment horizontal="center"/>
    </xf>
    <xf numFmtId="180" fontId="92" fillId="6" borderId="10" xfId="0" applyNumberFormat="1" applyFont="1" applyFill="1" applyBorder="1" applyAlignment="1">
      <alignment/>
    </xf>
    <xf numFmtId="180" fontId="92" fillId="0" borderId="10" xfId="0" applyNumberFormat="1" applyFont="1" applyBorder="1" applyAlignment="1">
      <alignment/>
    </xf>
    <xf numFmtId="0" fontId="3" fillId="0" borderId="0" xfId="0" applyFont="1" applyBorder="1" applyAlignment="1" applyProtection="1">
      <alignment vertical="center"/>
      <protection/>
    </xf>
    <xf numFmtId="0" fontId="3" fillId="0" borderId="10" xfId="0" applyFont="1" applyBorder="1" applyAlignment="1" applyProtection="1">
      <alignment horizontal="center" vertical="center"/>
      <protection/>
    </xf>
    <xf numFmtId="180" fontId="3" fillId="0" borderId="10" xfId="0" applyNumberFormat="1" applyFont="1" applyBorder="1" applyAlignment="1" applyProtection="1">
      <alignment horizontal="center" vertical="center" shrinkToFit="1"/>
      <protection/>
    </xf>
    <xf numFmtId="180" fontId="3" fillId="0" borderId="10" xfId="0" applyNumberFormat="1" applyFont="1" applyBorder="1" applyAlignment="1" applyProtection="1">
      <alignment horizontal="center" vertical="center"/>
      <protection/>
    </xf>
    <xf numFmtId="0" fontId="94" fillId="33" borderId="10" xfId="0" applyFont="1" applyFill="1" applyBorder="1" applyAlignment="1" applyProtection="1">
      <alignment/>
      <protection/>
    </xf>
    <xf numFmtId="181" fontId="94" fillId="33" borderId="10" xfId="0" applyNumberFormat="1" applyFont="1" applyFill="1" applyBorder="1" applyAlignment="1" applyProtection="1">
      <alignment/>
      <protection/>
    </xf>
    <xf numFmtId="0" fontId="3" fillId="0" borderId="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7" xfId="0" applyFont="1" applyBorder="1" applyAlignment="1" applyProtection="1">
      <alignment vertical="center" wrapText="1"/>
      <protection/>
    </xf>
    <xf numFmtId="0" fontId="3" fillId="0" borderId="18" xfId="0" applyFont="1" applyBorder="1" applyAlignment="1" applyProtection="1">
      <alignment vertical="center"/>
      <protection/>
    </xf>
    <xf numFmtId="0" fontId="3" fillId="0" borderId="12" xfId="0" applyFont="1" applyBorder="1" applyAlignment="1" applyProtection="1">
      <alignment vertical="center" wrapText="1"/>
      <protection/>
    </xf>
    <xf numFmtId="0" fontId="9" fillId="0" borderId="10" xfId="0" applyFont="1" applyBorder="1" applyAlignment="1" applyProtection="1">
      <alignment vertical="center"/>
      <protection/>
    </xf>
    <xf numFmtId="0" fontId="3" fillId="0" borderId="17" xfId="0" applyFont="1" applyBorder="1" applyAlignment="1" applyProtection="1">
      <alignment vertical="center"/>
      <protection/>
    </xf>
    <xf numFmtId="0" fontId="3" fillId="0" borderId="12" xfId="0" applyFont="1" applyBorder="1" applyAlignment="1" applyProtection="1">
      <alignment vertical="center"/>
      <protection/>
    </xf>
    <xf numFmtId="180" fontId="3" fillId="0" borderId="10" xfId="0" applyNumberFormat="1" applyFont="1" applyBorder="1" applyAlignment="1" applyProtection="1">
      <alignment vertical="center"/>
      <protection/>
    </xf>
    <xf numFmtId="0" fontId="3" fillId="0" borderId="11" xfId="0" applyFont="1" applyBorder="1" applyAlignment="1" applyProtection="1">
      <alignment vertical="center" wrapText="1"/>
      <protection/>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Fill="1" applyBorder="1" applyAlignment="1" applyProtection="1">
      <alignment vertical="center"/>
      <protection/>
    </xf>
    <xf numFmtId="180" fontId="3" fillId="0" borderId="10" xfId="0" applyNumberFormat="1" applyFont="1" applyFill="1" applyBorder="1" applyAlignment="1" applyProtection="1">
      <alignment vertical="center"/>
      <protection/>
    </xf>
    <xf numFmtId="0" fontId="3" fillId="0" borderId="19" xfId="0" applyFont="1" applyBorder="1" applyAlignment="1" applyProtection="1">
      <alignment vertical="center"/>
      <protection/>
    </xf>
    <xf numFmtId="0" fontId="3" fillId="0" borderId="20" xfId="0" applyFont="1" applyBorder="1" applyAlignment="1" applyProtection="1">
      <alignment vertical="center"/>
      <protection/>
    </xf>
    <xf numFmtId="0" fontId="3" fillId="0" borderId="21" xfId="0" applyFont="1" applyBorder="1" applyAlignment="1" applyProtection="1">
      <alignment vertical="center"/>
      <protection/>
    </xf>
    <xf numFmtId="0" fontId="93" fillId="33" borderId="0" xfId="0" applyFont="1" applyFill="1" applyAlignment="1" applyProtection="1">
      <alignment horizontal="left"/>
      <protection/>
    </xf>
    <xf numFmtId="0" fontId="10" fillId="33" borderId="0" xfId="0" applyFont="1" applyFill="1" applyBorder="1" applyAlignment="1" applyProtection="1">
      <alignment horizontal="center" wrapText="1"/>
      <protection/>
    </xf>
    <xf numFmtId="0" fontId="94" fillId="33" borderId="0" xfId="0" applyFont="1" applyFill="1" applyAlignment="1" applyProtection="1">
      <alignment/>
      <protection/>
    </xf>
    <xf numFmtId="0" fontId="2" fillId="0" borderId="0" xfId="0" applyFont="1" applyBorder="1" applyAlignment="1" applyProtection="1">
      <alignment vertical="center"/>
      <protection/>
    </xf>
    <xf numFmtId="0" fontId="94" fillId="33" borderId="0" xfId="0" applyFont="1" applyFill="1" applyAlignment="1" applyProtection="1">
      <alignment horizontal="center"/>
      <protection/>
    </xf>
    <xf numFmtId="0" fontId="4" fillId="33" borderId="0" xfId="0" applyFont="1" applyFill="1" applyBorder="1" applyAlignment="1" applyProtection="1">
      <alignment vertical="center"/>
      <protection/>
    </xf>
    <xf numFmtId="0" fontId="11" fillId="0" borderId="0" xfId="0" applyFont="1" applyBorder="1" applyAlignment="1" applyProtection="1">
      <alignment vertical="center"/>
      <protection/>
    </xf>
    <xf numFmtId="0" fontId="3" fillId="0" borderId="0" xfId="0" applyFont="1" applyBorder="1" applyAlignment="1" applyProtection="1">
      <alignment horizontal="right"/>
      <protection/>
    </xf>
    <xf numFmtId="0" fontId="0" fillId="33" borderId="0" xfId="0" applyFill="1" applyAlignment="1">
      <alignment vertical="center"/>
    </xf>
    <xf numFmtId="0" fontId="12" fillId="33" borderId="0" xfId="0" applyFont="1" applyFill="1" applyAlignment="1" applyProtection="1">
      <alignment horizontal="center" vertical="center"/>
      <protection locked="0"/>
    </xf>
    <xf numFmtId="0" fontId="12" fillId="33" borderId="0" xfId="0" applyFont="1" applyFill="1" applyAlignment="1" applyProtection="1">
      <alignment vertical="center"/>
      <protection locked="0"/>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2" fillId="33" borderId="25" xfId="0" applyFont="1" applyFill="1" applyBorder="1" applyAlignment="1">
      <alignment vertical="center" wrapText="1"/>
    </xf>
    <xf numFmtId="0" fontId="12" fillId="33" borderId="26" xfId="0" applyFont="1" applyFill="1" applyBorder="1" applyAlignment="1">
      <alignment horizontal="left" vertical="center"/>
    </xf>
    <xf numFmtId="0" fontId="12" fillId="33" borderId="27" xfId="0" applyFont="1" applyFill="1" applyBorder="1" applyAlignment="1">
      <alignment horizontal="left" vertical="center"/>
    </xf>
    <xf numFmtId="0" fontId="14" fillId="33" borderId="22" xfId="0" applyFont="1" applyFill="1" applyBorder="1" applyAlignment="1">
      <alignment horizontal="center" vertical="center"/>
    </xf>
    <xf numFmtId="0" fontId="15" fillId="33" borderId="23" xfId="0" applyFont="1" applyFill="1" applyBorder="1" applyAlignment="1">
      <alignment vertical="center"/>
    </xf>
    <xf numFmtId="0" fontId="15" fillId="33" borderId="23" xfId="0" applyFont="1" applyFill="1" applyBorder="1" applyAlignment="1">
      <alignment horizontal="left" vertical="center" wrapText="1"/>
    </xf>
    <xf numFmtId="0" fontId="15" fillId="33" borderId="24" xfId="0" applyFont="1" applyFill="1" applyBorder="1" applyAlignment="1">
      <alignment horizontal="left" vertical="center" wrapText="1"/>
    </xf>
    <xf numFmtId="0" fontId="14" fillId="33" borderId="28" xfId="0" applyFont="1" applyFill="1" applyBorder="1" applyAlignment="1">
      <alignment horizontal="center" vertical="center"/>
    </xf>
    <xf numFmtId="0" fontId="15" fillId="33" borderId="0" xfId="0" applyFont="1" applyFill="1" applyBorder="1" applyAlignment="1">
      <alignment vertical="center"/>
    </xf>
    <xf numFmtId="0" fontId="15" fillId="33" borderId="29" xfId="0" applyFont="1" applyFill="1" applyBorder="1" applyAlignment="1">
      <alignment vertical="center"/>
    </xf>
    <xf numFmtId="0" fontId="14" fillId="33" borderId="30" xfId="0" applyFont="1" applyFill="1" applyBorder="1" applyAlignment="1">
      <alignment horizontal="center" vertical="center"/>
    </xf>
    <xf numFmtId="0" fontId="15" fillId="33" borderId="31" xfId="0" applyFont="1" applyFill="1" applyBorder="1" applyAlignment="1">
      <alignment vertical="center"/>
    </xf>
    <xf numFmtId="2" fontId="15" fillId="33" borderId="31" xfId="0" applyNumberFormat="1" applyFont="1" applyFill="1" applyBorder="1" applyAlignment="1">
      <alignment vertical="center"/>
    </xf>
    <xf numFmtId="0" fontId="15" fillId="33" borderId="32" xfId="0" applyFont="1" applyFill="1" applyBorder="1" applyAlignment="1">
      <alignment vertical="center"/>
    </xf>
    <xf numFmtId="1" fontId="15" fillId="33" borderId="23" xfId="0" applyNumberFormat="1" applyFont="1" applyFill="1" applyBorder="1" applyAlignment="1">
      <alignment vertical="center"/>
    </xf>
    <xf numFmtId="0" fontId="15" fillId="33" borderId="24" xfId="0" applyFont="1" applyFill="1" applyBorder="1" applyAlignment="1">
      <alignment vertical="center"/>
    </xf>
    <xf numFmtId="2" fontId="15" fillId="33" borderId="0" xfId="0" applyNumberFormat="1" applyFont="1" applyFill="1" applyBorder="1" applyAlignment="1">
      <alignment vertical="center"/>
    </xf>
    <xf numFmtId="1" fontId="15" fillId="33" borderId="0" xfId="0" applyNumberFormat="1" applyFont="1" applyFill="1" applyBorder="1" applyAlignment="1">
      <alignment vertical="center"/>
    </xf>
    <xf numFmtId="2" fontId="15" fillId="33" borderId="23" xfId="0" applyNumberFormat="1" applyFont="1" applyFill="1" applyBorder="1" applyAlignment="1">
      <alignment vertical="center"/>
    </xf>
    <xf numFmtId="180" fontId="15" fillId="33" borderId="31" xfId="0" applyNumberFormat="1" applyFont="1" applyFill="1" applyBorder="1" applyAlignment="1">
      <alignment vertical="center"/>
    </xf>
    <xf numFmtId="0" fontId="16" fillId="33" borderId="29" xfId="0" applyFont="1" applyFill="1" applyBorder="1" applyAlignment="1">
      <alignment vertical="center"/>
    </xf>
    <xf numFmtId="4" fontId="15" fillId="33" borderId="31" xfId="0" applyNumberFormat="1" applyFont="1" applyFill="1" applyBorder="1" applyAlignment="1">
      <alignment vertical="center"/>
    </xf>
    <xf numFmtId="0" fontId="15" fillId="33" borderId="23" xfId="0" applyFont="1" applyFill="1" applyBorder="1" applyAlignment="1">
      <alignment horizontal="left" vertical="center"/>
    </xf>
    <xf numFmtId="0" fontId="15" fillId="33" borderId="24" xfId="0" applyFont="1" applyFill="1" applyBorder="1" applyAlignment="1">
      <alignment horizontal="left" vertical="center"/>
    </xf>
    <xf numFmtId="0" fontId="16" fillId="33" borderId="32" xfId="0" applyFont="1" applyFill="1" applyBorder="1" applyAlignment="1">
      <alignment vertical="center"/>
    </xf>
    <xf numFmtId="1" fontId="15" fillId="33" borderId="31" xfId="0" applyNumberFormat="1" applyFont="1" applyFill="1" applyBorder="1" applyAlignment="1">
      <alignment vertical="center"/>
    </xf>
    <xf numFmtId="180" fontId="15" fillId="33" borderId="0" xfId="0" applyNumberFormat="1" applyFont="1" applyFill="1" applyBorder="1" applyAlignment="1">
      <alignment vertical="center"/>
    </xf>
    <xf numFmtId="0" fontId="15" fillId="33" borderId="0" xfId="0" applyFont="1" applyFill="1" applyBorder="1" applyAlignment="1">
      <alignment horizontal="left" vertical="center"/>
    </xf>
    <xf numFmtId="0" fontId="15" fillId="33" borderId="0" xfId="0" applyFont="1" applyFill="1" applyBorder="1" applyAlignment="1">
      <alignment horizontal="right" vertical="center" wrapText="1"/>
    </xf>
    <xf numFmtId="0" fontId="15" fillId="33" borderId="31" xfId="0" applyFont="1" applyFill="1" applyBorder="1" applyAlignment="1">
      <alignment horizontal="left" vertical="center"/>
    </xf>
    <xf numFmtId="0" fontId="15" fillId="33" borderId="0" xfId="0" applyFont="1" applyFill="1" applyBorder="1" applyAlignment="1">
      <alignment horizontal="left" vertical="center" wrapText="1"/>
    </xf>
    <xf numFmtId="0" fontId="15" fillId="33" borderId="29" xfId="0" applyFont="1" applyFill="1" applyBorder="1" applyAlignment="1">
      <alignment horizontal="left" vertical="center" wrapText="1"/>
    </xf>
    <xf numFmtId="180" fontId="15" fillId="33" borderId="0" xfId="0" applyNumberFormat="1" applyFont="1" applyFill="1" applyBorder="1" applyAlignment="1">
      <alignment horizontal="right" vertical="center" wrapText="1"/>
    </xf>
    <xf numFmtId="0" fontId="15" fillId="33" borderId="31" xfId="0" applyFont="1" applyFill="1" applyBorder="1" applyAlignment="1">
      <alignment horizontal="left" vertical="center" wrapText="1"/>
    </xf>
    <xf numFmtId="0" fontId="15" fillId="33" borderId="32" xfId="0" applyFont="1" applyFill="1" applyBorder="1" applyAlignment="1">
      <alignment horizontal="left" vertical="center" wrapText="1"/>
    </xf>
    <xf numFmtId="0" fontId="15" fillId="33" borderId="31" xfId="0" applyFont="1" applyFill="1" applyBorder="1" applyAlignment="1">
      <alignment vertical="center" wrapText="1"/>
    </xf>
    <xf numFmtId="0" fontId="15" fillId="33" borderId="3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vertical="center"/>
      <protection/>
    </xf>
    <xf numFmtId="0" fontId="17" fillId="35" borderId="33" xfId="0" applyFont="1" applyFill="1" applyBorder="1" applyAlignment="1">
      <alignment horizontal="center" vertical="center"/>
    </xf>
    <xf numFmtId="0" fontId="17" fillId="35" borderId="34" xfId="0" applyFont="1" applyFill="1" applyBorder="1" applyAlignment="1">
      <alignment horizontal="center" vertical="center"/>
    </xf>
    <xf numFmtId="0" fontId="17" fillId="35" borderId="35" xfId="0" applyFont="1" applyFill="1" applyBorder="1" applyAlignment="1">
      <alignment horizontal="center" vertical="center"/>
    </xf>
    <xf numFmtId="0" fontId="4" fillId="33" borderId="30" xfId="0" applyFont="1" applyFill="1" applyBorder="1" applyAlignment="1" applyProtection="1">
      <alignment horizontal="right" vertical="center"/>
      <protection/>
    </xf>
    <xf numFmtId="0" fontId="4" fillId="33" borderId="34" xfId="0" applyFont="1" applyFill="1" applyBorder="1" applyAlignment="1">
      <alignment vertical="center"/>
    </xf>
    <xf numFmtId="0" fontId="4" fillId="33" borderId="35" xfId="0" applyFont="1" applyFill="1" applyBorder="1" applyAlignment="1">
      <alignment vertical="center"/>
    </xf>
    <xf numFmtId="0" fontId="4" fillId="33" borderId="0" xfId="0" applyFont="1" applyFill="1" applyAlignment="1">
      <alignment horizontal="right" vertical="center" wrapText="1"/>
    </xf>
    <xf numFmtId="0" fontId="4" fillId="33" borderId="0" xfId="0" applyFont="1" applyFill="1" applyAlignment="1">
      <alignment horizontal="center" vertical="center" wrapText="1"/>
    </xf>
    <xf numFmtId="0" fontId="18" fillId="33" borderId="0" xfId="0" applyFont="1" applyFill="1" applyAlignment="1">
      <alignment horizontal="right" vertical="center" wrapText="1"/>
    </xf>
    <xf numFmtId="0" fontId="18" fillId="33" borderId="0" xfId="0" applyFont="1" applyFill="1" applyAlignment="1">
      <alignment horizontal="left" vertical="center" wrapText="1"/>
    </xf>
    <xf numFmtId="0" fontId="95" fillId="35" borderId="33" xfId="0" applyFont="1" applyFill="1" applyBorder="1" applyAlignment="1" applyProtection="1">
      <alignment horizontal="center" vertical="center" wrapText="1"/>
      <protection/>
    </xf>
    <xf numFmtId="0" fontId="95" fillId="35" borderId="34" xfId="0" applyFont="1" applyFill="1" applyBorder="1" applyAlignment="1" applyProtection="1">
      <alignment horizontal="center" vertical="center" wrapText="1"/>
      <protection/>
    </xf>
    <xf numFmtId="0" fontId="95" fillId="35" borderId="35" xfId="0" applyFont="1" applyFill="1" applyBorder="1" applyAlignment="1" applyProtection="1">
      <alignment horizontal="center" vertical="center" wrapText="1"/>
      <protection/>
    </xf>
    <xf numFmtId="0" fontId="20" fillId="33" borderId="22" xfId="0" applyFont="1" applyFill="1" applyBorder="1" applyAlignment="1" applyProtection="1">
      <alignment horizontal="right" vertical="center"/>
      <protection/>
    </xf>
    <xf numFmtId="0" fontId="20" fillId="34" borderId="23" xfId="0" applyFont="1" applyFill="1" applyBorder="1" applyAlignment="1" applyProtection="1">
      <alignment horizontal="center" vertical="center"/>
      <protection/>
    </xf>
    <xf numFmtId="0" fontId="20" fillId="33" borderId="23" xfId="0" applyFont="1" applyFill="1" applyBorder="1" applyAlignment="1" applyProtection="1">
      <alignment horizontal="left" vertical="center"/>
      <protection/>
    </xf>
    <xf numFmtId="0" fontId="20" fillId="33" borderId="24" xfId="0" applyFont="1" applyFill="1" applyBorder="1" applyAlignment="1" applyProtection="1">
      <alignment horizontal="left" vertical="center"/>
      <protection/>
    </xf>
    <xf numFmtId="0" fontId="20" fillId="33" borderId="28"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0" fillId="33" borderId="29" xfId="0" applyFont="1" applyFill="1" applyBorder="1" applyAlignment="1" applyProtection="1">
      <alignment horizontal="center" vertical="center"/>
      <protection/>
    </xf>
    <xf numFmtId="0" fontId="13" fillId="33" borderId="28"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21" fillId="33" borderId="29"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4" fillId="33" borderId="22" xfId="0" applyFont="1" applyFill="1" applyBorder="1" applyAlignment="1" applyProtection="1">
      <alignment horizontal="left" vertical="center"/>
      <protection/>
    </xf>
    <xf numFmtId="0" fontId="4" fillId="33" borderId="23" xfId="0" applyFont="1" applyFill="1" applyBorder="1" applyAlignment="1" applyProtection="1">
      <alignment horizontal="left" vertical="center"/>
      <protection/>
    </xf>
    <xf numFmtId="0" fontId="4" fillId="33" borderId="24" xfId="0" applyFont="1" applyFill="1" applyBorder="1" applyAlignment="1" applyProtection="1">
      <alignment horizontal="left" vertical="center"/>
      <protection/>
    </xf>
    <xf numFmtId="0" fontId="22" fillId="33" borderId="28" xfId="0" applyFont="1" applyFill="1" applyBorder="1" applyAlignment="1" applyProtection="1">
      <alignment horizontal="left" vertical="center" wrapText="1"/>
      <protection/>
    </xf>
    <xf numFmtId="0" fontId="22" fillId="33" borderId="0" xfId="0" applyFont="1" applyFill="1" applyBorder="1" applyAlignment="1" applyProtection="1">
      <alignment horizontal="left" vertical="center" wrapText="1"/>
      <protection/>
    </xf>
    <xf numFmtId="0" fontId="22" fillId="33" borderId="29" xfId="0" applyFont="1" applyFill="1" applyBorder="1" applyAlignment="1" applyProtection="1">
      <alignment horizontal="left" vertical="center" wrapText="1"/>
      <protection/>
    </xf>
    <xf numFmtId="0" fontId="22" fillId="33" borderId="30" xfId="0" applyFont="1" applyFill="1" applyBorder="1" applyAlignment="1" applyProtection="1">
      <alignment horizontal="left" vertical="center" wrapText="1"/>
      <protection/>
    </xf>
    <xf numFmtId="0" fontId="22" fillId="33" borderId="31" xfId="0" applyFont="1" applyFill="1" applyBorder="1" applyAlignment="1" applyProtection="1">
      <alignment horizontal="left" vertical="center" wrapText="1"/>
      <protection/>
    </xf>
    <xf numFmtId="0" fontId="22" fillId="33" borderId="32" xfId="0" applyFont="1"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20" fillId="33" borderId="14" xfId="0" applyFont="1" applyFill="1" applyBorder="1" applyAlignment="1" applyProtection="1">
      <alignment horizontal="left" vertical="center"/>
      <protection/>
    </xf>
    <xf numFmtId="0" fontId="20" fillId="33" borderId="15" xfId="0" applyFont="1" applyFill="1" applyBorder="1" applyAlignment="1" applyProtection="1">
      <alignment horizontal="left" vertical="center"/>
      <protection/>
    </xf>
    <xf numFmtId="0" fontId="20" fillId="33" borderId="16" xfId="0" applyFont="1" applyFill="1" applyBorder="1" applyAlignment="1" applyProtection="1">
      <alignment horizontal="left" vertical="center"/>
      <protection/>
    </xf>
    <xf numFmtId="0" fontId="0" fillId="33" borderId="17" xfId="0" applyFill="1" applyBorder="1" applyAlignment="1" applyProtection="1">
      <alignment vertical="center"/>
      <protection/>
    </xf>
    <xf numFmtId="0" fontId="0" fillId="33" borderId="10" xfId="0" applyFont="1" applyFill="1" applyBorder="1" applyAlignment="1" applyProtection="1">
      <alignment vertical="center"/>
      <protection/>
    </xf>
    <xf numFmtId="0" fontId="0" fillId="34" borderId="10" xfId="0" applyFill="1" applyBorder="1" applyAlignment="1" applyProtection="1">
      <alignment vertical="center"/>
      <protection locked="0"/>
    </xf>
    <xf numFmtId="0" fontId="0" fillId="33" borderId="18" xfId="0" applyFill="1" applyBorder="1" applyAlignment="1" applyProtection="1">
      <alignment vertical="center"/>
      <protection/>
    </xf>
    <xf numFmtId="0" fontId="0" fillId="33" borderId="10" xfId="0" applyFill="1" applyBorder="1" applyAlignment="1" applyProtection="1">
      <alignment vertical="center"/>
      <protection/>
    </xf>
    <xf numFmtId="180" fontId="23" fillId="33" borderId="10" xfId="0" applyNumberFormat="1" applyFont="1" applyFill="1" applyBorder="1" applyAlignment="1" applyProtection="1">
      <alignment vertical="center"/>
      <protection/>
    </xf>
    <xf numFmtId="0" fontId="0" fillId="33" borderId="19" xfId="0" applyFill="1" applyBorder="1" applyAlignment="1" applyProtection="1">
      <alignment vertical="center"/>
      <protection/>
    </xf>
    <xf numFmtId="0" fontId="0" fillId="33" borderId="20" xfId="0" applyFont="1" applyFill="1" applyBorder="1" applyAlignment="1" applyProtection="1">
      <alignment vertical="center"/>
      <protection/>
    </xf>
    <xf numFmtId="180" fontId="23" fillId="33" borderId="20" xfId="0" applyNumberFormat="1" applyFont="1" applyFill="1" applyBorder="1" applyAlignment="1" applyProtection="1">
      <alignment vertical="center"/>
      <protection/>
    </xf>
    <xf numFmtId="0" fontId="0" fillId="33" borderId="21" xfId="0" applyFill="1" applyBorder="1" applyAlignment="1" applyProtection="1">
      <alignment vertical="center"/>
      <protection/>
    </xf>
    <xf numFmtId="0" fontId="0" fillId="33" borderId="23"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96" fillId="33" borderId="0" xfId="0" applyFont="1" applyFill="1" applyAlignment="1" applyProtection="1">
      <alignment vertical="center" wrapText="1"/>
      <protection/>
    </xf>
    <xf numFmtId="0" fontId="96" fillId="33" borderId="0" xfId="0" applyFont="1" applyFill="1" applyAlignment="1" applyProtection="1">
      <alignment vertical="center"/>
      <protection/>
    </xf>
    <xf numFmtId="0" fontId="25" fillId="33" borderId="10" xfId="0" applyFont="1" applyFill="1" applyBorder="1" applyAlignment="1" applyProtection="1">
      <alignment vertical="center"/>
      <protection/>
    </xf>
    <xf numFmtId="0" fontId="25" fillId="33" borderId="18" xfId="0" applyFont="1" applyFill="1" applyBorder="1" applyAlignment="1" applyProtection="1">
      <alignment vertical="center"/>
      <protection/>
    </xf>
    <xf numFmtId="0" fontId="0" fillId="33" borderId="17" xfId="0" applyFont="1" applyFill="1" applyBorder="1" applyAlignment="1" applyProtection="1">
      <alignment vertical="center"/>
      <protection/>
    </xf>
    <xf numFmtId="0" fontId="0" fillId="33" borderId="18" xfId="0" applyFont="1" applyFill="1" applyBorder="1" applyAlignment="1" applyProtection="1">
      <alignment vertical="center"/>
      <protection/>
    </xf>
    <xf numFmtId="0" fontId="4" fillId="33" borderId="17" xfId="0" applyFont="1" applyFill="1" applyBorder="1" applyAlignment="1" applyProtection="1">
      <alignment vertical="center"/>
      <protection/>
    </xf>
    <xf numFmtId="0" fontId="4" fillId="33" borderId="10" xfId="0" applyFont="1" applyFill="1" applyBorder="1" applyAlignment="1" applyProtection="1">
      <alignment vertical="center"/>
      <protection/>
    </xf>
    <xf numFmtId="0" fontId="4" fillId="34" borderId="10" xfId="0" applyFont="1" applyFill="1" applyBorder="1" applyAlignment="1" applyProtection="1">
      <alignment vertical="center"/>
      <protection locked="0"/>
    </xf>
    <xf numFmtId="0" fontId="4" fillId="33" borderId="18" xfId="0" applyFont="1" applyFill="1" applyBorder="1" applyAlignment="1" applyProtection="1">
      <alignment vertical="center"/>
      <protection/>
    </xf>
    <xf numFmtId="0" fontId="0" fillId="33" borderId="19" xfId="0" applyFont="1" applyFill="1" applyBorder="1" applyAlignment="1" applyProtection="1">
      <alignment vertical="center"/>
      <protection/>
    </xf>
    <xf numFmtId="180" fontId="97" fillId="33" borderId="20" xfId="0" applyNumberFormat="1"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98" fillId="33" borderId="0" xfId="0" applyFont="1" applyFill="1" applyBorder="1" applyAlignment="1" applyProtection="1">
      <alignment vertical="center" wrapText="1"/>
      <protection/>
    </xf>
    <xf numFmtId="0" fontId="0" fillId="33" borderId="20" xfId="0" applyFill="1" applyBorder="1" applyAlignment="1" applyProtection="1">
      <alignment vertical="center"/>
      <protection/>
    </xf>
    <xf numFmtId="0" fontId="0" fillId="33" borderId="0" xfId="0" applyFill="1" applyBorder="1" applyAlignment="1" applyProtection="1">
      <alignment horizontal="center" vertical="center"/>
      <protection/>
    </xf>
    <xf numFmtId="0" fontId="0" fillId="34" borderId="10" xfId="0" applyFont="1" applyFill="1" applyBorder="1" applyAlignment="1" applyProtection="1">
      <alignment vertical="center"/>
      <protection locked="0"/>
    </xf>
    <xf numFmtId="0" fontId="25" fillId="33" borderId="21" xfId="0" applyFont="1" applyFill="1" applyBorder="1" applyAlignment="1" applyProtection="1">
      <alignment vertical="center"/>
      <protection/>
    </xf>
    <xf numFmtId="0" fontId="4" fillId="33" borderId="17" xfId="0" applyFont="1" applyFill="1" applyBorder="1" applyAlignment="1" applyProtection="1">
      <alignment vertical="center" wrapText="1"/>
      <protection/>
    </xf>
    <xf numFmtId="0" fontId="96" fillId="33" borderId="18" xfId="0" applyFont="1" applyFill="1" applyBorder="1" applyAlignment="1" applyProtection="1">
      <alignment vertical="center" wrapText="1"/>
      <protection/>
    </xf>
    <xf numFmtId="0" fontId="98" fillId="33" borderId="0" xfId="0" applyFont="1" applyFill="1" applyAlignment="1" applyProtection="1">
      <alignment vertical="center" wrapText="1"/>
      <protection/>
    </xf>
    <xf numFmtId="0" fontId="26" fillId="33" borderId="0" xfId="0" applyFont="1" applyFill="1" applyAlignment="1">
      <alignment horizontal="center" vertical="center" wrapText="1"/>
    </xf>
    <xf numFmtId="0" fontId="0" fillId="33" borderId="10" xfId="0" applyFont="1" applyFill="1" applyBorder="1" applyAlignment="1" applyProtection="1">
      <alignment horizontal="left" vertical="center"/>
      <protection/>
    </xf>
    <xf numFmtId="0" fontId="4" fillId="33" borderId="10" xfId="0" applyFont="1" applyFill="1" applyBorder="1" applyAlignment="1" applyProtection="1">
      <alignment horizontal="left" vertical="center"/>
      <protection/>
    </xf>
    <xf numFmtId="180" fontId="4" fillId="34" borderId="10" xfId="0" applyNumberFormat="1" applyFont="1" applyFill="1" applyBorder="1" applyAlignment="1" applyProtection="1">
      <alignment vertical="center"/>
      <protection locked="0"/>
    </xf>
    <xf numFmtId="0" fontId="0" fillId="33" borderId="20" xfId="0" applyFont="1" applyFill="1" applyBorder="1" applyAlignment="1" applyProtection="1">
      <alignment horizontal="left" vertical="center"/>
      <protection/>
    </xf>
    <xf numFmtId="0" fontId="98" fillId="33" borderId="0" xfId="0" applyFont="1" applyFill="1" applyBorder="1" applyAlignment="1" applyProtection="1">
      <alignment horizontal="center" vertical="center" wrapText="1"/>
      <protection/>
    </xf>
    <xf numFmtId="180" fontId="10" fillId="33" borderId="10" xfId="0" applyNumberFormat="1" applyFont="1" applyFill="1" applyBorder="1" applyAlignment="1" applyProtection="1">
      <alignment vertical="center"/>
      <protection/>
    </xf>
    <xf numFmtId="0" fontId="23" fillId="33" borderId="10" xfId="0" applyFont="1" applyFill="1" applyBorder="1" applyAlignment="1" applyProtection="1">
      <alignment vertical="center"/>
      <protection/>
    </xf>
    <xf numFmtId="0" fontId="0" fillId="33" borderId="0" xfId="0" applyFont="1" applyFill="1" applyBorder="1" applyAlignment="1" applyProtection="1">
      <alignment vertical="center"/>
      <protection hidden="1"/>
    </xf>
    <xf numFmtId="180" fontId="0" fillId="33" borderId="0" xfId="0" applyNumberFormat="1" applyFont="1" applyFill="1" applyBorder="1" applyAlignment="1" applyProtection="1">
      <alignment horizontal="right" vertical="center" shrinkToFit="1"/>
      <protection hidden="1"/>
    </xf>
    <xf numFmtId="0" fontId="27" fillId="33" borderId="18" xfId="0" applyFont="1" applyFill="1" applyBorder="1" applyAlignment="1" applyProtection="1">
      <alignment vertical="center"/>
      <protection/>
    </xf>
    <xf numFmtId="0" fontId="98" fillId="33" borderId="0" xfId="0" applyFont="1" applyFill="1" applyAlignment="1" applyProtection="1">
      <alignment vertical="center"/>
      <protection/>
    </xf>
    <xf numFmtId="180" fontId="0" fillId="33" borderId="10" xfId="0" applyNumberFormat="1" applyFont="1" applyFill="1" applyBorder="1" applyAlignment="1" applyProtection="1">
      <alignment vertical="center"/>
      <protection locked="0"/>
    </xf>
    <xf numFmtId="0" fontId="10" fillId="33" borderId="10" xfId="0" applyNumberFormat="1" applyFont="1" applyFill="1" applyBorder="1" applyAlignment="1" applyProtection="1">
      <alignment vertical="center"/>
      <protection/>
    </xf>
    <xf numFmtId="0" fontId="4" fillId="33" borderId="19" xfId="0" applyFont="1" applyFill="1" applyBorder="1" applyAlignment="1" applyProtection="1">
      <alignment vertical="center"/>
      <protection/>
    </xf>
    <xf numFmtId="0" fontId="4" fillId="33" borderId="20" xfId="0" applyFont="1" applyFill="1" applyBorder="1" applyAlignment="1" applyProtection="1">
      <alignment vertical="center"/>
      <protection/>
    </xf>
    <xf numFmtId="1" fontId="10" fillId="33" borderId="20" xfId="0" applyNumberFormat="1" applyFont="1" applyFill="1" applyBorder="1" applyAlignment="1" applyProtection="1">
      <alignment vertical="center"/>
      <protection/>
    </xf>
    <xf numFmtId="0" fontId="4" fillId="33" borderId="21" xfId="0" applyFont="1" applyFill="1" applyBorder="1" applyAlignment="1" applyProtection="1">
      <alignment vertical="center"/>
      <protection/>
    </xf>
    <xf numFmtId="0" fontId="98" fillId="33" borderId="23" xfId="0" applyFont="1" applyFill="1" applyBorder="1" applyAlignment="1" applyProtection="1">
      <alignment horizontal="center" vertical="center"/>
      <protection/>
    </xf>
    <xf numFmtId="0" fontId="98" fillId="33" borderId="31" xfId="0" applyFont="1" applyFill="1" applyBorder="1" applyAlignment="1" applyProtection="1">
      <alignment horizontal="center" vertical="center"/>
      <protection/>
    </xf>
    <xf numFmtId="1" fontId="4" fillId="34" borderId="10" xfId="0" applyNumberFormat="1" applyFont="1" applyFill="1" applyBorder="1" applyAlignment="1" applyProtection="1">
      <alignment vertical="center"/>
      <protection locked="0"/>
    </xf>
    <xf numFmtId="180" fontId="10" fillId="33" borderId="36" xfId="0" applyNumberFormat="1" applyFont="1" applyFill="1" applyBorder="1" applyAlignment="1" applyProtection="1">
      <alignment horizontal="right" vertical="center"/>
      <protection/>
    </xf>
    <xf numFmtId="180" fontId="10" fillId="33" borderId="37" xfId="0" applyNumberFormat="1" applyFont="1" applyFill="1" applyBorder="1" applyAlignment="1" applyProtection="1">
      <alignment horizontal="right" vertical="center"/>
      <protection/>
    </xf>
    <xf numFmtId="180" fontId="10" fillId="33" borderId="38" xfId="0" applyNumberFormat="1" applyFont="1" applyFill="1" applyBorder="1" applyAlignment="1" applyProtection="1">
      <alignment horizontal="right" vertical="center"/>
      <protection/>
    </xf>
    <xf numFmtId="0" fontId="4" fillId="34" borderId="11" xfId="0" applyFont="1" applyFill="1" applyBorder="1" applyAlignment="1" applyProtection="1">
      <alignment vertical="center"/>
      <protection locked="0"/>
    </xf>
    <xf numFmtId="0" fontId="96" fillId="33" borderId="28" xfId="0" applyFont="1" applyFill="1" applyBorder="1" applyAlignment="1" applyProtection="1">
      <alignment horizontal="left" vertical="center" wrapText="1"/>
      <protection/>
    </xf>
    <xf numFmtId="0" fontId="96" fillId="33" borderId="0" xfId="0" applyFont="1" applyFill="1" applyAlignment="1" applyProtection="1">
      <alignment horizontal="left" vertical="center" wrapText="1"/>
      <protection/>
    </xf>
    <xf numFmtId="0" fontId="98" fillId="33" borderId="23" xfId="0" applyFont="1" applyFill="1" applyBorder="1" applyAlignment="1" applyProtection="1">
      <alignment horizontal="center" vertical="center" wrapText="1"/>
      <protection/>
    </xf>
    <xf numFmtId="0" fontId="98" fillId="33" borderId="31" xfId="0" applyFont="1" applyFill="1" applyBorder="1" applyAlignment="1" applyProtection="1">
      <alignment horizontal="center" vertical="center" wrapText="1"/>
      <protection/>
    </xf>
    <xf numFmtId="0" fontId="0" fillId="33" borderId="28"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29" xfId="0" applyFill="1" applyBorder="1" applyAlignment="1" applyProtection="1">
      <alignment vertical="center"/>
      <protection/>
    </xf>
    <xf numFmtId="0" fontId="0" fillId="33" borderId="28" xfId="0" applyFill="1" applyBorder="1" applyAlignment="1" applyProtection="1">
      <alignment/>
      <protection/>
    </xf>
    <xf numFmtId="0" fontId="0" fillId="33" borderId="0" xfId="0" applyFill="1" applyBorder="1" applyAlignment="1" applyProtection="1">
      <alignment/>
      <protection/>
    </xf>
    <xf numFmtId="0" fontId="0" fillId="33" borderId="29" xfId="0" applyFill="1" applyBorder="1" applyAlignment="1" applyProtection="1">
      <alignment/>
      <protection/>
    </xf>
    <xf numFmtId="0" fontId="28" fillId="33" borderId="29"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wrapText="1"/>
      <protection/>
    </xf>
    <xf numFmtId="0" fontId="4" fillId="33" borderId="37" xfId="0" applyFont="1" applyFill="1" applyBorder="1" applyAlignment="1" applyProtection="1">
      <alignment horizontal="left" vertical="center" wrapText="1"/>
      <protection/>
    </xf>
    <xf numFmtId="0" fontId="4" fillId="33" borderId="12" xfId="0" applyFont="1" applyFill="1" applyBorder="1" applyAlignment="1" applyProtection="1">
      <alignment horizontal="left" vertical="center" wrapText="1"/>
      <protection/>
    </xf>
    <xf numFmtId="0" fontId="4" fillId="33" borderId="0" xfId="0" applyFont="1" applyFill="1" applyAlignment="1" applyProtection="1">
      <alignment horizontal="left" vertical="center"/>
      <protection/>
    </xf>
    <xf numFmtId="0" fontId="4" fillId="33" borderId="10" xfId="0" applyFont="1" applyFill="1" applyBorder="1" applyAlignment="1" applyProtection="1">
      <alignment/>
      <protection/>
    </xf>
    <xf numFmtId="0" fontId="3" fillId="0" borderId="10" xfId="0" applyFont="1" applyBorder="1" applyAlignment="1" applyProtection="1">
      <alignment vertical="center"/>
      <protection hidden="1"/>
    </xf>
    <xf numFmtId="0" fontId="2" fillId="34" borderId="10" xfId="0" applyFont="1" applyFill="1" applyBorder="1" applyAlignment="1" applyProtection="1">
      <alignment vertical="center"/>
      <protection hidden="1" locked="0"/>
    </xf>
    <xf numFmtId="0" fontId="28" fillId="33" borderId="10" xfId="0" applyFont="1" applyFill="1" applyBorder="1" applyAlignment="1" applyProtection="1">
      <alignment horizontal="left" vertical="center"/>
      <protection/>
    </xf>
    <xf numFmtId="0" fontId="0" fillId="33" borderId="11" xfId="0" applyFont="1" applyFill="1" applyBorder="1" applyAlignment="1" applyProtection="1">
      <alignment horizontal="left" vertical="center"/>
      <protection/>
    </xf>
    <xf numFmtId="0" fontId="0" fillId="33" borderId="12"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0" fillId="33" borderId="11" xfId="0" applyFont="1" applyFill="1" applyBorder="1" applyAlignment="1" applyProtection="1">
      <alignment horizontal="left" vertical="center"/>
      <protection hidden="1"/>
    </xf>
    <xf numFmtId="0" fontId="0" fillId="33" borderId="12" xfId="0" applyFont="1" applyFill="1" applyBorder="1" applyAlignment="1" applyProtection="1">
      <alignment horizontal="left" vertical="center"/>
      <protection hidden="1"/>
    </xf>
    <xf numFmtId="0" fontId="0" fillId="33" borderId="18" xfId="0" applyFont="1" applyFill="1" applyBorder="1" applyAlignment="1" applyProtection="1">
      <alignment horizontal="left" vertical="center"/>
      <protection/>
    </xf>
    <xf numFmtId="180" fontId="97" fillId="33" borderId="10" xfId="0" applyNumberFormat="1" applyFont="1" applyFill="1" applyBorder="1" applyAlignment="1" applyProtection="1">
      <alignment horizontal="right" vertical="center"/>
      <protection/>
    </xf>
    <xf numFmtId="0" fontId="4" fillId="33" borderId="0" xfId="0" applyFont="1" applyFill="1" applyAlignment="1" applyProtection="1">
      <alignment horizontal="left" vertical="center" wrapText="1"/>
      <protection/>
    </xf>
    <xf numFmtId="180" fontId="23" fillId="33" borderId="10" xfId="0" applyNumberFormat="1" applyFont="1" applyFill="1" applyBorder="1" applyAlignment="1" applyProtection="1">
      <alignment horizontal="right" vertical="center" shrinkToFit="1"/>
      <protection/>
    </xf>
    <xf numFmtId="180" fontId="23" fillId="33" borderId="18" xfId="0" applyNumberFormat="1" applyFont="1" applyFill="1" applyBorder="1" applyAlignment="1" applyProtection="1">
      <alignment horizontal="center" vertical="center"/>
      <protection/>
    </xf>
    <xf numFmtId="180" fontId="0" fillId="33" borderId="10" xfId="0" applyNumberFormat="1" applyFont="1" applyFill="1" applyBorder="1" applyAlignment="1" applyProtection="1">
      <alignment horizontal="right" vertical="center" shrinkToFit="1"/>
      <protection hidden="1"/>
    </xf>
    <xf numFmtId="180" fontId="23" fillId="33" borderId="10" xfId="0" applyNumberFormat="1" applyFont="1" applyFill="1" applyBorder="1" applyAlignment="1" applyProtection="1">
      <alignment horizontal="right" vertical="center"/>
      <protection/>
    </xf>
    <xf numFmtId="180" fontId="0" fillId="33" borderId="0" xfId="0" applyNumberFormat="1" applyFill="1" applyAlignment="1" applyProtection="1">
      <alignment vertical="center"/>
      <protection/>
    </xf>
    <xf numFmtId="180" fontId="98" fillId="33" borderId="0" xfId="0" applyNumberFormat="1" applyFont="1" applyFill="1" applyAlignment="1" applyProtection="1">
      <alignment vertical="center"/>
      <protection/>
    </xf>
    <xf numFmtId="0" fontId="4" fillId="33" borderId="0" xfId="0" applyFont="1" applyFill="1" applyAlignment="1" applyProtection="1">
      <alignment vertical="center" wrapText="1"/>
      <protection/>
    </xf>
    <xf numFmtId="0" fontId="0" fillId="33" borderId="10" xfId="0" applyFont="1" applyFill="1" applyBorder="1" applyAlignment="1" applyProtection="1">
      <alignment horizontal="left" vertical="center"/>
      <protection hidden="1"/>
    </xf>
    <xf numFmtId="180" fontId="4" fillId="34" borderId="10" xfId="0" applyNumberFormat="1" applyFont="1" applyFill="1" applyBorder="1" applyAlignment="1" applyProtection="1">
      <alignment horizontal="right" vertical="center" shrinkToFit="1"/>
      <protection hidden="1" locked="0"/>
    </xf>
    <xf numFmtId="0" fontId="0" fillId="33" borderId="0" xfId="0" applyFont="1" applyFill="1" applyAlignment="1" applyProtection="1">
      <alignment vertical="center"/>
      <protection/>
    </xf>
    <xf numFmtId="180" fontId="0" fillId="33" borderId="10" xfId="0" applyNumberFormat="1" applyFont="1" applyFill="1" applyBorder="1" applyAlignment="1" applyProtection="1">
      <alignment horizontal="left" vertical="center" shrinkToFit="1"/>
      <protection hidden="1"/>
    </xf>
    <xf numFmtId="180" fontId="97" fillId="33" borderId="10" xfId="0" applyNumberFormat="1" applyFont="1" applyFill="1" applyBorder="1" applyAlignment="1" applyProtection="1">
      <alignment horizontal="right" vertical="center" shrinkToFit="1"/>
      <protection hidden="1"/>
    </xf>
    <xf numFmtId="180" fontId="97" fillId="33" borderId="10" xfId="0" applyNumberFormat="1" applyFont="1" applyFill="1" applyBorder="1" applyAlignment="1" applyProtection="1">
      <alignment vertical="center"/>
      <protection/>
    </xf>
    <xf numFmtId="0" fontId="0" fillId="33" borderId="28"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29" xfId="0" applyFont="1" applyFill="1" applyBorder="1" applyAlignment="1" applyProtection="1">
      <alignment vertical="center"/>
      <protection/>
    </xf>
    <xf numFmtId="0" fontId="2" fillId="33" borderId="28"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29" xfId="0" applyFont="1" applyFill="1" applyBorder="1" applyAlignment="1" applyProtection="1">
      <alignment horizontal="left" vertical="center"/>
      <protection/>
    </xf>
    <xf numFmtId="180" fontId="10" fillId="33" borderId="10" xfId="0" applyNumberFormat="1" applyFont="1" applyFill="1" applyBorder="1" applyAlignment="1" applyProtection="1">
      <alignment horizontal="right" vertical="center" shrinkToFit="1"/>
      <protection/>
    </xf>
    <xf numFmtId="180" fontId="0" fillId="33" borderId="0" xfId="0" applyNumberFormat="1" applyFill="1" applyBorder="1" applyAlignment="1" applyProtection="1">
      <alignment vertical="center"/>
      <protection/>
    </xf>
    <xf numFmtId="0" fontId="0" fillId="33" borderId="0" xfId="0" applyFont="1" applyFill="1" applyAlignment="1">
      <alignment/>
    </xf>
    <xf numFmtId="0" fontId="0" fillId="33" borderId="30" xfId="0" applyFill="1" applyBorder="1" applyAlignment="1" applyProtection="1">
      <alignment vertical="center"/>
      <protection/>
    </xf>
    <xf numFmtId="0" fontId="0" fillId="33" borderId="31" xfId="0" applyFill="1" applyBorder="1" applyAlignment="1" applyProtection="1">
      <alignment vertical="center"/>
      <protection/>
    </xf>
    <xf numFmtId="0" fontId="0" fillId="33" borderId="32" xfId="0" applyFill="1" applyBorder="1" applyAlignment="1" applyProtection="1">
      <alignment vertical="center"/>
      <protection/>
    </xf>
    <xf numFmtId="0" fontId="0" fillId="33" borderId="0" xfId="0" applyFill="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solidFill>
                  <a:srgbClr val="000000"/>
                </a:solidFill>
                <a:latin typeface="Arial"/>
                <a:ea typeface="Arial"/>
                <a:cs typeface="Arial"/>
              </a:rPr>
              <a:t>M</a:t>
            </a:r>
            <a:r>
              <a:rPr lang="en-US" cap="none" sz="925" b="0" i="0" u="none" baseline="-25000">
                <a:solidFill>
                  <a:srgbClr val="000000"/>
                </a:solidFill>
                <a:latin typeface="Arial"/>
                <a:ea typeface="Arial"/>
                <a:cs typeface="Arial"/>
              </a:rPr>
              <a:t>1</a:t>
            </a:r>
            <a:r>
              <a:rPr lang="en-US" cap="none" sz="925" b="0" i="0" u="none" baseline="0">
                <a:solidFill>
                  <a:srgbClr val="000000"/>
                </a:solidFill>
                <a:latin typeface="Arial"/>
                <a:ea typeface="Arial"/>
                <a:cs typeface="Arial"/>
              </a:rPr>
              <a:t>M</a:t>
            </a:r>
            <a:r>
              <a:rPr lang="en-US" cap="none" sz="925" b="0" i="0" u="none" baseline="-25000">
                <a:solidFill>
                  <a:srgbClr val="000000"/>
                </a:solidFill>
                <a:latin typeface="Arial"/>
                <a:ea typeface="Arial"/>
                <a:cs typeface="Arial"/>
              </a:rPr>
              <a:t>2</a:t>
            </a:r>
            <a:r>
              <a:rPr lang="en-US" cap="none" sz="925" b="0" i="0" u="none" baseline="0">
                <a:solidFill>
                  <a:srgbClr val="000000"/>
                </a:solidFill>
                <a:latin typeface="Arial"/>
                <a:ea typeface="Arial"/>
                <a:cs typeface="Arial"/>
              </a:rPr>
              <a:t> vs VCOMP</a:t>
            </a:r>
          </a:p>
        </c:rich>
      </c:tx>
      <c:layout>
        <c:manualLayout>
          <c:xMode val="factor"/>
          <c:yMode val="factor"/>
          <c:x val="-0.005"/>
          <c:y val="0.01275"/>
        </c:manualLayout>
      </c:layout>
      <c:spPr>
        <a:noFill/>
        <a:ln w="3175">
          <a:noFill/>
        </a:ln>
      </c:spPr>
    </c:title>
    <c:plotArea>
      <c:layout>
        <c:manualLayout>
          <c:xMode val="edge"/>
          <c:yMode val="edge"/>
          <c:x val="0.09675"/>
          <c:y val="0.14325"/>
          <c:w val="0.69475"/>
          <c:h val="0.6715"/>
        </c:manualLayout>
      </c:layout>
      <c:scatterChart>
        <c:scatterStyle val="line"/>
        <c:varyColors val="0"/>
        <c:ser>
          <c:idx val="0"/>
          <c:order val="0"/>
          <c:tx>
            <c:v>M1M2 vs VCOMP</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data!$A$5:$A$105</c:f>
              <c:numCache/>
            </c:numRef>
          </c:xVal>
          <c:yVal>
            <c:numRef>
              <c:f>data!$D$5:$D$105</c:f>
              <c:numCache>
                <c:ptCount val="101"/>
                <c:pt idx="0">
                  <c:v>0</c:v>
                </c:pt>
                <c:pt idx="1">
                  <c:v>0</c:v>
                </c:pt>
                <c:pt idx="2">
                  <c:v>0</c:v>
                </c:pt>
                <c:pt idx="3">
                  <c:v>0</c:v>
                </c:pt>
                <c:pt idx="4">
                  <c:v>0</c:v>
                </c:pt>
                <c:pt idx="5">
                  <c:v>0</c:v>
                </c:pt>
                <c:pt idx="6">
                  <c:v>0</c:v>
                </c:pt>
                <c:pt idx="7">
                  <c:v>0</c:v>
                </c:pt>
                <c:pt idx="8">
                  <c:v>0</c:v>
                </c:pt>
                <c:pt idx="9">
                  <c:v>0</c:v>
                </c:pt>
                <c:pt idx="10">
                  <c:v>0</c:v>
                </c:pt>
                <c:pt idx="11">
                  <c:v>3.198615384615377E-05</c:v>
                </c:pt>
                <c:pt idx="12">
                  <c:v>0.00012794461538461534</c:v>
                </c:pt>
                <c:pt idx="13">
                  <c:v>0.0002878753846153847</c:v>
                </c:pt>
                <c:pt idx="14">
                  <c:v>0.000511778461538462</c:v>
                </c:pt>
                <c:pt idx="15">
                  <c:v>0.000799653846153847</c:v>
                </c:pt>
                <c:pt idx="16">
                  <c:v>0.00115150153846154</c:v>
                </c:pt>
                <c:pt idx="17">
                  <c:v>0.0015673215384615403</c:v>
                </c:pt>
                <c:pt idx="18">
                  <c:v>0.002047113846153849</c:v>
                </c:pt>
                <c:pt idx="19">
                  <c:v>0.0025908784615384654</c:v>
                </c:pt>
                <c:pt idx="20">
                  <c:v>0.003198615384615389</c:v>
                </c:pt>
                <c:pt idx="21">
                  <c:v>0.004314273615384621</c:v>
                </c:pt>
                <c:pt idx="22">
                  <c:v>0.005662678153846165</c:v>
                </c:pt>
                <c:pt idx="23">
                  <c:v>0.007265843000000014</c:v>
                </c:pt>
                <c:pt idx="24">
                  <c:v>0.00914578215384617</c:v>
                </c:pt>
                <c:pt idx="25">
                  <c:v>0.011324509615384637</c:v>
                </c:pt>
                <c:pt idx="26">
                  <c:v>0.01382403938461541</c:v>
                </c:pt>
                <c:pt idx="27">
                  <c:v>0.0166663854615385</c:v>
                </c:pt>
                <c:pt idx="28">
                  <c:v>0.01987356184615389</c:v>
                </c:pt>
                <c:pt idx="29">
                  <c:v>0.02346758253846159</c:v>
                </c:pt>
                <c:pt idx="30">
                  <c:v>0.027470461538461596</c:v>
                </c:pt>
                <c:pt idx="31">
                  <c:v>0.03190421284615391</c:v>
                </c:pt>
                <c:pt idx="32">
                  <c:v>0.03679085046153854</c:v>
                </c:pt>
                <c:pt idx="33">
                  <c:v>0.04215238838461548</c:v>
                </c:pt>
                <c:pt idx="34">
                  <c:v>0.04801084061538473</c:v>
                </c:pt>
                <c:pt idx="35">
                  <c:v>0.054388221153846276</c:v>
                </c:pt>
                <c:pt idx="36">
                  <c:v>0.06130654400000014</c:v>
                </c:pt>
                <c:pt idx="37">
                  <c:v>0.06878782315384631</c:v>
                </c:pt>
                <c:pt idx="38">
                  <c:v>0.0768540726153848</c:v>
                </c:pt>
                <c:pt idx="39">
                  <c:v>0.08552730638461559</c:v>
                </c:pt>
                <c:pt idx="40">
                  <c:v>0.09525288461538486</c:v>
                </c:pt>
                <c:pt idx="41">
                  <c:v>0.10878333344230792</c:v>
                </c:pt>
                <c:pt idx="42">
                  <c:v>0.12345300676923097</c:v>
                </c:pt>
                <c:pt idx="43">
                  <c:v>0.13930607371153858</c:v>
                </c:pt>
                <c:pt idx="44">
                  <c:v>0.15638670338461547</c:v>
                </c:pt>
                <c:pt idx="45">
                  <c:v>0.1747390649038462</c:v>
                </c:pt>
                <c:pt idx="46">
                  <c:v>0.19440732738461533</c:v>
                </c:pt>
                <c:pt idx="47">
                  <c:v>0.21543565994230754</c:v>
                </c:pt>
                <c:pt idx="48">
                  <c:v>0.2378682316923075</c:v>
                </c:pt>
                <c:pt idx="49">
                  <c:v>0.26174921174999966</c:v>
                </c:pt>
                <c:pt idx="50">
                  <c:v>0.2871227692307688</c:v>
                </c:pt>
                <c:pt idx="51">
                  <c:v>0.3140330732499994</c:v>
                </c:pt>
                <c:pt idx="52">
                  <c:v>0.34252429292307623</c:v>
                </c:pt>
                <c:pt idx="53">
                  <c:v>0.3726405973653838</c:v>
                </c:pt>
                <c:pt idx="54">
                  <c:v>0.40442615569230667</c:v>
                </c:pt>
                <c:pt idx="55">
                  <c:v>0.4379251370192296</c:v>
                </c:pt>
                <c:pt idx="56">
                  <c:v>0.47318171046153706</c:v>
                </c:pt>
                <c:pt idx="57">
                  <c:v>0.5102400451346137</c:v>
                </c:pt>
                <c:pt idx="58">
                  <c:v>0.5491443101538444</c:v>
                </c:pt>
                <c:pt idx="59">
                  <c:v>0.5899386746346134</c:v>
                </c:pt>
                <c:pt idx="60">
                  <c:v>0.6326673076923054</c:v>
                </c:pt>
                <c:pt idx="61">
                  <c:v>0.6773743784423052</c:v>
                </c:pt>
                <c:pt idx="62">
                  <c:v>0.7241040559999972</c:v>
                </c:pt>
                <c:pt idx="63">
                  <c:v>0.772900509480766</c:v>
                </c:pt>
                <c:pt idx="64">
                  <c:v>0.8238079079999965</c:v>
                </c:pt>
                <c:pt idx="65">
                  <c:v>0.8768704206730731</c:v>
                </c:pt>
                <c:pt idx="66">
                  <c:v>0.9321322166153805</c:v>
                </c:pt>
                <c:pt idx="67">
                  <c:v>0.9896374649423031</c:v>
                </c:pt>
                <c:pt idx="68">
                  <c:v>1.0494303347692258</c:v>
                </c:pt>
                <c:pt idx="69">
                  <c:v>1.1115549952115331</c:v>
                </c:pt>
                <c:pt idx="70">
                  <c:v>1.1760556153846096</c:v>
                </c:pt>
                <c:pt idx="71">
                  <c:v>1.2429763644038399</c:v>
                </c:pt>
                <c:pt idx="72">
                  <c:v>1.3123614113846087</c:v>
                </c:pt>
                <c:pt idx="73">
                  <c:v>1.3842549254423004</c:v>
                </c:pt>
                <c:pt idx="74">
                  <c:v>1.4587010756922998</c:v>
                </c:pt>
                <c:pt idx="75">
                  <c:v>1.5357440312499915</c:v>
                </c:pt>
                <c:pt idx="76">
                  <c:v>1.6154279612307603</c:v>
                </c:pt>
                <c:pt idx="77">
                  <c:v>1.6977970347499902</c:v>
                </c:pt>
                <c:pt idx="78">
                  <c:v>1.7828954209230667</c:v>
                </c:pt>
                <c:pt idx="79">
                  <c:v>1.870767288865374</c:v>
                </c:pt>
                <c:pt idx="80">
                  <c:v>1.9614568076922965</c:v>
                </c:pt>
                <c:pt idx="81">
                  <c:v>2.0550081465192185</c:v>
                </c:pt>
                <c:pt idx="82">
                  <c:v>2.1514654744615256</c:v>
                </c:pt>
                <c:pt idx="83">
                  <c:v>2.2508729606346014</c:v>
                </c:pt>
                <c:pt idx="84">
                  <c:v>2.3532747741538316</c:v>
                </c:pt>
                <c:pt idx="85">
                  <c:v>2.4587150841346</c:v>
                </c:pt>
                <c:pt idx="86">
                  <c:v>2.5672380596922912</c:v>
                </c:pt>
                <c:pt idx="87">
                  <c:v>2.678887869942291</c:v>
                </c:pt>
                <c:pt idx="88">
                  <c:v>2.7937086839999825</c:v>
                </c:pt>
                <c:pt idx="89">
                  <c:v>2.9117446709807506</c:v>
                </c:pt>
                <c:pt idx="90">
                  <c:v>3.03303999999998</c:v>
                </c:pt>
                <c:pt idx="91">
                  <c:v>3.107796815769218</c:v>
                </c:pt>
                <c:pt idx="92">
                  <c:v>3.185006216923064</c:v>
                </c:pt>
                <c:pt idx="93">
                  <c:v>3.185218461538461</c:v>
                </c:pt>
                <c:pt idx="94">
                  <c:v>3.185218461538461</c:v>
                </c:pt>
                <c:pt idx="95">
                  <c:v>3.185218461538461</c:v>
                </c:pt>
                <c:pt idx="96">
                  <c:v>3.185218461538461</c:v>
                </c:pt>
                <c:pt idx="97">
                  <c:v>3.185218461538461</c:v>
                </c:pt>
                <c:pt idx="98">
                  <c:v>3.185218461538461</c:v>
                </c:pt>
                <c:pt idx="99">
                  <c:v>3.185218461538461</c:v>
                </c:pt>
                <c:pt idx="100">
                  <c:v>3.185218461538461</c:v>
                </c:pt>
              </c:numCache>
            </c:numRef>
          </c:yVal>
          <c:smooth val="0"/>
        </c:ser>
        <c:axId val="30175864"/>
        <c:axId val="3147321"/>
      </c:scatterChart>
      <c:valAx>
        <c:axId val="30175864"/>
        <c:scaling>
          <c:orientation val="minMax"/>
          <c:max val="5"/>
          <c:min val="0"/>
        </c:scaling>
        <c:axPos val="b"/>
        <c:title>
          <c:tx>
            <c:rich>
              <a:bodyPr vert="horz" rot="0" anchor="ctr"/>
              <a:lstStyle/>
              <a:p>
                <a:pPr algn="ctr">
                  <a:defRPr/>
                </a:pPr>
                <a:r>
                  <a:rPr lang="en-US" cap="none" sz="925" b="1" i="0" u="none" baseline="0">
                    <a:solidFill>
                      <a:srgbClr val="000000"/>
                    </a:solidFill>
                    <a:latin typeface="Arial"/>
                    <a:ea typeface="Arial"/>
                    <a:cs typeface="Arial"/>
                  </a:rPr>
                  <a:t>VCOMP</a:t>
                </a:r>
              </a:p>
            </c:rich>
          </c:tx>
          <c:layout>
            <c:manualLayout>
              <c:xMode val="factor"/>
              <c:yMode val="factor"/>
              <c:x val="-0.102"/>
              <c:y val="0.05075"/>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General" sourceLinked="0"/>
        <c:majorTickMark val="out"/>
        <c:minorTickMark val="in"/>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3147321"/>
        <c:crosses val="autoZero"/>
        <c:crossBetween val="midCat"/>
        <c:dispUnits/>
        <c:majorUnit val="0.5"/>
        <c:minorUnit val="0.1"/>
      </c:valAx>
      <c:valAx>
        <c:axId val="3147321"/>
        <c:scaling>
          <c:orientation val="minMax"/>
          <c:max val="4"/>
          <c:min val="0"/>
        </c:scaling>
        <c:axPos val="l"/>
        <c:title>
          <c:tx>
            <c:rich>
              <a:bodyPr vert="horz" rot="-5400000" anchor="ctr"/>
              <a:lstStyle/>
              <a:p>
                <a:pPr algn="ctr">
                  <a:defRPr/>
                </a:pPr>
                <a:r>
                  <a:rPr lang="en-US" cap="none" sz="925" b="1" i="0" u="none" baseline="0">
                    <a:solidFill>
                      <a:srgbClr val="000000"/>
                    </a:solidFill>
                    <a:latin typeface="Arial"/>
                    <a:ea typeface="Arial"/>
                    <a:cs typeface="Arial"/>
                  </a:rPr>
                  <a:t>M</a:t>
                </a:r>
                <a:r>
                  <a:rPr lang="en-US" cap="none" sz="925" b="1" i="0" u="none" baseline="-25000">
                    <a:solidFill>
                      <a:srgbClr val="000000"/>
                    </a:solidFill>
                    <a:latin typeface="Arial"/>
                    <a:ea typeface="Arial"/>
                    <a:cs typeface="Arial"/>
                  </a:rPr>
                  <a:t>1</a:t>
                </a:r>
                <a:r>
                  <a:rPr lang="en-US" cap="none" sz="925" b="1" i="0" u="none" baseline="0">
                    <a:solidFill>
                      <a:srgbClr val="000000"/>
                    </a:solidFill>
                    <a:latin typeface="Arial"/>
                    <a:ea typeface="Arial"/>
                    <a:cs typeface="Arial"/>
                  </a:rPr>
                  <a:t>M</a:t>
                </a:r>
                <a:r>
                  <a:rPr lang="en-US" cap="none" sz="925" b="1" i="0" u="none" baseline="-25000">
                    <a:solidFill>
                      <a:srgbClr val="000000"/>
                    </a:solidFill>
                    <a:latin typeface="Arial"/>
                    <a:ea typeface="Arial"/>
                    <a:cs typeface="Arial"/>
                  </a:rPr>
                  <a:t>2</a:t>
                </a:r>
              </a:p>
            </c:rich>
          </c:tx>
          <c:layout>
            <c:manualLayout>
              <c:xMode val="factor"/>
              <c:yMode val="factor"/>
              <c:x val="0.0155"/>
              <c:y val="0.05475"/>
            </c:manualLayout>
          </c:layout>
          <c:overlay val="0"/>
          <c:spPr>
            <a:noFill/>
            <a:ln w="3175">
              <a:noFill/>
            </a:ln>
          </c:spPr>
        </c:title>
        <c:majorGridlines>
          <c:spPr>
            <a:ln w="12700">
              <a:solidFill>
                <a:srgbClr val="000000"/>
              </a:solidFill>
            </a:ln>
          </c:spPr>
        </c:majorGridlines>
        <c:minorGridlines>
          <c:spPr>
            <a:ln w="3175">
              <a:solidFill>
                <a:srgbClr val="FF6600"/>
              </a:solidFill>
            </a:ln>
          </c:spPr>
        </c:minorGridlines>
        <c:delete val="0"/>
        <c:numFmt formatCode="General" sourceLinked="0"/>
        <c:majorTickMark val="out"/>
        <c:minorTickMark val="in"/>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30175864"/>
        <c:crosses val="autoZero"/>
        <c:crossBetween val="midCat"/>
        <c:dispUnits/>
        <c:majorUnit val="0.5"/>
        <c:minorUnit val="0.1"/>
      </c:valAx>
      <c:spPr>
        <a:solidFill>
          <a:srgbClr val="FFFFFF"/>
        </a:solidFill>
        <a:ln w="3175">
          <a:noFill/>
        </a:ln>
      </c:spPr>
    </c:plotArea>
    <c:plotVisOnly val="1"/>
    <c:dispBlanksAs val="gap"/>
    <c:showDLblsOverMax val="0"/>
  </c:chart>
  <c:spPr>
    <a:noFill/>
    <a:ln w="3175">
      <a:solidFill>
        <a:srgbClr val="000000"/>
      </a:solidFill>
    </a:ln>
  </c:spPr>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Current Averaging Transfer Function</a:t>
            </a:r>
          </a:p>
        </c:rich>
      </c:tx>
      <c:layout>
        <c:manualLayout>
          <c:xMode val="factor"/>
          <c:yMode val="factor"/>
          <c:x val="0.03"/>
          <c:y val="0.014"/>
        </c:manualLayout>
      </c:layout>
      <c:spPr>
        <a:noFill/>
        <a:ln w="3175">
          <a:noFill/>
        </a:ln>
      </c:spPr>
    </c:title>
    <c:plotArea>
      <c:layout>
        <c:manualLayout>
          <c:xMode val="edge"/>
          <c:yMode val="edge"/>
          <c:x val="0.10725"/>
          <c:y val="0.14375"/>
          <c:w val="0.788"/>
          <c:h val="0.664"/>
        </c:manualLayout>
      </c:layout>
      <c:scatterChart>
        <c:scatterStyle val="smooth"/>
        <c:varyColors val="0"/>
        <c:ser>
          <c:idx val="0"/>
          <c:order val="0"/>
          <c:tx>
            <c:v>Gain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data!$B$114:$B$164</c:f>
              <c:numCache/>
            </c:numRef>
          </c:xVal>
          <c:yVal>
            <c:numRef>
              <c:f>data!$E$114:$E$164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1"/>
        </c:ser>
        <c:axId val="28325890"/>
        <c:axId val="53606419"/>
      </c:scatterChart>
      <c:scatterChart>
        <c:scatterStyle val="lineMarker"/>
        <c:varyColors val="0"/>
        <c:ser>
          <c:idx val="1"/>
          <c:order val="1"/>
          <c:tx>
            <c:v>Phase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data!$B$114:$B$164</c:f>
              <c:numCache/>
            </c:numRef>
          </c:xVal>
          <c:yVal>
            <c:numRef>
              <c:f>data!$F$114:$F$164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1"/>
        </c:ser>
        <c:axId val="12695724"/>
        <c:axId val="47152653"/>
      </c:scatterChart>
      <c:valAx>
        <c:axId val="28325890"/>
        <c:scaling>
          <c:logBase val="10"/>
          <c:orientation val="minMax"/>
          <c:max val="1000000"/>
          <c:min val="10"/>
        </c:scaling>
        <c:axPos val="b"/>
        <c:title>
          <c:tx>
            <c:rich>
              <a:bodyPr vert="horz" rot="0" anchor="ctr"/>
              <a:lstStyle/>
              <a:p>
                <a:pPr algn="ctr">
                  <a:defRPr/>
                </a:pPr>
                <a:r>
                  <a:rPr lang="en-US" cap="none" sz="1075" b="1" i="0" u="none" baseline="0">
                    <a:solidFill>
                      <a:srgbClr val="000000"/>
                    </a:solidFill>
                    <a:latin typeface="Arial"/>
                    <a:ea typeface="Arial"/>
                    <a:cs typeface="Arial"/>
                  </a:rPr>
                  <a:t>Frequency (Hz)</a:t>
                </a:r>
              </a:p>
            </c:rich>
          </c:tx>
          <c:layout>
            <c:manualLayout>
              <c:xMode val="factor"/>
              <c:yMode val="factor"/>
              <c:x val="-0.109"/>
              <c:y val="0.0512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3606419"/>
        <c:crossesAt val="-100"/>
        <c:crossBetween val="midCat"/>
        <c:dispUnits/>
        <c:majorUnit val="10"/>
        <c:minorUnit val="10"/>
      </c:valAx>
      <c:valAx>
        <c:axId val="53606419"/>
        <c:scaling>
          <c:orientation val="minMax"/>
          <c:max val="100"/>
          <c:min val="-100"/>
        </c:scaling>
        <c:axPos val="l"/>
        <c:title>
          <c:tx>
            <c:rich>
              <a:bodyPr vert="horz" rot="-5400000" anchor="ctr"/>
              <a:lstStyle/>
              <a:p>
                <a:pPr algn="ctr">
                  <a:defRPr/>
                </a:pPr>
                <a:r>
                  <a:rPr lang="en-US" cap="none" sz="1075" b="1" i="0" u="none" baseline="0">
                    <a:solidFill>
                      <a:srgbClr val="000000"/>
                    </a:solidFill>
                    <a:latin typeface="Arial"/>
                    <a:ea typeface="Arial"/>
                    <a:cs typeface="Arial"/>
                  </a:rPr>
                  <a:t>Gain (dB)</a:t>
                </a:r>
              </a:p>
            </c:rich>
          </c:tx>
          <c:layout>
            <c:manualLayout>
              <c:xMode val="factor"/>
              <c:yMode val="factor"/>
              <c:x val="0.00425"/>
              <c:y val="0.068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8325890"/>
        <c:crossesAt val="10"/>
        <c:crossBetween val="midCat"/>
        <c:dispUnits/>
        <c:majorUnit val="20"/>
        <c:minorUnit val="10"/>
      </c:valAx>
      <c:valAx>
        <c:axId val="12695724"/>
        <c:scaling>
          <c:logBase val="10"/>
          <c:orientation val="minMax"/>
        </c:scaling>
        <c:axPos val="b"/>
        <c:delete val="0"/>
        <c:numFmt formatCode="General" sourceLinked="1"/>
        <c:majorTickMark val="out"/>
        <c:minorTickMark val="none"/>
        <c:tickLblPos val="nextTo"/>
        <c:spPr>
          <a:ln w="3175">
            <a:noFill/>
          </a:ln>
        </c:spPr>
        <c:crossAx val="47152653"/>
        <c:crossesAt val="-180"/>
        <c:crossBetween val="midCat"/>
        <c:dispUnits/>
      </c:valAx>
      <c:valAx>
        <c:axId val="47152653"/>
        <c:scaling>
          <c:orientation val="minMax"/>
          <c:max val="-80"/>
          <c:min val="-180"/>
        </c:scaling>
        <c:axPos val="l"/>
        <c:title>
          <c:tx>
            <c:rich>
              <a:bodyPr vert="horz" rot="5400000" anchor="ctr"/>
              <a:lstStyle/>
              <a:p>
                <a:pPr algn="ctr">
                  <a:defRPr/>
                </a:pPr>
                <a:r>
                  <a:rPr lang="en-US" cap="none" sz="1000" b="1" i="0" u="none" baseline="0">
                    <a:solidFill>
                      <a:srgbClr val="000000"/>
                    </a:solidFill>
                    <a:latin typeface="Arial"/>
                    <a:ea typeface="Arial"/>
                    <a:cs typeface="Arial"/>
                  </a:rPr>
                  <a:t>Phase (degrees)</a:t>
                </a:r>
              </a:p>
            </c:rich>
          </c:tx>
          <c:layout>
            <c:manualLayout>
              <c:xMode val="factor"/>
              <c:yMode val="factor"/>
              <c:x val="0.0015"/>
              <c:y val="0.081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2695724"/>
        <c:crosses val="max"/>
        <c:crossBetween val="midCat"/>
        <c:dispUnits/>
        <c:minorUnit val="10"/>
      </c:valAx>
      <c:spPr>
        <a:gradFill rotWithShape="1">
          <a:gsLst>
            <a:gs pos="0">
              <a:srgbClr val="000000"/>
            </a:gs>
            <a:gs pos="100000">
              <a:srgbClr val="FFFFFF"/>
            </a:gs>
          </a:gsLst>
          <a:lin ang="5400000" scaled="1"/>
        </a:gradFill>
        <a:ln w="12700">
          <a:solidFill>
            <a:srgbClr val="808080"/>
          </a:solidFill>
        </a:ln>
      </c:spPr>
    </c:plotArea>
    <c:legend>
      <c:legendPos val="r"/>
      <c:layout>
        <c:manualLayout>
          <c:xMode val="edge"/>
          <c:yMode val="edge"/>
          <c:x val="0.4025"/>
          <c:y val="0.9375"/>
          <c:w val="0.1905"/>
          <c:h val="0.04475"/>
        </c:manualLayout>
      </c:layout>
      <c:overlay val="0"/>
      <c:spPr>
        <a:solidFill>
          <a:srgbClr val="FFFFFF"/>
        </a:solidFill>
        <a:ln w="3175">
          <a:solidFill>
            <a:srgbClr val="000000"/>
          </a:solidFill>
        </a:ln>
      </c:spPr>
      <c:txPr>
        <a:bodyPr vert="horz" rot="0"/>
        <a:lstStyle/>
        <a:p>
          <a:pPr>
            <a:defRPr lang="en-US" cap="none" sz="8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Voltage Loop Transfer Function</a:t>
            </a:r>
          </a:p>
        </c:rich>
      </c:tx>
      <c:layout>
        <c:manualLayout>
          <c:xMode val="factor"/>
          <c:yMode val="factor"/>
          <c:x val="-0.00375"/>
          <c:y val="0.01325"/>
        </c:manualLayout>
      </c:layout>
      <c:spPr>
        <a:noFill/>
        <a:ln w="3175">
          <a:noFill/>
        </a:ln>
      </c:spPr>
    </c:title>
    <c:plotArea>
      <c:layout>
        <c:manualLayout>
          <c:xMode val="edge"/>
          <c:yMode val="edge"/>
          <c:x val="0.1075"/>
          <c:y val="0.147"/>
          <c:w val="0.786"/>
          <c:h val="0.6595"/>
        </c:manualLayout>
      </c:layout>
      <c:scatterChart>
        <c:scatterStyle val="smooth"/>
        <c:varyColors val="0"/>
        <c:ser>
          <c:idx val="0"/>
          <c:order val="0"/>
          <c:tx>
            <c:v>Total Open Loop Gain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data!$H$114:$H$164</c:f>
              <c:numCache/>
            </c:numRef>
          </c:xVal>
          <c:yVal>
            <c:numRef>
              <c:f>data!$N$114:$N$164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1"/>
        </c:ser>
        <c:ser>
          <c:idx val="1"/>
          <c:order val="1"/>
          <c:tx>
            <c:v>PWM_PS Gain</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data!$H$114:$H$164</c:f>
              <c:numCache/>
            </c:numRef>
          </c:xVal>
          <c:yVal>
            <c:numRef>
              <c:f>data!$L$114:$L$164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1"/>
        </c:ser>
        <c:axId val="21720694"/>
        <c:axId val="61268519"/>
      </c:scatterChart>
      <c:scatterChart>
        <c:scatterStyle val="lineMarker"/>
        <c:varyColors val="0"/>
        <c:ser>
          <c:idx val="2"/>
          <c:order val="2"/>
          <c:tx>
            <c:v>Total Open Loop Phase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data!$H$114:$H$164</c:f>
              <c:numCache/>
            </c:numRef>
          </c:xVal>
          <c:yVal>
            <c:numRef>
              <c:f>data!$O$114:$O$164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1"/>
        </c:ser>
        <c:axId val="14545760"/>
        <c:axId val="63802977"/>
      </c:scatterChart>
      <c:valAx>
        <c:axId val="21720694"/>
        <c:scaling>
          <c:logBase val="10"/>
          <c:orientation val="minMax"/>
          <c:max val="1000"/>
          <c:min val="0.01"/>
        </c:scaling>
        <c:axPos val="b"/>
        <c:title>
          <c:tx>
            <c:rich>
              <a:bodyPr vert="horz" rot="0" anchor="ctr"/>
              <a:lstStyle/>
              <a:p>
                <a:pPr algn="ctr">
                  <a:defRPr/>
                </a:pPr>
                <a:r>
                  <a:rPr lang="en-US" cap="none" sz="1050" b="1" i="0" u="none" baseline="0">
                    <a:solidFill>
                      <a:srgbClr val="000000"/>
                    </a:solidFill>
                    <a:latin typeface="Arial"/>
                    <a:ea typeface="Arial"/>
                    <a:cs typeface="Arial"/>
                  </a:rPr>
                  <a:t>Frequency (Hz)</a:t>
                </a:r>
              </a:p>
            </c:rich>
          </c:tx>
          <c:layout>
            <c:manualLayout>
              <c:xMode val="factor"/>
              <c:yMode val="factor"/>
              <c:x val="-0.10875"/>
              <c:y val="0.052"/>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0"/>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61268519"/>
        <c:crossesAt val="-100"/>
        <c:crossBetween val="midCat"/>
        <c:dispUnits/>
        <c:majorUnit val="10"/>
        <c:minorUnit val="10"/>
      </c:valAx>
      <c:valAx>
        <c:axId val="61268519"/>
        <c:scaling>
          <c:orientation val="minMax"/>
          <c:max val="100"/>
          <c:min val="-100"/>
        </c:scaling>
        <c:axPos val="l"/>
        <c:title>
          <c:tx>
            <c:rich>
              <a:bodyPr vert="horz" rot="-5400000" anchor="ctr"/>
              <a:lstStyle/>
              <a:p>
                <a:pPr algn="ctr">
                  <a:defRPr/>
                </a:pPr>
                <a:r>
                  <a:rPr lang="en-US" cap="none" sz="1050" b="1" i="0" u="none" baseline="0">
                    <a:solidFill>
                      <a:srgbClr val="000000"/>
                    </a:solidFill>
                    <a:latin typeface="Arial"/>
                    <a:ea typeface="Arial"/>
                    <a:cs typeface="Arial"/>
                  </a:rPr>
                  <a:t>Gain (dB)</a:t>
                </a:r>
              </a:p>
            </c:rich>
          </c:tx>
          <c:layout>
            <c:manualLayout>
              <c:xMode val="factor"/>
              <c:yMode val="factor"/>
              <c:x val="0.0045"/>
              <c:y val="0.070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21720694"/>
        <c:crossesAt val="0.01"/>
        <c:crossBetween val="midCat"/>
        <c:dispUnits/>
      </c:valAx>
      <c:valAx>
        <c:axId val="14545760"/>
        <c:scaling>
          <c:logBase val="10"/>
          <c:orientation val="minMax"/>
        </c:scaling>
        <c:axPos val="b"/>
        <c:delete val="0"/>
        <c:numFmt formatCode="General" sourceLinked="1"/>
        <c:majorTickMark val="out"/>
        <c:minorTickMark val="none"/>
        <c:tickLblPos val="nextTo"/>
        <c:spPr>
          <a:ln w="3175">
            <a:noFill/>
          </a:ln>
        </c:spPr>
        <c:crossAx val="63802977"/>
        <c:crosses val="max"/>
        <c:crossBetween val="midCat"/>
        <c:dispUnits/>
      </c:valAx>
      <c:valAx>
        <c:axId val="63802977"/>
        <c:scaling>
          <c:orientation val="minMax"/>
        </c:scaling>
        <c:axPos val="l"/>
        <c:title>
          <c:tx>
            <c:rich>
              <a:bodyPr vert="horz" rot="5400000" anchor="ctr"/>
              <a:lstStyle/>
              <a:p>
                <a:pPr algn="ctr">
                  <a:defRPr/>
                </a:pPr>
                <a:r>
                  <a:rPr lang="en-US" cap="none" sz="1050" b="1" i="0" u="none" baseline="0">
                    <a:solidFill>
                      <a:srgbClr val="000000"/>
                    </a:solidFill>
                    <a:latin typeface="Arial"/>
                    <a:ea typeface="Arial"/>
                    <a:cs typeface="Arial"/>
                  </a:rPr>
                  <a:t>Phase (degrees)</a:t>
                </a:r>
              </a:p>
            </c:rich>
          </c:tx>
          <c:layout>
            <c:manualLayout>
              <c:xMode val="factor"/>
              <c:yMode val="factor"/>
              <c:x val="0.00475"/>
              <c:y val="0.084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14545760"/>
        <c:crosses val="max"/>
        <c:crossBetween val="midCat"/>
        <c:dispUnits/>
      </c:valAx>
      <c:spPr>
        <a:gradFill rotWithShape="1">
          <a:gsLst>
            <a:gs pos="0">
              <a:srgbClr val="000000"/>
            </a:gs>
            <a:gs pos="100000">
              <a:srgbClr val="FFFFFF"/>
            </a:gs>
          </a:gsLst>
          <a:lin ang="5400000" scaled="1"/>
        </a:gradFill>
        <a:ln w="12700">
          <a:solidFill>
            <a:srgbClr val="808080"/>
          </a:solidFill>
        </a:ln>
      </c:spPr>
    </c:plotArea>
    <c:legend>
      <c:legendPos val="r"/>
      <c:layout>
        <c:manualLayout>
          <c:xMode val="edge"/>
          <c:yMode val="edge"/>
          <c:x val="0.162"/>
          <c:y val="0.942"/>
          <c:w val="0.67925"/>
          <c:h val="0.0455"/>
        </c:manualLayout>
      </c:layout>
      <c:overlay val="0"/>
      <c:spPr>
        <a:solidFill>
          <a:srgbClr val="FFFFFF"/>
        </a:solidFill>
        <a:ln w="3175">
          <a:solidFill>
            <a:srgbClr val="000000"/>
          </a:solidFill>
        </a:ln>
      </c:spPr>
      <c:txPr>
        <a:bodyPr vert="horz" rot="0"/>
        <a:lstStyle/>
        <a:p>
          <a:pPr>
            <a:defRPr lang="en-US" cap="none" sz="8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Voltage Closed-Loop Bode Plot</a:t>
            </a:r>
          </a:p>
        </c:rich>
      </c:tx>
      <c:layout>
        <c:manualLayout>
          <c:xMode val="factor"/>
          <c:yMode val="factor"/>
          <c:x val="-0.02125"/>
          <c:y val="0.015"/>
        </c:manualLayout>
      </c:layout>
      <c:spPr>
        <a:noFill/>
        <a:ln w="3175">
          <a:noFill/>
        </a:ln>
      </c:spPr>
    </c:title>
    <c:plotArea>
      <c:layout>
        <c:manualLayout>
          <c:xMode val="edge"/>
          <c:yMode val="edge"/>
          <c:x val="0.115"/>
          <c:y val="0.14175"/>
          <c:w val="0.77725"/>
          <c:h val="0.65925"/>
        </c:manualLayout>
      </c:layout>
      <c:scatterChart>
        <c:scatterStyle val="smooth"/>
        <c:varyColors val="0"/>
        <c:ser>
          <c:idx val="0"/>
          <c:order val="0"/>
          <c:tx>
            <c:v>EA Gain</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data!$H$114:$H$164</c:f>
              <c:numCache/>
            </c:numRef>
          </c:xVal>
          <c:yVal>
            <c:numRef>
              <c:f>data!$Q$114:$Q$164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1"/>
        </c:ser>
        <c:ser>
          <c:idx val="1"/>
          <c:order val="1"/>
          <c:tx>
            <c:v>Total Closed  Loop Gain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data!$H$114:$H$164</c:f>
              <c:numCache/>
            </c:numRef>
          </c:xVal>
          <c:yVal>
            <c:numRef>
              <c:f>data!$S$114:$S$164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1"/>
        </c:ser>
        <c:axId val="37355882"/>
        <c:axId val="658619"/>
      </c:scatterChart>
      <c:scatterChart>
        <c:scatterStyle val="lineMarker"/>
        <c:varyColors val="0"/>
        <c:ser>
          <c:idx val="2"/>
          <c:order val="2"/>
          <c:tx>
            <c:v>Total Closed Loop Phase Margin</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data!$H$114:$H$164</c:f>
              <c:numCache/>
            </c:numRef>
          </c:xVal>
          <c:yVal>
            <c:numRef>
              <c:f>data!$T$114:$T$164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1"/>
        </c:ser>
        <c:axId val="5927572"/>
        <c:axId val="53348149"/>
      </c:scatterChart>
      <c:valAx>
        <c:axId val="37355882"/>
        <c:scaling>
          <c:logBase val="10"/>
          <c:orientation val="minMax"/>
          <c:max val="1000"/>
          <c:min val="0.01"/>
        </c:scaling>
        <c:axPos val="b"/>
        <c:title>
          <c:tx>
            <c:rich>
              <a:bodyPr vert="horz" rot="0" anchor="ctr"/>
              <a:lstStyle/>
              <a:p>
                <a:pPr algn="ctr">
                  <a:defRPr/>
                </a:pPr>
                <a:r>
                  <a:rPr lang="en-US" cap="none" sz="1150" b="1" i="0" u="none" baseline="0">
                    <a:solidFill>
                      <a:srgbClr val="000000"/>
                    </a:solidFill>
                    <a:latin typeface="Arial"/>
                    <a:ea typeface="Arial"/>
                    <a:cs typeface="Arial"/>
                  </a:rPr>
                  <a:t>Frequency (Hz)</a:t>
                </a:r>
              </a:p>
            </c:rich>
          </c:tx>
          <c:layout>
            <c:manualLayout>
              <c:xMode val="factor"/>
              <c:yMode val="factor"/>
              <c:x val="-0.10475"/>
              <c:y val="0.0502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0"/>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658619"/>
        <c:crossesAt val="-150"/>
        <c:crossBetween val="midCat"/>
        <c:dispUnits/>
        <c:majorUnit val="10"/>
        <c:minorUnit val="10"/>
      </c:valAx>
      <c:valAx>
        <c:axId val="658619"/>
        <c:scaling>
          <c:orientation val="minMax"/>
          <c:max val="100"/>
        </c:scaling>
        <c:axPos val="l"/>
        <c:title>
          <c:tx>
            <c:rich>
              <a:bodyPr vert="horz" rot="-5400000" anchor="ctr"/>
              <a:lstStyle/>
              <a:p>
                <a:pPr algn="ctr">
                  <a:defRPr/>
                </a:pPr>
                <a:r>
                  <a:rPr lang="en-US" cap="none" sz="1150" b="1" i="0" u="none" baseline="0">
                    <a:solidFill>
                      <a:srgbClr val="000000"/>
                    </a:solidFill>
                    <a:latin typeface="Arial"/>
                    <a:ea typeface="Arial"/>
                    <a:cs typeface="Arial"/>
                  </a:rPr>
                  <a:t>Gain (dB)</a:t>
                </a:r>
              </a:p>
            </c:rich>
          </c:tx>
          <c:layout>
            <c:manualLayout>
              <c:xMode val="factor"/>
              <c:yMode val="factor"/>
              <c:x val="0.0045"/>
              <c:y val="0.069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37355882"/>
        <c:crossesAt val="0.01"/>
        <c:crossBetween val="midCat"/>
        <c:dispUnits/>
      </c:valAx>
      <c:valAx>
        <c:axId val="5927572"/>
        <c:scaling>
          <c:logBase val="10"/>
          <c:orientation val="minMax"/>
        </c:scaling>
        <c:axPos val="b"/>
        <c:delete val="0"/>
        <c:numFmt formatCode="General" sourceLinked="1"/>
        <c:majorTickMark val="out"/>
        <c:minorTickMark val="none"/>
        <c:tickLblPos val="nextTo"/>
        <c:spPr>
          <a:ln w="3175">
            <a:noFill/>
          </a:ln>
        </c:spPr>
        <c:crossAx val="53348149"/>
        <c:crosses val="max"/>
        <c:crossBetween val="midCat"/>
        <c:dispUnits/>
      </c:valAx>
      <c:valAx>
        <c:axId val="53348149"/>
        <c:scaling>
          <c:orientation val="minMax"/>
          <c:max val="100"/>
          <c:min val="0"/>
        </c:scaling>
        <c:axPos val="l"/>
        <c:title>
          <c:tx>
            <c:rich>
              <a:bodyPr vert="horz" rot="5400000" anchor="ctr"/>
              <a:lstStyle/>
              <a:p>
                <a:pPr algn="ctr">
                  <a:defRPr/>
                </a:pPr>
                <a:r>
                  <a:rPr lang="en-US" cap="none" sz="1125" b="1" i="0" u="none" baseline="0">
                    <a:solidFill>
                      <a:srgbClr val="000000"/>
                    </a:solidFill>
                    <a:latin typeface="Arial"/>
                    <a:ea typeface="Arial"/>
                    <a:cs typeface="Arial"/>
                  </a:rPr>
                  <a:t>Phase (degrees)</a:t>
                </a:r>
              </a:p>
            </c:rich>
          </c:tx>
          <c:layout>
            <c:manualLayout>
              <c:xMode val="factor"/>
              <c:yMode val="factor"/>
              <c:x val="0.005"/>
              <c:y val="0.084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5927572"/>
        <c:crosses val="max"/>
        <c:crossBetween val="midCat"/>
        <c:dispUnits/>
        <c:majorUnit val="20"/>
      </c:valAx>
      <c:spPr>
        <a:gradFill rotWithShape="1">
          <a:gsLst>
            <a:gs pos="0">
              <a:srgbClr val="000000"/>
            </a:gs>
            <a:gs pos="100000">
              <a:srgbClr val="FFFFFF"/>
            </a:gs>
          </a:gsLst>
          <a:lin ang="5400000" scaled="1"/>
        </a:gradFill>
        <a:ln w="12700">
          <a:solidFill>
            <a:srgbClr val="808080"/>
          </a:solidFill>
        </a:ln>
      </c:spPr>
    </c:plotArea>
    <c:legend>
      <c:legendPos val="r"/>
      <c:layout>
        <c:manualLayout>
          <c:xMode val="edge"/>
          <c:yMode val="edge"/>
          <c:x val="0.15025"/>
          <c:y val="0.93875"/>
          <c:w val="0.704"/>
          <c:h val="0.04375"/>
        </c:manualLayout>
      </c:layout>
      <c:overlay val="0"/>
      <c:spPr>
        <a:solidFill>
          <a:srgbClr val="FFFFFF"/>
        </a:solidFill>
        <a:ln w="3175">
          <a:solidFill>
            <a:srgbClr val="000000"/>
          </a:solidFill>
        </a:ln>
      </c:spPr>
      <c:txPr>
        <a:bodyPr vert="horz" rot="0"/>
        <a:lstStyle/>
        <a:p>
          <a:pPr>
            <a:defRPr lang="en-US" cap="none" sz="8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VCOMP &amp; ICOMP at Full Load as a Function of Line Voltage</a:t>
            </a:r>
          </a:p>
        </c:rich>
      </c:tx>
      <c:layout>
        <c:manualLayout>
          <c:xMode val="factor"/>
          <c:yMode val="factor"/>
          <c:x val="-0.0025"/>
          <c:y val="0.00925"/>
        </c:manualLayout>
      </c:layout>
      <c:spPr>
        <a:noFill/>
        <a:ln w="3175">
          <a:noFill/>
        </a:ln>
      </c:spPr>
    </c:title>
    <c:plotArea>
      <c:layout>
        <c:manualLayout>
          <c:xMode val="edge"/>
          <c:yMode val="edge"/>
          <c:x val="0.07775"/>
          <c:y val="0.1285"/>
          <c:w val="0.754"/>
          <c:h val="0.699"/>
        </c:manualLayout>
      </c:layout>
      <c:scatterChart>
        <c:scatterStyle val="lineMarker"/>
        <c:varyColors val="0"/>
        <c:ser>
          <c:idx val="0"/>
          <c:order val="0"/>
          <c:tx>
            <c:strRef>
              <c:f>VCOMP!$W$6</c:f>
              <c:strCache>
                <c:ptCount val="1"/>
                <c:pt idx="0">
                  <c:v>VCOMP</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VCOMP!$G$7:$G$187</c:f>
              <c:numCache/>
            </c:numRef>
          </c:xVal>
          <c:yVal>
            <c:numRef>
              <c:f>VCOMP!$W$7:$W$187</c:f>
              <c:numCache>
                <c:ptCount val="181"/>
                <c:pt idx="0">
                  <c:v>2.2432034132530645</c:v>
                </c:pt>
                <c:pt idx="1">
                  <c:v>2.2381465785244017</c:v>
                </c:pt>
                <c:pt idx="2">
                  <c:v>2.233137782625024</c:v>
                </c:pt>
                <c:pt idx="3">
                  <c:v>2.2281763227568114</c:v>
                </c:pt>
                <c:pt idx="4">
                  <c:v>2.2232615101506688</c:v>
                </c:pt>
                <c:pt idx="5">
                  <c:v>2.21839266971214</c:v>
                </c:pt>
                <c:pt idx="6">
                  <c:v>2.213569139677833</c:v>
                </c:pt>
                <c:pt idx="7">
                  <c:v>2.2087902712822647</c:v>
                </c:pt>
                <c:pt idx="8">
                  <c:v>2.204055428434764</c:v>
                </c:pt>
                <c:pt idx="9">
                  <c:v>2.199363987406073</c:v>
                </c:pt>
                <c:pt idx="10">
                  <c:v>2.1947153365243053</c:v>
                </c:pt>
                <c:pt idx="11">
                  <c:v>2.190108875879937</c:v>
                </c:pt>
                <c:pt idx="12">
                  <c:v>2.185544017039513</c:v>
                </c:pt>
                <c:pt idx="13">
                  <c:v>2.1810201827677727</c:v>
                </c:pt>
                <c:pt idx="14">
                  <c:v>2.176536806757899</c:v>
                </c:pt>
                <c:pt idx="15">
                  <c:v>2.1720933333696175</c:v>
                </c:pt>
                <c:pt idx="16">
                  <c:v>2.167689217374875</c:v>
                </c:pt>
                <c:pt idx="17">
                  <c:v>2.163323923710845</c:v>
                </c:pt>
                <c:pt idx="18">
                  <c:v>2.1589969272400054</c:v>
                </c:pt>
                <c:pt idx="19">
                  <c:v>2.1547077125170646</c:v>
                </c:pt>
                <c:pt idx="20">
                  <c:v>2.15045577356249</c:v>
                </c:pt>
                <c:pt idx="21">
                  <c:v>2.146240613642436</c:v>
                </c:pt>
                <c:pt idx="22">
                  <c:v>2.1420617450548494</c:v>
                </c:pt>
                <c:pt idx="23">
                  <c:v>2.1379186889215527</c:v>
                </c:pt>
                <c:pt idx="24">
                  <c:v>2.1338109749861114</c:v>
                </c:pt>
                <c:pt idx="25">
                  <c:v>2.129738141417293</c:v>
                </c:pt>
                <c:pt idx="26">
                  <c:v>2.125699734617943</c:v>
                </c:pt>
                <c:pt idx="27">
                  <c:v>2.1216953090390933</c:v>
                </c:pt>
                <c:pt idx="28">
                  <c:v>2.1177244269991466</c:v>
                </c:pt>
                <c:pt idx="29">
                  <c:v>2.1137866585079634</c:v>
                </c:pt>
                <c:pt idx="30">
                  <c:v>2.109881581095707</c:v>
                </c:pt>
                <c:pt idx="31">
                  <c:v>2.106008779646288</c:v>
                </c:pt>
                <c:pt idx="32">
                  <c:v>2.1021678462352638</c:v>
                </c:pt>
                <c:pt idx="33">
                  <c:v>2.09835837997206</c:v>
                </c:pt>
                <c:pt idx="34">
                  <c:v>2.0945799868463713</c:v>
                </c:pt>
                <c:pt idx="35">
                  <c:v>2.090832279578616</c:v>
                </c:pt>
                <c:pt idx="36">
                  <c:v>2.087114877474321</c:v>
                </c:pt>
                <c:pt idx="37">
                  <c:v>2.083427406282309</c:v>
                </c:pt>
                <c:pt idx="38">
                  <c:v>2.079769498056582</c:v>
                </c:pt>
                <c:pt idx="39">
                  <c:v>2.0761407910217766</c:v>
                </c:pt>
                <c:pt idx="40">
                  <c:v>2.0725409294420944</c:v>
                </c:pt>
                <c:pt idx="41">
                  <c:v>2.0689695634935936</c:v>
                </c:pt>
                <c:pt idx="42">
                  <c:v>2.065426349139745</c:v>
                </c:pt>
                <c:pt idx="43">
                  <c:v>2.0619109480101545</c:v>
                </c:pt>
                <c:pt idx="44">
                  <c:v>2.058423027282357</c:v>
                </c:pt>
                <c:pt idx="45">
                  <c:v>2.05496225956659</c:v>
                </c:pt>
                <c:pt idx="46">
                  <c:v>2.051528322793462</c:v>
                </c:pt>
                <c:pt idx="47">
                  <c:v>2.0481209001044234</c:v>
                </c:pt>
                <c:pt idx="48">
                  <c:v>2.04473967974497</c:v>
                </c:pt>
                <c:pt idx="49">
                  <c:v>2.0413843549604844</c:v>
                </c:pt>
                <c:pt idx="50">
                  <c:v>2.0380546238946535</c:v>
                </c:pt>
                <c:pt idx="51">
                  <c:v>2.0347501894903757</c:v>
                </c:pt>
                <c:pt idx="52">
                  <c:v>2.031470759393094</c:v>
                </c:pt>
                <c:pt idx="53">
                  <c:v>2.028216045856482</c:v>
                </c:pt>
                <c:pt idx="54">
                  <c:v>2.024985765650417</c:v>
                </c:pt>
                <c:pt idx="55">
                  <c:v>2.0217796399711725</c:v>
                </c:pt>
                <c:pt idx="56">
                  <c:v>2.0185973943537743</c:v>
                </c:pt>
                <c:pt idx="57">
                  <c:v>2.0154387585864484</c:v>
                </c:pt>
                <c:pt idx="58">
                  <c:v>2.0123034666271136</c:v>
                </c:pt>
                <c:pt idx="59">
                  <c:v>2.009191256521853</c:v>
                </c:pt>
                <c:pt idx="60">
                  <c:v>2.006101870325314</c:v>
                </c:pt>
                <c:pt idx="61">
                  <c:v>2.0030350540229835</c:v>
                </c:pt>
                <c:pt idx="62">
                  <c:v>0</c:v>
                </c:pt>
                <c:pt idx="63">
                  <c:v>1.998203311865022</c:v>
                </c:pt>
                <c:pt idx="64">
                  <c:v>1.9941676236123818</c:v>
                </c:pt>
                <c:pt idx="65">
                  <c:v>1.9901594135996992</c:v>
                </c:pt>
                <c:pt idx="66">
                  <c:v>1.9861783837494622</c:v>
                </c:pt>
                <c:pt idx="67">
                  <c:v>1.9822242404121009</c:v>
                </c:pt>
                <c:pt idx="68">
                  <c:v>1.9782966942826095</c:v>
                </c:pt>
                <c:pt idx="69">
                  <c:v>1.9743954603190645</c:v>
                </c:pt>
                <c:pt idx="70">
                  <c:v>1.9705202576629977</c:v>
                </c:pt>
                <c:pt idx="71">
                  <c:v>1.9666708095615593</c:v>
                </c:pt>
                <c:pt idx="72">
                  <c:v>1.9628468432914397</c:v>
                </c:pt>
                <c:pt idx="73">
                  <c:v>1.9590480900844938</c:v>
                </c:pt>
                <c:pt idx="74">
                  <c:v>1.955274285055025</c:v>
                </c:pt>
                <c:pt idx="75">
                  <c:v>1.9515251671286875</c:v>
                </c:pt>
                <c:pt idx="76">
                  <c:v>1.9478004789729604</c:v>
                </c:pt>
                <c:pt idx="77">
                  <c:v>1.944099966929162</c:v>
                </c:pt>
                <c:pt idx="78">
                  <c:v>1.9404233809459521</c:v>
                </c:pt>
                <c:pt idx="79">
                  <c:v>1.9367704745142924</c:v>
                </c:pt>
                <c:pt idx="80">
                  <c:v>1.9331410046038262</c:v>
                </c:pt>
                <c:pt idx="81">
                  <c:v>1.92953473160064</c:v>
                </c:pt>
                <c:pt idx="82">
                  <c:v>1.92595141924637</c:v>
                </c:pt>
                <c:pt idx="83">
                  <c:v>1.9223908345786245</c:v>
                </c:pt>
                <c:pt idx="84">
                  <c:v>1.9188527478726844</c:v>
                </c:pt>
                <c:pt idx="85">
                  <c:v>1.915336932584451</c:v>
                </c:pt>
                <c:pt idx="86">
                  <c:v>1.9118431652946093</c:v>
                </c:pt>
                <c:pt idx="87">
                  <c:v>1.9083712256539798</c:v>
                </c:pt>
                <c:pt idx="88">
                  <c:v>1.9049208963300237</c:v>
                </c:pt>
                <c:pt idx="89">
                  <c:v>1.9014919629544775</c:v>
                </c:pt>
                <c:pt idx="90">
                  <c:v>1.8980842140720848</c:v>
                </c:pt>
                <c:pt idx="91">
                  <c:v>1.8946974410904045</c:v>
                </c:pt>
                <c:pt idx="92">
                  <c:v>1.8913314382306634</c:v>
                </c:pt>
                <c:pt idx="93">
                  <c:v>1.8879860024796273</c:v>
                </c:pt>
                <c:pt idx="94">
                  <c:v>1.8846609335424738</c:v>
                </c:pt>
                <c:pt idx="95">
                  <c:v>1.8813560337966293</c:v>
                </c:pt>
                <c:pt idx="96">
                  <c:v>1.8780711082465626</c:v>
                </c:pt>
                <c:pt idx="97">
                  <c:v>1.874805964479496</c:v>
                </c:pt>
                <c:pt idx="98">
                  <c:v>1.8715604126220269</c:v>
                </c:pt>
                <c:pt idx="99">
                  <c:v>1.868334265297623</c:v>
                </c:pt>
                <c:pt idx="100">
                  <c:v>1.8651273375849877</c:v>
                </c:pt>
                <c:pt idx="101">
                  <c:v>1.861939446977257</c:v>
                </c:pt>
                <c:pt idx="102">
                  <c:v>1.8587704133420218</c:v>
                </c:pt>
                <c:pt idx="103">
                  <c:v>1.8556200588821499</c:v>
                </c:pt>
                <c:pt idx="104">
                  <c:v>1.8524882080973892</c:v>
                </c:pt>
                <c:pt idx="105">
                  <c:v>1.8493746877467365</c:v>
                </c:pt>
                <c:pt idx="106">
                  <c:v>1.846279326811552</c:v>
                </c:pt>
                <c:pt idx="107">
                  <c:v>1.8432019564593998</c:v>
                </c:pt>
                <c:pt idx="108">
                  <c:v>1.840142410008606</c:v>
                </c:pt>
                <c:pt idx="109">
                  <c:v>1.837100522893505</c:v>
                </c:pt>
                <c:pt idx="110">
                  <c:v>1.8340761326303712</c:v>
                </c:pt>
                <c:pt idx="111">
                  <c:v>1.8310690787840116</c:v>
                </c:pt>
                <c:pt idx="112">
                  <c:v>1.8280792029350081</c:v>
                </c:pt>
                <c:pt idx="113">
                  <c:v>1.825106348647593</c:v>
                </c:pt>
                <c:pt idx="114">
                  <c:v>1.822150361438144</c:v>
                </c:pt>
                <c:pt idx="115">
                  <c:v>1.8192110887442863</c:v>
                </c:pt>
                <c:pt idx="116">
                  <c:v>1.8162883798945844</c:v>
                </c:pt>
                <c:pt idx="117">
                  <c:v>1.8133820860788128</c:v>
                </c:pt>
                <c:pt idx="118">
                  <c:v>1.8104920603187948</c:v>
                </c:pt>
                <c:pt idx="119">
                  <c:v>1.8076181574397912</c:v>
                </c:pt>
                <c:pt idx="120">
                  <c:v>1.804760234042432</c:v>
                </c:pt>
                <c:pt idx="121">
                  <c:v>1.8019181484751736</c:v>
                </c:pt>
                <c:pt idx="122">
                  <c:v>1.7990917608072783</c:v>
                </c:pt>
                <c:pt idx="123">
                  <c:v>1.7962809328022948</c:v>
                </c:pt>
                <c:pt idx="124">
                  <c:v>1.793485527892035</c:v>
                </c:pt>
                <c:pt idx="125">
                  <c:v>1.790705411151034</c:v>
                </c:pt>
                <c:pt idx="126">
                  <c:v>1.7879404492714857</c:v>
                </c:pt>
                <c:pt idx="127">
                  <c:v>1.7851905105386376</c:v>
                </c:pt>
                <c:pt idx="128">
                  <c:v>1.7824554648066404</c:v>
                </c:pt>
                <c:pt idx="129">
                  <c:v>1.7797351834748425</c:v>
                </c:pt>
                <c:pt idx="130">
                  <c:v>1.7770295394645141</c:v>
                </c:pt>
                <c:pt idx="131">
                  <c:v>1.7743384071959993</c:v>
                </c:pt>
                <c:pt idx="132">
                  <c:v>1.7716616625662804</c:v>
                </c:pt>
                <c:pt idx="133">
                  <c:v>1.7689991829269522</c:v>
                </c:pt>
                <c:pt idx="134">
                  <c:v>1.76635084706259</c:v>
                </c:pt>
                <c:pt idx="135">
                  <c:v>1.7637165351695092</c:v>
                </c:pt>
                <c:pt idx="136">
                  <c:v>1.7610961288349065</c:v>
                </c:pt>
                <c:pt idx="137">
                  <c:v>1.7584895110163727</c:v>
                </c:pt>
                <c:pt idx="138">
                  <c:v>1.7558965660217716</c:v>
                </c:pt>
                <c:pt idx="139">
                  <c:v>1.7533171794894757</c:v>
                </c:pt>
                <c:pt idx="140">
                  <c:v>1.7507512383689536</c:v>
                </c:pt>
                <c:pt idx="141">
                  <c:v>1.7481986309016988</c:v>
                </c:pt>
                <c:pt idx="142">
                  <c:v>1.7456592466024943</c:v>
                </c:pt>
                <c:pt idx="143">
                  <c:v>1.7431329762410086</c:v>
                </c:pt>
                <c:pt idx="144">
                  <c:v>1.740619711823709</c:v>
                </c:pt>
                <c:pt idx="145">
                  <c:v>1.738119346576096</c:v>
                </c:pt>
                <c:pt idx="146">
                  <c:v>1.735631774925241</c:v>
                </c:pt>
                <c:pt idx="147">
                  <c:v>1.7331568924826324</c:v>
                </c:pt>
                <c:pt idx="148">
                  <c:v>1.7306945960273126</c:v>
                </c:pt>
                <c:pt idx="149">
                  <c:v>1.7282447834893113</c:v>
                </c:pt>
                <c:pt idx="150">
                  <c:v>1.7258073539333587</c:v>
                </c:pt>
                <c:pt idx="151">
                  <c:v>1.7233822075428793</c:v>
                </c:pt>
                <c:pt idx="152">
                  <c:v>1.7209692456042616</c:v>
                </c:pt>
                <c:pt idx="153">
                  <c:v>1.7185683704913894</c:v>
                </c:pt>
                <c:pt idx="154">
                  <c:v>1.7161794856504429</c:v>
                </c:pt>
                <c:pt idx="155">
                  <c:v>1.713802495584953</c:v>
                </c:pt>
                <c:pt idx="156">
                  <c:v>1.7114373058411072</c:v>
                </c:pt>
                <c:pt idx="157">
                  <c:v>1.7090838229933047</c:v>
                </c:pt>
                <c:pt idx="158">
                  <c:v>1.706741954629953</c:v>
                </c:pt>
                <c:pt idx="159">
                  <c:v>1.7044116093395032</c:v>
                </c:pt>
                <c:pt idx="160">
                  <c:v>1.702092696696715</c:v>
                </c:pt>
                <c:pt idx="161">
                  <c:v>1.6997851272491529</c:v>
                </c:pt>
                <c:pt idx="162">
                  <c:v>1.6974888125039072</c:v>
                </c:pt>
                <c:pt idx="163">
                  <c:v>1.69520366491453</c:v>
                </c:pt>
                <c:pt idx="164">
                  <c:v>1.69292959786819</c:v>
                </c:pt>
                <c:pt idx="165">
                  <c:v>1.6906665256730409</c:v>
                </c:pt>
                <c:pt idx="166">
                  <c:v>1.6884143635457876</c:v>
                </c:pt>
                <c:pt idx="167">
                  <c:v>1.6861730275994669</c:v>
                </c:pt>
                <c:pt idx="168">
                  <c:v>1.6839424348314185</c:v>
                </c:pt>
                <c:pt idx="169">
                  <c:v>1.6817225031114567</c:v>
                </c:pt>
                <c:pt idx="170">
                  <c:v>1.6795131511702306</c:v>
                </c:pt>
                <c:pt idx="171">
                  <c:v>1.6773142985877745</c:v>
                </c:pt>
                <c:pt idx="172">
                  <c:v>1.6751258657822397</c:v>
                </c:pt>
                <c:pt idx="173">
                  <c:v>1.672947773998812</c:v>
                </c:pt>
                <c:pt idx="174">
                  <c:v>1.670779945298801</c:v>
                </c:pt>
                <c:pt idx="175">
                  <c:v>1.6686223025489104</c:v>
                </c:pt>
                <c:pt idx="176">
                  <c:v>1.6664747694106703</c:v>
                </c:pt>
                <c:pt idx="177">
                  <c:v>1.6643372703300474</c:v>
                </c:pt>
                <c:pt idx="178">
                  <c:v>1.662209730527211</c:v>
                </c:pt>
                <c:pt idx="179">
                  <c:v>1.6600920759864661</c:v>
                </c:pt>
                <c:pt idx="180">
                  <c:v>1.6579842334463435</c:v>
                </c:pt>
              </c:numCache>
            </c:numRef>
          </c:yVal>
          <c:smooth val="0"/>
        </c:ser>
        <c:ser>
          <c:idx val="1"/>
          <c:order val="1"/>
          <c:tx>
            <c:strRef>
              <c:f>VCOMP!$Z$6</c:f>
              <c:strCache>
                <c:ptCount val="1"/>
                <c:pt idx="0">
                  <c:v>ICOMP</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VCOMP!$G$7:$G$187</c:f>
              <c:numCache/>
            </c:numRef>
          </c:xVal>
          <c:yVal>
            <c:numRef>
              <c:f>VCOMP!$Z$7:$Z$187</c:f>
              <c:numCache>
                <c:ptCount val="181"/>
                <c:pt idx="0">
                  <c:v>3.773066379483753</c:v>
                </c:pt>
                <c:pt idx="1">
                  <c:v>3.7703313720751757</c:v>
                </c:pt>
                <c:pt idx="2">
                  <c:v>3.767623689439242</c:v>
                </c:pt>
                <c:pt idx="3">
                  <c:v>3.764942953778124</c:v>
                </c:pt>
                <c:pt idx="4">
                  <c:v>3.76228879423719</c:v>
                </c:pt>
                <c:pt idx="5">
                  <c:v>3.759660846739847</c:v>
                </c:pt>
                <c:pt idx="6">
                  <c:v>3.757058753827171</c:v>
                </c:pt>
                <c:pt idx="7">
                  <c:v>3.7544821645021735</c:v>
                </c:pt>
                <c:pt idx="8">
                  <c:v>3.751930734078528</c:v>
                </c:pt>
                <c:pt idx="9">
                  <c:v>3.7494041240336093</c:v>
                </c:pt>
                <c:pt idx="10">
                  <c:v>3.746902001865716</c:v>
                </c:pt>
                <c:pt idx="11">
                  <c:v>3.744424040955319</c:v>
                </c:pt>
                <c:pt idx="12">
                  <c:v>3.741969920430211</c:v>
                </c:pt>
                <c:pt idx="13">
                  <c:v>3.739539325034421</c:v>
                </c:pt>
                <c:pt idx="14">
                  <c:v>3.737131945000778</c:v>
                </c:pt>
                <c:pt idx="15">
                  <c:v>3.7347474759270005</c:v>
                </c:pt>
                <c:pt idx="16">
                  <c:v>3.7323856186551936</c:v>
                </c:pt>
                <c:pt idx="17">
                  <c:v>3.7300460791546506</c:v>
                </c:pt>
                <c:pt idx="18">
                  <c:v>3.727728568407848</c:v>
                </c:pt>
                <c:pt idx="19">
                  <c:v>3.725432802299517</c:v>
                </c:pt>
                <c:pt idx="20">
                  <c:v>3.723158501508741</c:v>
                </c:pt>
                <c:pt idx="21">
                  <c:v>3.7209053914039094</c:v>
                </c:pt>
                <c:pt idx="22">
                  <c:v>3.718673201940504</c:v>
                </c:pt>
                <c:pt idx="23">
                  <c:v>3.716461667561598</c:v>
                </c:pt>
                <c:pt idx="24">
                  <c:v>3.7142705271009815</c:v>
                </c:pt>
                <c:pt idx="25">
                  <c:v>3.7120995236888423</c:v>
                </c:pt>
                <c:pt idx="26">
                  <c:v>3.7099484046599107</c:v>
                </c:pt>
                <c:pt idx="27">
                  <c:v>3.7078169214640053</c:v>
                </c:pt>
                <c:pt idx="28">
                  <c:v>3.7057048295788975</c:v>
                </c:pt>
                <c:pt idx="29">
                  <c:v>3.7036118884254337</c:v>
                </c:pt>
                <c:pt idx="30">
                  <c:v>3.701537861284824</c:v>
                </c:pt>
                <c:pt idx="31">
                  <c:v>3.699482515218048</c:v>
                </c:pt>
                <c:pt idx="32">
                  <c:v>3.6974456209873408</c:v>
                </c:pt>
                <c:pt idx="33">
                  <c:v>3.695426952979623</c:v>
                </c:pt>
                <c:pt idx="34">
                  <c:v>3.6934262891319025</c:v>
                </c:pt>
                <c:pt idx="35">
                  <c:v>3.6914434108585237</c:v>
                </c:pt>
                <c:pt idx="36">
                  <c:v>3.689478102980246</c:v>
                </c:pt>
                <c:pt idx="37">
                  <c:v>3.687530153655087</c:v>
                </c:pt>
                <c:pt idx="38">
                  <c:v>3.685599354310872</c:v>
                </c:pt>
                <c:pt idx="39">
                  <c:v>3.6836854995794526</c:v>
                </c:pt>
                <c:pt idx="40">
                  <c:v>3.6817883872325314</c:v>
                </c:pt>
                <c:pt idx="41">
                  <c:v>3.6799078181190663</c:v>
                </c:pt>
                <c:pt idx="42">
                  <c:v>3.6780435961041884</c:v>
                </c:pt>
                <c:pt idx="43">
                  <c:v>3.6761955280096017</c:v>
                </c:pt>
                <c:pt idx="44">
                  <c:v>3.6743634235554135</c:v>
                </c:pt>
                <c:pt idx="45">
                  <c:v>3.672547095303376</c:v>
                </c:pt>
                <c:pt idx="46">
                  <c:v>3.670746358601461</c:v>
                </c:pt>
                <c:pt idx="47">
                  <c:v>3.6689610315297805</c:v>
                </c:pt>
                <c:pt idx="48">
                  <c:v>3.6671909348477607</c:v>
                </c:pt>
                <c:pt idx="49">
                  <c:v>3.665435891942586</c:v>
                </c:pt>
                <c:pt idx="50">
                  <c:v>3.66369572877883</c:v>
                </c:pt>
                <c:pt idx="51">
                  <c:v>3.661970273849288</c:v>
                </c:pt>
                <c:pt idx="52">
                  <c:v>3.660259358126937</c:v>
                </c:pt>
                <c:pt idx="53">
                  <c:v>3.6585628150180107</c:v>
                </c:pt>
                <c:pt idx="54">
                  <c:v>3.656880480316173</c:v>
                </c:pt>
                <c:pt idx="55">
                  <c:v>3.65521219215772</c:v>
                </c:pt>
                <c:pt idx="56">
                  <c:v>3.653557790977825</c:v>
                </c:pt>
                <c:pt idx="57">
                  <c:v>3.6519171194677846</c:v>
                </c:pt>
                <c:pt idx="58">
                  <c:v>3.650290022533217</c:v>
                </c:pt>
                <c:pt idx="59">
                  <c:v>3.6486763472532147</c:v>
                </c:pt>
                <c:pt idx="60">
                  <c:v>3.647075942840426</c:v>
                </c:pt>
                <c:pt idx="61">
                  <c:v>3.6454886606020107</c:v>
                </c:pt>
                <c:pt idx="62">
                  <c:v>1.2020299045638247</c:v>
                </c:pt>
                <c:pt idx="63">
                  <c:v>3.633013513971694</c:v>
                </c:pt>
                <c:pt idx="64">
                  <c:v>3.627131093232681</c:v>
                </c:pt>
                <c:pt idx="65">
                  <c:v>3.621275792348516</c:v>
                </c:pt>
                <c:pt idx="66">
                  <c:v>3.6154473586739995</c:v>
                </c:pt>
                <c:pt idx="67">
                  <c:v>3.6096455429506404</c:v>
                </c:pt>
                <c:pt idx="68">
                  <c:v>3.603870099247647</c:v>
                </c:pt>
                <c:pt idx="69">
                  <c:v>3.598120784904202</c:v>
                </c:pt>
                <c:pt idx="70">
                  <c:v>3.592397360472934</c:v>
                </c:pt>
                <c:pt idx="71">
                  <c:v>3.5866995896646214</c:v>
                </c:pt>
                <c:pt idx="72">
                  <c:v>3.581027239294042</c:v>
                </c:pt>
                <c:pt idx="73">
                  <c:v>3.5753800792269774</c:v>
                </c:pt>
                <c:pt idx="74">
                  <c:v>3.569757882328314</c:v>
                </c:pt>
                <c:pt idx="75">
                  <c:v>3.5641604244112415</c:v>
                </c:pt>
                <c:pt idx="76">
                  <c:v>3.55858748418751</c:v>
                </c:pt>
                <c:pt idx="77">
                  <c:v>3.5530388432186912</c:v>
                </c:pt>
                <c:pt idx="78">
                  <c:v>3.5475142858684876</c:v>
                </c:pt>
                <c:pt idx="79">
                  <c:v>3.542013599255984</c:v>
                </c:pt>
                <c:pt idx="80">
                  <c:v>3.536536573209879</c:v>
                </c:pt>
                <c:pt idx="81">
                  <c:v>3.531083000223646</c:v>
                </c:pt>
                <c:pt idx="82">
                  <c:v>3.5256526754115995</c:v>
                </c:pt>
                <c:pt idx="83">
                  <c:v>3.5202453964658553</c:v>
                </c:pt>
                <c:pt idx="84">
                  <c:v>3.5148609636141597</c:v>
                </c:pt>
                <c:pt idx="85">
                  <c:v>3.5094991795785644</c:v>
                </c:pt>
                <c:pt idx="86">
                  <c:v>3.504159849534929</c:v>
                </c:pt>
                <c:pt idx="87">
                  <c:v>3.4988427810732348</c:v>
                </c:pt>
                <c:pt idx="88">
                  <c:v>3.493547784158677</c:v>
                </c:pt>
                <c:pt idx="89">
                  <c:v>3.4882746710935355</c:v>
                </c:pt>
                <c:pt idx="90">
                  <c:v>3.483023256479803</c:v>
                </c:pt>
                <c:pt idx="91">
                  <c:v>3.47779335718253</c:v>
                </c:pt>
                <c:pt idx="92">
                  <c:v>3.472584792293901</c:v>
                </c:pt>
                <c:pt idx="93">
                  <c:v>3.4673973830980147</c:v>
                </c:pt>
                <c:pt idx="94">
                  <c:v>3.4622309530363276</c:v>
                </c:pt>
                <c:pt idx="95">
                  <c:v>3.4570853276737954</c:v>
                </c:pt>
                <c:pt idx="96">
                  <c:v>3.451960334665643</c:v>
                </c:pt>
                <c:pt idx="97">
                  <c:v>3.4468558037247865</c:v>
                </c:pt>
                <c:pt idx="98">
                  <c:v>3.4417715665898743</c:v>
                </c:pt>
                <c:pt idx="99">
                  <c:v>3.4367074569939438</c:v>
                </c:pt>
                <c:pt idx="100">
                  <c:v>3.431663310633661</c:v>
                </c:pt>
                <c:pt idx="101">
                  <c:v>3.42663896513916</c:v>
                </c:pt>
                <c:pt idx="102">
                  <c:v>3.4216342600444394</c:v>
                </c:pt>
                <c:pt idx="103">
                  <c:v>3.4166490367583164</c:v>
                </c:pt>
                <c:pt idx="104">
                  <c:v>3.4116831385359356</c:v>
                </c:pt>
                <c:pt idx="105">
                  <c:v>3.4067364104508</c:v>
                </c:pt>
                <c:pt idx="106">
                  <c:v>3.4018086993673182</c:v>
                </c:pt>
                <c:pt idx="107">
                  <c:v>3.39689985391388</c:v>
                </c:pt>
                <c:pt idx="108">
                  <c:v>3.392009724456407</c:v>
                </c:pt>
                <c:pt idx="109">
                  <c:v>3.387138163072408</c:v>
                </c:pt>
                <c:pt idx="110">
                  <c:v>3.3822850235255015</c:v>
                </c:pt>
                <c:pt idx="111">
                  <c:v>3.377450161240404</c:v>
                </c:pt>
                <c:pt idx="112">
                  <c:v>3.3726334332783785</c:v>
                </c:pt>
                <c:pt idx="113">
                  <c:v>3.3678346983131275</c:v>
                </c:pt>
                <c:pt idx="114">
                  <c:v>3.3630538166071196</c:v>
                </c:pt>
                <c:pt idx="115">
                  <c:v>3.358290649988348</c:v>
                </c:pt>
                <c:pt idx="116">
                  <c:v>3.3535450618275013</c:v>
                </c:pt>
                <c:pt idx="117">
                  <c:v>3.348816917015552</c:v>
                </c:pt>
                <c:pt idx="118">
                  <c:v>3.3441060819417343</c:v>
                </c:pt>
                <c:pt idx="119">
                  <c:v>3.339412424471922</c:v>
                </c:pt>
                <c:pt idx="120">
                  <c:v>3.3347358139273835</c:v>
                </c:pt>
                <c:pt idx="121">
                  <c:v>3.3300761210639265</c:v>
                </c:pt>
                <c:pt idx="122">
                  <c:v>3.325433218051386</c:v>
                </c:pt>
                <c:pt idx="123">
                  <c:v>3.3208069784534984</c:v>
                </c:pt>
                <c:pt idx="124">
                  <c:v>3.3161972772081074</c:v>
                </c:pt>
                <c:pt idx="125">
                  <c:v>3.3116039906077326</c:v>
                </c:pt>
                <c:pt idx="126">
                  <c:v>3.3070269962804577</c:v>
                </c:pt>
                <c:pt idx="127">
                  <c:v>3.302466173171168</c:v>
                </c:pt>
                <c:pt idx="128">
                  <c:v>3.297921401523101</c:v>
                </c:pt>
                <c:pt idx="129">
                  <c:v>3.293392562859711</c:v>
                </c:pt>
                <c:pt idx="130">
                  <c:v>3.288879539966866</c:v>
                </c:pt>
                <c:pt idx="131">
                  <c:v>3.2843822168753176</c:v>
                </c:pt>
                <c:pt idx="132">
                  <c:v>3.2799004788435018</c:v>
                </c:pt>
                <c:pt idx="133">
                  <c:v>3.2754342123406053</c:v>
                </c:pt>
                <c:pt idx="134">
                  <c:v>3.2709833050299393</c:v>
                </c:pt>
                <c:pt idx="135">
                  <c:v>3.2665476457525835</c:v>
                </c:pt>
                <c:pt idx="136">
                  <c:v>3.262127124511305</c:v>
                </c:pt>
                <c:pt idx="137">
                  <c:v>3.257721632454749</c:v>
                </c:pt>
                <c:pt idx="138">
                  <c:v>3.253331061861902</c:v>
                </c:pt>
                <c:pt idx="139">
                  <c:v>3.2489553061267973</c:v>
                </c:pt>
                <c:pt idx="140">
                  <c:v>3.2445942597434927</c:v>
                </c:pt>
                <c:pt idx="141">
                  <c:v>3.2402478182912837</c:v>
                </c:pt>
                <c:pt idx="142">
                  <c:v>3.2359158784201667</c:v>
                </c:pt>
                <c:pt idx="143">
                  <c:v>3.2315983378365427</c:v>
                </c:pt>
                <c:pt idx="144">
                  <c:v>3.227295095289155</c:v>
                </c:pt>
                <c:pt idx="145">
                  <c:v>3.22300605055525</c:v>
                </c:pt>
                <c:pt idx="146">
                  <c:v>3.2187311044269817</c:v>
                </c:pt>
                <c:pt idx="147">
                  <c:v>3.214470158698012</c:v>
                </c:pt>
                <c:pt idx="148">
                  <c:v>3.2102231161503556</c:v>
                </c:pt>
                <c:pt idx="149">
                  <c:v>3.2059898805414107</c:v>
                </c:pt>
                <c:pt idx="150">
                  <c:v>3.201770356591224</c:v>
                </c:pt>
                <c:pt idx="151">
                  <c:v>3.1975644499699407</c:v>
                </c:pt>
                <c:pt idx="152">
                  <c:v>3.193372067285467</c:v>
                </c:pt>
                <c:pt idx="153">
                  <c:v>3.189193116071325</c:v>
                </c:pt>
                <c:pt idx="154">
                  <c:v>3.185027504774706</c:v>
                </c:pt>
                <c:pt idx="155">
                  <c:v>3.1808751427446986</c:v>
                </c:pt>
                <c:pt idx="156">
                  <c:v>3.176735940220726</c:v>
                </c:pt>
                <c:pt idx="157">
                  <c:v>3.172609808321151</c:v>
                </c:pt>
                <c:pt idx="158">
                  <c:v>3.168496659032062</c:v>
                </c:pt>
                <c:pt idx="159">
                  <c:v>3.16439640519623</c:v>
                </c:pt>
                <c:pt idx="160">
                  <c:v>3.1603089605022574</c:v>
                </c:pt>
                <c:pt idx="161">
                  <c:v>3.156234239473876</c:v>
                </c:pt>
                <c:pt idx="162">
                  <c:v>3.152172157459414</c:v>
                </c:pt>
                <c:pt idx="163">
                  <c:v>3.1481226306214425</c:v>
                </c:pt>
                <c:pt idx="164">
                  <c:v>3.144085575926563</c:v>
                </c:pt>
                <c:pt idx="165">
                  <c:v>3.1400609111353575</c:v>
                </c:pt>
                <c:pt idx="166">
                  <c:v>3.1360485547925046</c:v>
                </c:pt>
                <c:pt idx="167">
                  <c:v>3.13204842621703</c:v>
                </c:pt>
                <c:pt idx="168">
                  <c:v>3.1280604454927188</c:v>
                </c:pt>
                <c:pt idx="169">
                  <c:v>3.1240845334586633</c:v>
                </c:pt>
                <c:pt idx="170">
                  <c:v>3.1201206116999685</c:v>
                </c:pt>
                <c:pt idx="171">
                  <c:v>3.116168602538581</c:v>
                </c:pt>
                <c:pt idx="172">
                  <c:v>3.112228429024276</c:v>
                </c:pt>
                <c:pt idx="173">
                  <c:v>3.108300014925761</c:v>
                </c:pt>
                <c:pt idx="174">
                  <c:v>3.1043832847219237</c:v>
                </c:pt>
                <c:pt idx="175">
                  <c:v>3.1004781635932104</c:v>
                </c:pt>
                <c:pt idx="176">
                  <c:v>3.0965845774131346</c:v>
                </c:pt>
                <c:pt idx="177">
                  <c:v>3.0927024527399043</c:v>
                </c:pt>
                <c:pt idx="178">
                  <c:v>3.0888317168081802</c:v>
                </c:pt>
                <c:pt idx="179">
                  <c:v>3.0849722975209586</c:v>
                </c:pt>
                <c:pt idx="180">
                  <c:v>3.0811241234415636</c:v>
                </c:pt>
              </c:numCache>
            </c:numRef>
          </c:yVal>
          <c:smooth val="0"/>
        </c:ser>
        <c:axId val="10371294"/>
        <c:axId val="26232783"/>
      </c:scatterChart>
      <c:valAx>
        <c:axId val="10371294"/>
        <c:scaling>
          <c:orientation val="minMax"/>
          <c:min val="50"/>
        </c:scaling>
        <c:axPos val="b"/>
        <c:title>
          <c:tx>
            <c:rich>
              <a:bodyPr vert="horz" rot="0" anchor="ctr"/>
              <a:lstStyle/>
              <a:p>
                <a:pPr algn="ctr">
                  <a:defRPr/>
                </a:pPr>
                <a:r>
                  <a:rPr lang="en-US" cap="none" sz="1075" b="1" i="0" u="none" baseline="0">
                    <a:solidFill>
                      <a:srgbClr val="000000"/>
                    </a:solidFill>
                    <a:latin typeface="Arial"/>
                    <a:ea typeface="Arial"/>
                    <a:cs typeface="Arial"/>
                  </a:rPr>
                  <a:t>Line Voltage (Vrms)</a:t>
                </a:r>
              </a:p>
            </c:rich>
          </c:tx>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6232783"/>
        <c:crossesAt val="0"/>
        <c:crossBetween val="midCat"/>
        <c:dispUnits/>
      </c:valAx>
      <c:valAx>
        <c:axId val="26232783"/>
        <c:scaling>
          <c:orientation val="minMax"/>
          <c:max val="6"/>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VCOMP (V)</a:t>
                </a:r>
              </a:p>
            </c:rich>
          </c:tx>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0371294"/>
        <c:crosses val="autoZero"/>
        <c:crossBetween val="midCat"/>
        <c:dispUnits/>
      </c:valAx>
      <c:spPr>
        <a:gradFill rotWithShape="1">
          <a:gsLst>
            <a:gs pos="0">
              <a:srgbClr val="000000"/>
            </a:gs>
            <a:gs pos="100000">
              <a:srgbClr val="FFFFFF"/>
            </a:gs>
          </a:gsLst>
          <a:lin ang="5400000" scaled="1"/>
        </a:gradFill>
        <a:ln w="12700">
          <a:solidFill>
            <a:srgbClr val="808080"/>
          </a:solidFill>
        </a:ln>
      </c:spPr>
    </c:plotArea>
    <c:legend>
      <c:legendPos val="r"/>
      <c:layout>
        <c:manualLayout>
          <c:xMode val="edge"/>
          <c:yMode val="edge"/>
          <c:x val="0.86175"/>
          <c:y val="0.47675"/>
          <c:w val="0.12875"/>
          <c:h val="0.13175"/>
        </c:manualLayout>
      </c:layout>
      <c:overlay val="0"/>
      <c:spPr>
        <a:noFill/>
        <a:ln w="3175">
          <a:noFill/>
        </a:ln>
      </c:spPr>
      <c:txPr>
        <a:bodyPr vert="horz" rot="0"/>
        <a:lstStyle/>
        <a:p>
          <a:pPr>
            <a:defRPr lang="en-US" cap="none" sz="10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VCOMP and ICOMP</a:t>
            </a:r>
            <a:r>
              <a:rPr lang="en-US" cap="none" sz="1150" b="1" i="0" u="none" baseline="0">
                <a:solidFill>
                  <a:srgbClr val="000000"/>
                </a:solidFill>
                <a:latin typeface="Arial"/>
                <a:ea typeface="Arial"/>
                <a:cs typeface="Arial"/>
              </a:rPr>
              <a:t> </a:t>
            </a:r>
            <a:r>
              <a:rPr lang="en-US" cap="none" sz="1150" b="1" i="0" u="none" baseline="0">
                <a:solidFill>
                  <a:srgbClr val="000000"/>
                </a:solidFill>
                <a:latin typeface="Arial"/>
                <a:ea typeface="Arial"/>
                <a:cs typeface="Arial"/>
              </a:rPr>
              <a:t>at Selected Line Voltage as a Function of Load</a:t>
            </a:r>
          </a:p>
        </c:rich>
      </c:tx>
      <c:layout/>
      <c:spPr>
        <a:noFill/>
        <a:ln w="3175">
          <a:noFill/>
        </a:ln>
      </c:spPr>
    </c:title>
    <c:plotArea>
      <c:layout>
        <c:manualLayout>
          <c:xMode val="edge"/>
          <c:yMode val="edge"/>
          <c:x val="0.0775"/>
          <c:y val="0.12625"/>
          <c:w val="0.7545"/>
          <c:h val="0.6985"/>
        </c:manualLayout>
      </c:layout>
      <c:scatterChart>
        <c:scatterStyle val="lineMarker"/>
        <c:varyColors val="0"/>
        <c:ser>
          <c:idx val="0"/>
          <c:order val="0"/>
          <c:tx>
            <c:strRef>
              <c:f>VCOMP!$W$190</c:f>
              <c:strCache>
                <c:ptCount val="1"/>
                <c:pt idx="0">
                  <c:v>VCOMP</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VCOMP!$G$191:$G$290</c:f>
              <c:numCache/>
            </c:numRef>
          </c:xVal>
          <c:yVal>
            <c:numRef>
              <c:f>VCOMP!$W$191:$W$290</c:f>
              <c:numCache>
                <c:ptCount val="100"/>
                <c:pt idx="0">
                  <c:v>0.7870846704376998</c:v>
                </c:pt>
                <c:pt idx="1">
                  <c:v>0.9059990344824055</c:v>
                </c:pt>
                <c:pt idx="2">
                  <c:v>0.9972452352722633</c:v>
                </c:pt>
                <c:pt idx="3">
                  <c:v>1.0462562815330871</c:v>
                </c:pt>
                <c:pt idx="4">
                  <c:v>1.0866240685292432</c:v>
                </c:pt>
                <c:pt idx="5">
                  <c:v>1.1219185118670487</c:v>
                </c:pt>
                <c:pt idx="6">
                  <c:v>1.1534849282169388</c:v>
                </c:pt>
                <c:pt idx="7">
                  <c:v>1.1821751110369452</c:v>
                </c:pt>
                <c:pt idx="8">
                  <c:v>1.2085665306078175</c:v>
                </c:pt>
                <c:pt idx="9">
                  <c:v>1.233070866440186</c:v>
                </c:pt>
                <c:pt idx="10">
                  <c:v>1.2559931588014992</c:v>
                </c:pt>
                <c:pt idx="11">
                  <c:v>1.2775664599180185</c:v>
                </c:pt>
                <c:pt idx="12">
                  <c:v>1.2979733113367995</c:v>
                </c:pt>
                <c:pt idx="13">
                  <c:v>1.3173596746898604</c:v>
                </c:pt>
                <c:pt idx="14">
                  <c:v>1.3358443119894354</c:v>
                </c:pt>
                <c:pt idx="15">
                  <c:v>1.353525303141449</c:v>
                </c:pt>
                <c:pt idx="16">
                  <c:v>1.3704846969090152</c:v>
                </c:pt>
                <c:pt idx="17">
                  <c:v>1.3867919071445762</c:v>
                </c:pt>
                <c:pt idx="18">
                  <c:v>1.4025062430006225</c:v>
                </c:pt>
                <c:pt idx="19">
                  <c:v>1.417678827459127</c:v>
                </c:pt>
                <c:pt idx="20">
                  <c:v>1.4323540749476207</c:v>
                </c:pt>
                <c:pt idx="21">
                  <c:v>1.4465708453415846</c:v>
                </c:pt>
                <c:pt idx="22">
                  <c:v>1.4603633565776337</c:v>
                </c:pt>
                <c:pt idx="23">
                  <c:v>1.473761914572977</c:v>
                </c:pt>
                <c:pt idx="24">
                  <c:v>1.4867935030433745</c:v>
                </c:pt>
                <c:pt idx="25">
                  <c:v>1.4994822645892862</c:v>
                </c:pt>
                <c:pt idx="26">
                  <c:v>1.5118498964692217</c:v>
                </c:pt>
                <c:pt idx="27">
                  <c:v>1.5239159787614538</c:v>
                </c:pt>
                <c:pt idx="28">
                  <c:v>1.5356982484463848</c:v>
                </c:pt>
                <c:pt idx="29">
                  <c:v>1.547212829863705</c:v>
                </c:pt>
                <c:pt idx="30">
                  <c:v>1.5584744296990691</c:v>
                </c:pt>
                <c:pt idx="31">
                  <c:v>1.5694965029187222</c:v>
                </c:pt>
                <c:pt idx="32">
                  <c:v>1.5802913947462596</c:v>
                </c:pt>
                <c:pt idx="33">
                  <c:v>1.5908704627562331</c:v>
                </c:pt>
                <c:pt idx="34">
                  <c:v>1.6012441823676937</c:v>
                </c:pt>
                <c:pt idx="35">
                  <c:v>1.6114222384009613</c:v>
                </c:pt>
                <c:pt idx="36">
                  <c:v>1.6214136048720373</c:v>
                </c:pt>
                <c:pt idx="37">
                  <c:v>1.6312266148105805</c:v>
                </c:pt>
                <c:pt idx="38">
                  <c:v>1.6408690215766826</c:v>
                </c:pt>
                <c:pt idx="39">
                  <c:v>1.6503480529015153</c:v>
                </c:pt>
                <c:pt idx="40">
                  <c:v>1.659670458674376</c:v>
                </c:pt>
                <c:pt idx="41">
                  <c:v>1.6688425533336821</c:v>
                </c:pt>
                <c:pt idx="42">
                  <c:v>1.677870253584366</c:v>
                </c:pt>
                <c:pt idx="43">
                  <c:v>1.6867591120529561</c:v>
                </c:pt>
                <c:pt idx="44">
                  <c:v>1.6955143473996794</c:v>
                </c:pt>
                <c:pt idx="45">
                  <c:v>1.704140871330524</c:v>
                </c:pt>
                <c:pt idx="46">
                  <c:v>1.7126433128884693</c:v>
                </c:pt>
                <c:pt idx="47">
                  <c:v>1.7210260403496513</c:v>
                </c:pt>
                <c:pt idx="48">
                  <c:v>1.729293181005303</c:v>
                </c:pt>
                <c:pt idx="49">
                  <c:v>1.7374486390723467</c:v>
                </c:pt>
                <c:pt idx="50">
                  <c:v>1.745496111943341</c:v>
                </c:pt>
                <c:pt idx="51">
                  <c:v>1.7534391049591185</c:v>
                </c:pt>
                <c:pt idx="52">
                  <c:v>1.7612809448640832</c:v>
                </c:pt>
                <c:pt idx="53">
                  <c:v>1.76902479208416</c:v>
                </c:pt>
                <c:pt idx="54">
                  <c:v>1.776673651950178</c:v>
                </c:pt>
                <c:pt idx="55">
                  <c:v>1.7842303849747068</c:v>
                </c:pt>
                <c:pt idx="56">
                  <c:v>1.7916977162775525</c:v>
                </c:pt>
                <c:pt idx="57">
                  <c:v>1.7990782442440754</c:v>
                </c:pt>
                <c:pt idx="58">
                  <c:v>1.8063744484908395</c:v>
                </c:pt>
                <c:pt idx="59">
                  <c:v>1.8135886972047701</c:v>
                </c:pt>
                <c:pt idx="60">
                  <c:v>1.8207232539146472</c:v>
                </c:pt>
                <c:pt idx="61">
                  <c:v>1.827780283747392</c:v>
                </c:pt>
                <c:pt idx="62">
                  <c:v>1.8347618592159773</c:v>
                </c:pt>
                <c:pt idx="63">
                  <c:v>1.8416699655808788</c:v>
                </c:pt>
                <c:pt idx="64">
                  <c:v>1.848506505822621</c:v>
                </c:pt>
                <c:pt idx="65">
                  <c:v>1.855273305259157</c:v>
                </c:pt>
                <c:pt idx="66">
                  <c:v>1.8619721158384204</c:v>
                </c:pt>
                <c:pt idx="67">
                  <c:v>1.868604620133386</c:v>
                </c:pt>
                <c:pt idx="68">
                  <c:v>1.8751724350643078</c:v>
                </c:pt>
                <c:pt idx="69">
                  <c:v>1.8816771153704375</c:v>
                </c:pt>
                <c:pt idx="70">
                  <c:v>1.888120156851398</c:v>
                </c:pt>
                <c:pt idx="71">
                  <c:v>1.8945029993965212</c:v>
                </c:pt>
                <c:pt idx="72">
                  <c:v>1.9008270298187502</c:v>
                </c:pt>
                <c:pt idx="73">
                  <c:v>1.9070935845082153</c:v>
                </c:pt>
                <c:pt idx="74">
                  <c:v>1.913303951919227</c:v>
                </c:pt>
                <c:pt idx="75">
                  <c:v>1.9194593749032145</c:v>
                </c:pt>
                <c:pt idx="76">
                  <c:v>1.92556105289905</c:v>
                </c:pt>
                <c:pt idx="77">
                  <c:v>1.931610143991207</c:v>
                </c:pt>
                <c:pt idx="78">
                  <c:v>1.9376077668453093</c:v>
                </c:pt>
                <c:pt idx="79">
                  <c:v>1.943555002529834</c:v>
                </c:pt>
                <c:pt idx="80">
                  <c:v>1.9494528962319984</c:v>
                </c:pt>
                <c:pt idx="81">
                  <c:v>1.9553024588751953</c:v>
                </c:pt>
                <c:pt idx="82">
                  <c:v>1.9611046686447633</c:v>
                </c:pt>
                <c:pt idx="83">
                  <c:v>1.9668604724283187</c:v>
                </c:pt>
                <c:pt idx="84">
                  <c:v>1.9725707871763882</c:v>
                </c:pt>
                <c:pt idx="85">
                  <c:v>1.9782365011886403</c:v>
                </c:pt>
                <c:pt idx="86">
                  <c:v>1.9838584753305937</c:v>
                </c:pt>
                <c:pt idx="87">
                  <c:v>1.9894375441853187</c:v>
                </c:pt>
                <c:pt idx="88">
                  <c:v>1.9949745171442932</c:v>
                </c:pt>
                <c:pt idx="89">
                  <c:v>1.99865409387144</c:v>
                </c:pt>
                <c:pt idx="90">
                  <c:v>2.0027127727950065</c:v>
                </c:pt>
                <c:pt idx="91">
                  <c:v>2.0067439018313626</c:v>
                </c:pt>
                <c:pt idx="92">
                  <c:v>2.0107479477725647</c:v>
                </c:pt>
                <c:pt idx="93">
                  <c:v>2.0147253648319396</c:v>
                </c:pt>
                <c:pt idx="94">
                  <c:v>2.0186765951066508</c:v>
                </c:pt>
                <c:pt idx="95">
                  <c:v>2.0226020690187965</c:v>
                </c:pt>
                <c:pt idx="96">
                  <c:v>2.026502205736232</c:v>
                </c:pt>
                <c:pt idx="97">
                  <c:v>2.0303774135742465</c:v>
                </c:pt>
                <c:pt idx="98">
                  <c:v>2.0342280903791345</c:v>
                </c:pt>
                <c:pt idx="99">
                  <c:v>2.0380546238946535</c:v>
                </c:pt>
              </c:numCache>
            </c:numRef>
          </c:yVal>
          <c:smooth val="0"/>
        </c:ser>
        <c:ser>
          <c:idx val="1"/>
          <c:order val="1"/>
          <c:tx>
            <c:strRef>
              <c:f>VCOMP!$Z$190</c:f>
              <c:strCache>
                <c:ptCount val="1"/>
                <c:pt idx="0">
                  <c:v>ICOMP</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VCOMP!$G$191:$G$290</c:f>
              <c:numCache/>
            </c:numRef>
          </c:xVal>
          <c:yVal>
            <c:numRef>
              <c:f>VCOMP!$Z$191:$Z$290</c:f>
              <c:numCache>
                <c:ptCount val="100"/>
                <c:pt idx="0">
                  <c:v>0.5</c:v>
                </c:pt>
                <c:pt idx="1">
                  <c:v>0.5</c:v>
                </c:pt>
                <c:pt idx="2">
                  <c:v>0.5</c:v>
                </c:pt>
                <c:pt idx="3">
                  <c:v>0.5</c:v>
                </c:pt>
                <c:pt idx="4">
                  <c:v>0.5</c:v>
                </c:pt>
                <c:pt idx="5">
                  <c:v>0.5</c:v>
                </c:pt>
                <c:pt idx="6">
                  <c:v>0.5</c:v>
                </c:pt>
                <c:pt idx="7">
                  <c:v>0.5</c:v>
                </c:pt>
                <c:pt idx="8">
                  <c:v>0.5</c:v>
                </c:pt>
                <c:pt idx="9">
                  <c:v>0.5</c:v>
                </c:pt>
                <c:pt idx="10">
                  <c:v>0.5</c:v>
                </c:pt>
                <c:pt idx="11">
                  <c:v>0.5136327027192107</c:v>
                </c:pt>
                <c:pt idx="12">
                  <c:v>0.5870914151239948</c:v>
                </c:pt>
                <c:pt idx="13">
                  <c:v>0.6567954130237417</c:v>
                </c:pt>
                <c:pt idx="14">
                  <c:v>0.7232688012167527</c:v>
                </c:pt>
                <c:pt idx="15">
                  <c:v>0.7869298612345419</c:v>
                </c:pt>
                <c:pt idx="16">
                  <c:v>0.8481178598272046</c:v>
                </c:pt>
                <c:pt idx="17">
                  <c:v>0.9071118781467691</c:v>
                </c:pt>
                <c:pt idx="18">
                  <c:v>0.9641443473846105</c:v>
                </c:pt>
                <c:pt idx="19">
                  <c:v>1.0194109795421284</c:v>
                </c:pt>
                <c:pt idx="20">
                  <c:v>1.0730781861106566</c:v>
                </c:pt>
                <c:pt idx="21">
                  <c:v>1.1252887100196913</c:v>
                </c:pt>
                <c:pt idx="22">
                  <c:v>1.1761659633392954</c:v>
                </c:pt>
                <c:pt idx="23">
                  <c:v>1.2258174119512297</c:v>
                </c:pt>
                <c:pt idx="24">
                  <c:v>1.2743372479479667</c:v>
                </c:pt>
                <c:pt idx="25">
                  <c:v>1.3218085224676392</c:v>
                </c:pt>
                <c:pt idx="26">
                  <c:v>1.3683048647332323</c:v>
                </c:pt>
                <c:pt idx="27">
                  <c:v>1.4138918801493445</c:v>
                </c:pt>
                <c:pt idx="28">
                  <c:v>1.4586282968788515</c:v>
                </c:pt>
                <c:pt idx="29">
                  <c:v>1.5025669134096646</c:v>
                </c:pt>
                <c:pt idx="30">
                  <c:v>1.5457553872580467</c:v>
                </c:pt>
                <c:pt idx="31">
                  <c:v>1.5882368958089854</c:v>
                </c:pt>
                <c:pt idx="32">
                  <c:v>1.6300506934539618</c:v>
                </c:pt>
                <c:pt idx="33">
                  <c:v>1.6712325840184161</c:v>
                </c:pt>
                <c:pt idx="34">
                  <c:v>1.711815323529131</c:v>
                </c:pt>
                <c:pt idx="35">
                  <c:v>1.7518289653381205</c:v>
                </c:pt>
                <c:pt idx="36">
                  <c:v>1.7913011572653947</c:v>
                </c:pt>
                <c:pt idx="37">
                  <c:v>1.830257398581789</c:v>
                </c:pt>
                <c:pt idx="38">
                  <c:v>1.8687212632023842</c:v>
                </c:pt>
                <c:pt idx="39">
                  <c:v>1.9067145943101738</c:v>
                </c:pt>
                <c:pt idx="40">
                  <c:v>1.944257674710566</c:v>
                </c:pt>
                <c:pt idx="41">
                  <c:v>1.9813693764788094</c:v>
                </c:pt>
                <c:pt idx="42">
                  <c:v>2.01806729286557</c:v>
                </c:pt>
                <c:pt idx="43">
                  <c:v>2.054367854940722</c:v>
                </c:pt>
                <c:pt idx="44">
                  <c:v>2.0902864350590797</c:v>
                </c:pt>
                <c:pt idx="45">
                  <c:v>2.1258374389062666</c:v>
                </c:pt>
                <c:pt idx="46">
                  <c:v>2.1610343876143596</c:v>
                </c:pt>
                <c:pt idx="47">
                  <c:v>2.195889991214346</c:v>
                </c:pt>
                <c:pt idx="48">
                  <c:v>2.2304162145070814</c:v>
                </c:pt>
                <c:pt idx="49">
                  <c:v>2.264624336279536</c:v>
                </c:pt>
                <c:pt idx="50">
                  <c:v>2.2985250026630677</c:v>
                </c:pt>
                <c:pt idx="51">
                  <c:v>2.332128275320935</c:v>
                </c:pt>
                <c:pt idx="52">
                  <c:v>2.365443675059637</c:v>
                </c:pt>
                <c:pt idx="53">
                  <c:v>2.39848022138003</c:v>
                </c:pt>
                <c:pt idx="54">
                  <c:v>2.4312464684173207</c:v>
                </c:pt>
                <c:pt idx="55">
                  <c:v>2.463750537661813</c:v>
                </c:pt>
                <c:pt idx="56">
                  <c:v>2.4960001478033753</c:v>
                </c:pt>
                <c:pt idx="57">
                  <c:v>2.5280026420004624</c:v>
                </c:pt>
                <c:pt idx="58">
                  <c:v>2.559765012838318</c:v>
                </c:pt>
                <c:pt idx="59">
                  <c:v>2.5912939252095786</c:v>
                </c:pt>
                <c:pt idx="60">
                  <c:v>2.6225957373234037</c:v>
                </c:pt>
                <c:pt idx="61">
                  <c:v>2.6536765200256296</c:v>
                </c:pt>
                <c:pt idx="62">
                  <c:v>2.6845420745919135</c:v>
                </c:pt>
                <c:pt idx="63">
                  <c:v>2.71519794913789</c:v>
                </c:pt>
                <c:pt idx="64">
                  <c:v>2.7456494537746847</c:v>
                </c:pt>
                <c:pt idx="65">
                  <c:v>2.7759016746243494</c:v>
                </c:pt>
                <c:pt idx="66">
                  <c:v>2.805959486797698</c:v>
                </c:pt>
                <c:pt idx="67">
                  <c:v>2.835827566426362</c:v>
                </c:pt>
                <c:pt idx="68">
                  <c:v>2.8655104018315014</c:v>
                </c:pt>
                <c:pt idx="69">
                  <c:v>2.895012303903268</c:v>
                </c:pt>
                <c:pt idx="70">
                  <c:v>2.924337415757771</c:v>
                </c:pt>
                <c:pt idx="71">
                  <c:v>2.9534897217317604</c:v>
                </c:pt>
                <c:pt idx="72">
                  <c:v>2.982473055769411</c:v>
                </c:pt>
                <c:pt idx="73">
                  <c:v>3.0112911092504424</c:v>
                </c:pt>
                <c:pt idx="74">
                  <c:v>3.0399474383041603</c:v>
                </c:pt>
                <c:pt idx="75">
                  <c:v>3.0684454706499054</c:v>
                </c:pt>
                <c:pt idx="76">
                  <c:v>3.0967885120006766</c:v>
                </c:pt>
                <c:pt idx="77">
                  <c:v>3.1249797520633904</c:v>
                </c:pt>
                <c:pt idx="78">
                  <c:v>3.153022270166278</c:v>
                </c:pt>
                <c:pt idx="79">
                  <c:v>3.1809190405412195</c:v>
                </c:pt>
                <c:pt idx="80">
                  <c:v>3.2086729372864284</c:v>
                </c:pt>
                <c:pt idx="81">
                  <c:v>3.236286739032717</c:v>
                </c:pt>
                <c:pt idx="82">
                  <c:v>3.263763133334613</c:v>
                </c:pt>
                <c:pt idx="83">
                  <c:v>3.2911047208058264</c:v>
                </c:pt>
                <c:pt idx="84">
                  <c:v>3.3183140190169587</c:v>
                </c:pt>
                <c:pt idx="85">
                  <c:v>3.345393466171887</c:v>
                </c:pt>
                <c:pt idx="86">
                  <c:v>3.3723454245779463</c:v>
                </c:pt>
                <c:pt idx="87">
                  <c:v>3.399172183923809</c:v>
                </c:pt>
                <c:pt idx="88">
                  <c:v>3.42587596437791</c:v>
                </c:pt>
                <c:pt idx="89">
                  <c:v>3.456192445094335</c:v>
                </c:pt>
                <c:pt idx="90">
                  <c:v>3.4799548690736852</c:v>
                </c:pt>
                <c:pt idx="91">
                  <c:v>3.5008233820424146</c:v>
                </c:pt>
                <c:pt idx="92">
                  <c:v>3.521573442905429</c:v>
                </c:pt>
                <c:pt idx="93">
                  <c:v>3.5422074061801974</c:v>
                </c:pt>
                <c:pt idx="94">
                  <c:v>3.562727549600598</c:v>
                </c:pt>
                <c:pt idx="95">
                  <c:v>3.583136077525682</c:v>
                </c:pt>
                <c:pt idx="96">
                  <c:v>3.6034351241593026</c:v>
                </c:pt>
                <c:pt idx="97">
                  <c:v>3.6236267565930613</c:v>
                </c:pt>
                <c:pt idx="98">
                  <c:v>3.6437129776841686</c:v>
                </c:pt>
                <c:pt idx="99">
                  <c:v>3.66369572877883</c:v>
                </c:pt>
              </c:numCache>
            </c:numRef>
          </c:yVal>
          <c:smooth val="0"/>
        </c:ser>
        <c:axId val="34768456"/>
        <c:axId val="44480649"/>
      </c:scatterChart>
      <c:valAx>
        <c:axId val="34768456"/>
        <c:scaling>
          <c:orientation val="minMax"/>
          <c:max val="100"/>
        </c:scaling>
        <c:axPos val="b"/>
        <c:title>
          <c:tx>
            <c:rich>
              <a:bodyPr vert="horz" rot="0" anchor="ctr"/>
              <a:lstStyle/>
              <a:p>
                <a:pPr algn="ctr">
                  <a:defRPr/>
                </a:pPr>
                <a:r>
                  <a:rPr lang="en-US" cap="none" sz="1075" b="1" i="0" u="none" baseline="0">
                    <a:solidFill>
                      <a:srgbClr val="000000"/>
                    </a:solidFill>
                    <a:latin typeface="Arial"/>
                    <a:ea typeface="Arial"/>
                    <a:cs typeface="Arial"/>
                  </a:rPr>
                  <a:t>Percent of Full Load (%)</a:t>
                </a:r>
              </a:p>
            </c:rich>
          </c:tx>
          <c:layout>
            <c:manualLayout>
              <c:xMode val="factor"/>
              <c:yMode val="factor"/>
              <c:x val="-0.10725"/>
              <c:y val="0.046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4480649"/>
        <c:crossesAt val="0"/>
        <c:crossBetween val="midCat"/>
        <c:dispUnits/>
      </c:valAx>
      <c:valAx>
        <c:axId val="44480649"/>
        <c:scaling>
          <c:orientation val="minMax"/>
          <c:max val="6"/>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VCOMP (V)</a:t>
                </a:r>
              </a:p>
            </c:rich>
          </c:tx>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4768456"/>
        <c:crosses val="autoZero"/>
        <c:crossBetween val="midCat"/>
        <c:dispUnits/>
      </c:valAx>
      <c:spPr>
        <a:gradFill rotWithShape="1">
          <a:gsLst>
            <a:gs pos="0">
              <a:srgbClr val="000000"/>
            </a:gs>
            <a:gs pos="100000">
              <a:srgbClr val="FFFFFF"/>
            </a:gs>
          </a:gsLst>
          <a:lin ang="5400000" scaled="1"/>
        </a:gradFill>
        <a:ln w="12700">
          <a:solidFill>
            <a:srgbClr val="808080"/>
          </a:solidFill>
        </a:ln>
      </c:spPr>
    </c:plotArea>
    <c:legend>
      <c:legendPos val="r"/>
      <c:layout>
        <c:manualLayout>
          <c:xMode val="edge"/>
          <c:yMode val="edge"/>
          <c:x val="0.86175"/>
          <c:y val="0.47525"/>
          <c:w val="0.12875"/>
          <c:h val="0.13225"/>
        </c:manualLayout>
      </c:layout>
      <c:overlay val="0"/>
      <c:spPr>
        <a:noFill/>
        <a:ln w="3175">
          <a:noFill/>
        </a:ln>
      </c:spPr>
      <c:txPr>
        <a:bodyPr vert="horz" rot="0"/>
        <a:lstStyle/>
        <a:p>
          <a:pPr>
            <a:defRPr lang="en-US" cap="none" sz="10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156</xdr:row>
      <xdr:rowOff>9525</xdr:rowOff>
    </xdr:from>
    <xdr:to>
      <xdr:col>3</xdr:col>
      <xdr:colOff>1019175</xdr:colOff>
      <xdr:row>178</xdr:row>
      <xdr:rowOff>152400</xdr:rowOff>
    </xdr:to>
    <xdr:graphicFrame>
      <xdr:nvGraphicFramePr>
        <xdr:cNvPr id="1" name="Chart 603"/>
        <xdr:cNvGraphicFramePr/>
      </xdr:nvGraphicFramePr>
      <xdr:xfrm>
        <a:off x="0" y="32889825"/>
        <a:ext cx="8296275" cy="43434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191</xdr:row>
      <xdr:rowOff>76200</xdr:rowOff>
    </xdr:from>
    <xdr:to>
      <xdr:col>3</xdr:col>
      <xdr:colOff>628650</xdr:colOff>
      <xdr:row>223</xdr:row>
      <xdr:rowOff>76200</xdr:rowOff>
    </xdr:to>
    <xdr:graphicFrame>
      <xdr:nvGraphicFramePr>
        <xdr:cNvPr id="2" name="Chart 604"/>
        <xdr:cNvGraphicFramePr/>
      </xdr:nvGraphicFramePr>
      <xdr:xfrm>
        <a:off x="28575" y="40166925"/>
        <a:ext cx="7877175" cy="51816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223</xdr:row>
      <xdr:rowOff>28575</xdr:rowOff>
    </xdr:from>
    <xdr:to>
      <xdr:col>3</xdr:col>
      <xdr:colOff>628650</xdr:colOff>
      <xdr:row>253</xdr:row>
      <xdr:rowOff>95250</xdr:rowOff>
    </xdr:to>
    <xdr:graphicFrame>
      <xdr:nvGraphicFramePr>
        <xdr:cNvPr id="3" name="Chart 605"/>
        <xdr:cNvGraphicFramePr/>
      </xdr:nvGraphicFramePr>
      <xdr:xfrm>
        <a:off x="38100" y="45300900"/>
        <a:ext cx="7867650" cy="49244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267</xdr:row>
      <xdr:rowOff>28575</xdr:rowOff>
    </xdr:from>
    <xdr:to>
      <xdr:col>3</xdr:col>
      <xdr:colOff>1019175</xdr:colOff>
      <xdr:row>299</xdr:row>
      <xdr:rowOff>142875</xdr:rowOff>
    </xdr:to>
    <xdr:graphicFrame>
      <xdr:nvGraphicFramePr>
        <xdr:cNvPr id="4" name="Chart 606"/>
        <xdr:cNvGraphicFramePr/>
      </xdr:nvGraphicFramePr>
      <xdr:xfrm>
        <a:off x="0" y="52959000"/>
        <a:ext cx="8296275" cy="5295900"/>
      </xdr:xfrm>
      <a:graphic>
        <a:graphicData uri="http://schemas.openxmlformats.org/drawingml/2006/chart">
          <c:chart xmlns:c="http://schemas.openxmlformats.org/drawingml/2006/chart" r:id="rId4"/>
        </a:graphicData>
      </a:graphic>
    </xdr:graphicFrame>
    <xdr:clientData/>
  </xdr:twoCellAnchor>
  <xdr:twoCellAnchor>
    <xdr:from>
      <xdr:col>5</xdr:col>
      <xdr:colOff>47625</xdr:colOff>
      <xdr:row>189</xdr:row>
      <xdr:rowOff>123825</xdr:rowOff>
    </xdr:from>
    <xdr:to>
      <xdr:col>12</xdr:col>
      <xdr:colOff>28575</xdr:colOff>
      <xdr:row>210</xdr:row>
      <xdr:rowOff>161925</xdr:rowOff>
    </xdr:to>
    <xdr:graphicFrame>
      <xdr:nvGraphicFramePr>
        <xdr:cNvPr id="5" name="Chart 607"/>
        <xdr:cNvGraphicFramePr/>
      </xdr:nvGraphicFramePr>
      <xdr:xfrm>
        <a:off x="10220325" y="39795450"/>
        <a:ext cx="6819900" cy="3533775"/>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212</xdr:row>
      <xdr:rowOff>0</xdr:rowOff>
    </xdr:from>
    <xdr:to>
      <xdr:col>11</xdr:col>
      <xdr:colOff>600075</xdr:colOff>
      <xdr:row>233</xdr:row>
      <xdr:rowOff>85725</xdr:rowOff>
    </xdr:to>
    <xdr:graphicFrame>
      <xdr:nvGraphicFramePr>
        <xdr:cNvPr id="6" name="Chart 608"/>
        <xdr:cNvGraphicFramePr/>
      </xdr:nvGraphicFramePr>
      <xdr:xfrm>
        <a:off x="10172700" y="43491150"/>
        <a:ext cx="6829425" cy="348615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4</xdr:col>
      <xdr:colOff>4238625</xdr:colOff>
      <xdr:row>36</xdr:row>
      <xdr:rowOff>104775</xdr:rowOff>
    </xdr:to>
    <xdr:pic>
      <xdr:nvPicPr>
        <xdr:cNvPr id="1" name="Picture 241"/>
        <xdr:cNvPicPr preferRelativeResize="1">
          <a:picLocks noChangeAspect="1"/>
        </xdr:cNvPicPr>
      </xdr:nvPicPr>
      <xdr:blipFill>
        <a:blip r:embed="rId1"/>
        <a:stretch>
          <a:fillRect/>
        </a:stretch>
      </xdr:blipFill>
      <xdr:spPr>
        <a:xfrm>
          <a:off x="638175" y="447675"/>
          <a:ext cx="10953750" cy="5581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0741357\Documents\modified%20UCC28180_Konfi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INPUTS AND CALCULATIONS"/>
      <sheetName val="SCHEMATIC"/>
      <sheetName val="data"/>
      <sheetName val="VCOMP"/>
      <sheetName val="Open Loop Bench"/>
      <sheetName val="Ideal ICOMP_MH"/>
    </sheetNames>
    <sheetDataSet>
      <sheetData sheetId="5">
        <row r="309">
          <cell r="B309">
            <v>1</v>
          </cell>
        </row>
        <row r="310">
          <cell r="B310">
            <v>2</v>
          </cell>
        </row>
        <row r="311">
          <cell r="B311">
            <v>-0.4375</v>
          </cell>
        </row>
        <row r="313">
          <cell r="B313">
            <v>0.5</v>
          </cell>
        </row>
        <row r="314">
          <cell r="B314">
            <v>44.755</v>
          </cell>
        </row>
        <row r="315">
          <cell r="B315">
            <v>-2.5</v>
          </cell>
        </row>
        <row r="316">
          <cell r="B316">
            <v>-0.005737130488213602</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T318"/>
  <sheetViews>
    <sheetView tabSelected="1" zoomScale="130" zoomScaleNormal="130" workbookViewId="0" topLeftCell="A244">
      <selection activeCell="E258" sqref="E258"/>
    </sheetView>
  </sheetViews>
  <sheetFormatPr defaultColWidth="9.140625" defaultRowHeight="12.75"/>
  <cols>
    <col min="1" max="1" width="73.8515625" style="109" customWidth="1"/>
    <col min="2" max="2" width="18.8515625" style="109" customWidth="1"/>
    <col min="3" max="3" width="16.421875" style="109" customWidth="1"/>
    <col min="4" max="4" width="15.421875" style="109" customWidth="1"/>
    <col min="5" max="5" width="28.00390625" style="109" customWidth="1"/>
    <col min="6" max="6" width="9.140625" style="109" customWidth="1"/>
    <col min="7" max="7" width="24.421875" style="109" customWidth="1"/>
    <col min="8" max="8" width="19.00390625" style="109" customWidth="1"/>
    <col min="9" max="9" width="22.57421875" style="109" customWidth="1"/>
    <col min="10" max="16" width="9.140625" style="109" customWidth="1"/>
    <col min="17" max="17" width="11.8515625" style="109" customWidth="1"/>
    <col min="18" max="18" width="12.8515625" style="109" customWidth="1"/>
    <col min="19" max="16384" width="9.140625" style="109" customWidth="1"/>
  </cols>
  <sheetData>
    <row r="1" spans="1:12" ht="44.25" customHeight="1">
      <c r="A1" s="110" t="s">
        <v>0</v>
      </c>
      <c r="B1" s="111"/>
      <c r="C1" s="111"/>
      <c r="D1" s="112"/>
      <c r="F1" s="108"/>
      <c r="G1" s="108"/>
      <c r="H1" s="108"/>
      <c r="I1" s="108"/>
      <c r="J1" s="108"/>
      <c r="K1" s="108"/>
      <c r="L1" s="108"/>
    </row>
    <row r="2" spans="1:9" ht="19.5" customHeight="1">
      <c r="A2" s="113" t="s">
        <v>1</v>
      </c>
      <c r="B2" s="114" t="s">
        <v>2</v>
      </c>
      <c r="C2" s="114" t="s">
        <v>3</v>
      </c>
      <c r="D2" s="115"/>
      <c r="E2" s="116"/>
      <c r="F2" s="117"/>
      <c r="G2" s="118"/>
      <c r="H2" s="119"/>
      <c r="I2" s="191"/>
    </row>
    <row r="3" spans="1:9" ht="45" customHeight="1">
      <c r="A3" s="120" t="s">
        <v>4</v>
      </c>
      <c r="B3" s="121"/>
      <c r="C3" s="121"/>
      <c r="D3" s="122"/>
      <c r="E3" s="108"/>
      <c r="F3" s="108"/>
      <c r="G3" s="108"/>
      <c r="H3" s="108"/>
      <c r="I3" s="108"/>
    </row>
    <row r="4" spans="1:9" ht="15.75">
      <c r="A4" s="123" t="s">
        <v>5</v>
      </c>
      <c r="B4" s="124" t="s">
        <v>6</v>
      </c>
      <c r="C4" s="125" t="s">
        <v>7</v>
      </c>
      <c r="D4" s="126"/>
      <c r="E4" s="108"/>
      <c r="F4" s="108"/>
      <c r="G4" s="108"/>
      <c r="H4" s="108"/>
      <c r="I4" s="108"/>
    </row>
    <row r="5" spans="1:9" ht="15.75">
      <c r="A5" s="127" t="s">
        <v>8</v>
      </c>
      <c r="B5" s="128"/>
      <c r="C5" s="128"/>
      <c r="D5" s="129"/>
      <c r="E5" s="108"/>
      <c r="F5" s="108"/>
      <c r="G5" s="108"/>
      <c r="H5" s="108"/>
      <c r="I5" s="108"/>
    </row>
    <row r="6" spans="1:9" ht="18">
      <c r="A6" s="130" t="s">
        <v>9</v>
      </c>
      <c r="B6" s="131"/>
      <c r="C6" s="131"/>
      <c r="D6" s="132"/>
      <c r="E6" s="108"/>
      <c r="F6" s="108"/>
      <c r="G6" s="108"/>
      <c r="H6" s="108"/>
      <c r="I6" s="108"/>
    </row>
    <row r="7" spans="1:9" ht="15" customHeight="1">
      <c r="A7" s="133" t="s">
        <v>10</v>
      </c>
      <c r="B7" s="134"/>
      <c r="C7" s="134"/>
      <c r="D7" s="135"/>
      <c r="E7" s="108"/>
      <c r="F7" s="108"/>
      <c r="G7" s="108"/>
      <c r="H7" s="108"/>
      <c r="I7" s="108"/>
    </row>
    <row r="8" spans="1:9" ht="14.25" customHeight="1">
      <c r="A8" s="133"/>
      <c r="B8" s="134"/>
      <c r="C8" s="134"/>
      <c r="D8" s="135"/>
      <c r="E8" s="108"/>
      <c r="F8" s="108"/>
      <c r="G8" s="108"/>
      <c r="H8" s="108"/>
      <c r="I8" s="108"/>
    </row>
    <row r="9" spans="1:9" ht="12.75" customHeight="1">
      <c r="A9" s="133"/>
      <c r="B9" s="134"/>
      <c r="C9" s="134"/>
      <c r="D9" s="135"/>
      <c r="E9" s="108"/>
      <c r="F9" s="108"/>
      <c r="G9" s="108"/>
      <c r="H9" s="108"/>
      <c r="I9" s="108"/>
    </row>
    <row r="10" spans="1:9" ht="13.5" customHeight="1">
      <c r="A10" s="133"/>
      <c r="B10" s="134"/>
      <c r="C10" s="134"/>
      <c r="D10" s="135"/>
      <c r="E10" s="108"/>
      <c r="F10" s="108"/>
      <c r="G10" s="108"/>
      <c r="H10" s="108"/>
      <c r="I10" s="108"/>
    </row>
    <row r="11" spans="1:9" ht="15" customHeight="1">
      <c r="A11" s="133"/>
      <c r="B11" s="134"/>
      <c r="C11" s="134"/>
      <c r="D11" s="135"/>
      <c r="E11" s="108"/>
      <c r="F11" s="108"/>
      <c r="G11" s="108"/>
      <c r="H11" s="108"/>
      <c r="I11" s="108"/>
    </row>
    <row r="12" spans="1:9" ht="15" customHeight="1">
      <c r="A12" s="136" t="s">
        <v>11</v>
      </c>
      <c r="B12" s="137"/>
      <c r="C12" s="137"/>
      <c r="D12" s="138"/>
      <c r="E12" s="108"/>
      <c r="F12" s="108"/>
      <c r="G12" s="108"/>
      <c r="H12" s="108"/>
      <c r="I12" s="108"/>
    </row>
    <row r="13" spans="1:9" ht="12.75">
      <c r="A13" s="139"/>
      <c r="B13" s="140"/>
      <c r="C13" s="140"/>
      <c r="D13" s="141"/>
      <c r="E13" s="108"/>
      <c r="F13" s="108"/>
      <c r="G13" s="108"/>
      <c r="H13" s="108"/>
      <c r="I13" s="108"/>
    </row>
    <row r="14" spans="1:9" ht="12.75">
      <c r="A14" s="139"/>
      <c r="B14" s="140"/>
      <c r="C14" s="140"/>
      <c r="D14" s="141"/>
      <c r="E14" s="108"/>
      <c r="F14" s="108"/>
      <c r="G14" s="108"/>
      <c r="H14" s="108"/>
      <c r="I14" s="108"/>
    </row>
    <row r="15" spans="1:9" ht="12.75">
      <c r="A15" s="139"/>
      <c r="B15" s="140"/>
      <c r="C15" s="140"/>
      <c r="D15" s="141"/>
      <c r="E15" s="108"/>
      <c r="F15" s="108"/>
      <c r="G15" s="108"/>
      <c r="H15" s="108"/>
      <c r="I15" s="108"/>
    </row>
    <row r="16" spans="1:4" ht="13.5">
      <c r="A16" s="142"/>
      <c r="B16" s="143"/>
      <c r="C16" s="143"/>
      <c r="D16" s="144"/>
    </row>
    <row r="17" spans="1:4" ht="12.75">
      <c r="A17" s="145" t="s">
        <v>12</v>
      </c>
      <c r="B17" s="146"/>
      <c r="C17" s="146"/>
      <c r="D17" s="147"/>
    </row>
    <row r="18" spans="1:4" ht="12.75">
      <c r="A18" s="148" t="s">
        <v>13</v>
      </c>
      <c r="B18" s="149"/>
      <c r="C18" s="149"/>
      <c r="D18" s="150"/>
    </row>
    <row r="19" spans="1:4" ht="12.75">
      <c r="A19" s="148"/>
      <c r="B19" s="149"/>
      <c r="C19" s="149"/>
      <c r="D19" s="150"/>
    </row>
    <row r="20" spans="1:4" ht="13.5">
      <c r="A20" s="151"/>
      <c r="B20" s="152"/>
      <c r="C20" s="152"/>
      <c r="D20" s="153"/>
    </row>
    <row r="21" spans="1:4" ht="13.5">
      <c r="A21" s="154"/>
      <c r="B21" s="154"/>
      <c r="C21" s="154"/>
      <c r="D21" s="154"/>
    </row>
    <row r="22" spans="1:4" ht="15.75">
      <c r="A22" s="155" t="s">
        <v>14</v>
      </c>
      <c r="B22" s="156"/>
      <c r="C22" s="156"/>
      <c r="D22" s="157"/>
    </row>
    <row r="23" spans="1:4" ht="16.5">
      <c r="A23" s="158" t="s">
        <v>15</v>
      </c>
      <c r="B23" s="159" t="s">
        <v>16</v>
      </c>
      <c r="C23" s="160">
        <v>180</v>
      </c>
      <c r="D23" s="161" t="s">
        <v>17</v>
      </c>
    </row>
    <row r="24" spans="1:4" ht="16.5">
      <c r="A24" s="158" t="s">
        <v>18</v>
      </c>
      <c r="B24" s="159" t="s">
        <v>19</v>
      </c>
      <c r="C24" s="160">
        <v>165</v>
      </c>
      <c r="D24" s="161" t="s">
        <v>17</v>
      </c>
    </row>
    <row r="25" spans="1:4" ht="16.5">
      <c r="A25" s="158" t="s">
        <v>20</v>
      </c>
      <c r="B25" s="162" t="s">
        <v>21</v>
      </c>
      <c r="C25" s="160">
        <v>47</v>
      </c>
      <c r="D25" s="161" t="s">
        <v>22</v>
      </c>
    </row>
    <row r="26" spans="1:4" ht="16.5">
      <c r="A26" s="158" t="s">
        <v>23</v>
      </c>
      <c r="B26" s="162" t="s">
        <v>24</v>
      </c>
      <c r="C26" s="160">
        <v>53</v>
      </c>
      <c r="D26" s="161" t="s">
        <v>22</v>
      </c>
    </row>
    <row r="27" spans="1:4" ht="16.5">
      <c r="A27" s="158" t="s">
        <v>25</v>
      </c>
      <c r="B27" s="159" t="s">
        <v>26</v>
      </c>
      <c r="C27" s="163">
        <f>SQRT(2)*Vacin_min</f>
        <v>254.55844122715712</v>
      </c>
      <c r="D27" s="161" t="s">
        <v>27</v>
      </c>
    </row>
    <row r="28" spans="1:4" ht="17.25">
      <c r="A28" s="164" t="s">
        <v>28</v>
      </c>
      <c r="B28" s="165" t="s">
        <v>29</v>
      </c>
      <c r="C28" s="166">
        <f>SQRT(2)*Vacin_max</f>
        <v>233.3452377915607</v>
      </c>
      <c r="D28" s="167" t="s">
        <v>27</v>
      </c>
    </row>
    <row r="29" spans="1:4" ht="12.75">
      <c r="A29" s="168"/>
      <c r="B29" s="168"/>
      <c r="C29" s="168"/>
      <c r="D29" s="168"/>
    </row>
    <row r="30" spans="1:4" ht="13.5">
      <c r="A30" s="169"/>
      <c r="B30" s="169"/>
      <c r="C30" s="169"/>
      <c r="D30" s="169"/>
    </row>
    <row r="31" spans="1:4" ht="15.75">
      <c r="A31" s="155" t="s">
        <v>30</v>
      </c>
      <c r="B31" s="156"/>
      <c r="C31" s="156"/>
      <c r="D31" s="157"/>
    </row>
    <row r="32" spans="1:4" ht="16.5">
      <c r="A32" s="158" t="s">
        <v>31</v>
      </c>
      <c r="B32" s="162" t="s">
        <v>32</v>
      </c>
      <c r="C32" s="160">
        <v>500</v>
      </c>
      <c r="D32" s="161" t="s">
        <v>33</v>
      </c>
    </row>
    <row r="33" spans="1:5" ht="31.5" customHeight="1">
      <c r="A33" s="158" t="s">
        <v>34</v>
      </c>
      <c r="B33" s="162" t="s">
        <v>35</v>
      </c>
      <c r="C33" s="160">
        <v>400</v>
      </c>
      <c r="D33" s="161" t="s">
        <v>27</v>
      </c>
      <c r="E33" s="170" t="str">
        <f>IF(Vout&lt;=Vin_peak_max,"OUTPUT VOLTAGE MUST BE GREATER THAN RECTIFIED MAXIMUM INPUT VOLTAGE"," ")</f>
        <v> </v>
      </c>
    </row>
    <row r="34" spans="1:5" ht="15.75" customHeight="1">
      <c r="A34" s="158" t="s">
        <v>36</v>
      </c>
      <c r="B34" s="162" t="s">
        <v>37</v>
      </c>
      <c r="C34" s="160">
        <v>0.99</v>
      </c>
      <c r="D34" s="161"/>
      <c r="E34" s="171" t="str">
        <f>IF(PF&gt;=0.999,"ENTER VALUE LESS THAN 0.999"," ")</f>
        <v> </v>
      </c>
    </row>
    <row r="35" spans="1:5" ht="12.75">
      <c r="A35" s="158" t="s">
        <v>38</v>
      </c>
      <c r="B35" s="172" t="s">
        <v>39</v>
      </c>
      <c r="C35" s="160">
        <v>0.95</v>
      </c>
      <c r="D35" s="161"/>
      <c r="E35" s="171" t="str">
        <f>IF(eff&gt;=0.97,"ENTER VALUE LESS THAN 0.97"," ")</f>
        <v> </v>
      </c>
    </row>
    <row r="36" spans="1:4" ht="16.5">
      <c r="A36" s="158" t="s">
        <v>40</v>
      </c>
      <c r="B36" s="162" t="s">
        <v>41</v>
      </c>
      <c r="C36" s="160">
        <v>50</v>
      </c>
      <c r="D36" s="173" t="s">
        <v>42</v>
      </c>
    </row>
    <row r="37" spans="1:4" ht="16.5">
      <c r="A37" s="174" t="s">
        <v>43</v>
      </c>
      <c r="B37" s="159" t="s">
        <v>44</v>
      </c>
      <c r="C37" s="163">
        <f>Pout/Vout</f>
        <v>1.25</v>
      </c>
      <c r="D37" s="175" t="s">
        <v>45</v>
      </c>
    </row>
    <row r="38" spans="1:5" ht="16.5">
      <c r="A38" s="176" t="s">
        <v>46</v>
      </c>
      <c r="B38" s="177" t="s">
        <v>47</v>
      </c>
      <c r="C38" s="178">
        <v>100</v>
      </c>
      <c r="D38" s="179" t="s">
        <v>48</v>
      </c>
      <c r="E38" s="171">
        <f>IF(fSW_target&lt;18,"fsw must not be less than 18 kHz",IF(fSW_target&gt;250,"fsw must not be greater than 250 kHz",""))</f>
      </c>
    </row>
    <row r="39" spans="1:4" ht="16.5">
      <c r="A39" s="174" t="s">
        <v>49</v>
      </c>
      <c r="B39" s="159" t="s">
        <v>50</v>
      </c>
      <c r="C39" s="163">
        <f>data!F233</f>
        <v>21.5</v>
      </c>
      <c r="D39" s="175" t="s">
        <v>51</v>
      </c>
    </row>
    <row r="40" spans="1:4" ht="16.5">
      <c r="A40" s="176" t="s">
        <v>52</v>
      </c>
      <c r="B40" s="177" t="s">
        <v>53</v>
      </c>
      <c r="C40" s="178">
        <v>20</v>
      </c>
      <c r="D40" s="179" t="s">
        <v>54</v>
      </c>
    </row>
    <row r="41" spans="1:4" ht="17.25">
      <c r="A41" s="180" t="s">
        <v>55</v>
      </c>
      <c r="B41" s="165" t="s">
        <v>56</v>
      </c>
      <c r="C41" s="181">
        <f>((32.7*kOhms*65*kHz*(1*MegOhm+Rfreq*kOhms))/(Rfreq*kOhms*(1*MegOhm+32.7*kOhms)))/kHz</f>
        <v>104.96804493076404</v>
      </c>
      <c r="D41" s="182" t="s">
        <v>48</v>
      </c>
    </row>
    <row r="42" spans="1:4" ht="12.75">
      <c r="A42" s="183">
        <f>IF(Vout&gt;=Vin_peak_max,IF(PF&lt;1,IF(eff&lt;0.97,"","DO NOT PROCEED. ENTER EFFICIENCY LESS &lt; 0.97"),"DO NOT PROCEED. ENTER PF &lt; 1"),"DO NOT PROCEED. OUTPUT VOLTAGE MUST BE &gt; RECTIFIED MAXIMUM INPUT VOLTAGE")</f>
      </c>
      <c r="B42" s="183"/>
      <c r="C42" s="183"/>
      <c r="D42" s="183"/>
    </row>
    <row r="43" spans="1:4" ht="13.5">
      <c r="A43" s="183"/>
      <c r="B43" s="183"/>
      <c r="C43" s="183"/>
      <c r="D43" s="183"/>
    </row>
    <row r="44" spans="1:4" ht="15.75">
      <c r="A44" s="155" t="s">
        <v>57</v>
      </c>
      <c r="B44" s="156"/>
      <c r="C44" s="156"/>
      <c r="D44" s="157"/>
    </row>
    <row r="45" spans="1:4" ht="16.5">
      <c r="A45" s="158" t="s">
        <v>58</v>
      </c>
      <c r="B45" s="162" t="s">
        <v>59</v>
      </c>
      <c r="C45" s="163">
        <f>Pout/eff</f>
        <v>526.3157894736843</v>
      </c>
      <c r="D45" s="161" t="s">
        <v>33</v>
      </c>
    </row>
    <row r="46" spans="1:4" ht="16.5">
      <c r="A46" s="158" t="s">
        <v>60</v>
      </c>
      <c r="B46" s="162" t="s">
        <v>61</v>
      </c>
      <c r="C46" s="163">
        <f>Pout/(eff*Vacin_min*PF)</f>
        <v>2.95351172544155</v>
      </c>
      <c r="D46" s="161" t="s">
        <v>45</v>
      </c>
    </row>
    <row r="47" spans="1:4" ht="16.5">
      <c r="A47" s="158" t="s">
        <v>62</v>
      </c>
      <c r="B47" s="162" t="s">
        <v>63</v>
      </c>
      <c r="C47" s="163">
        <f>SQRT(2)*Iin_rms_max</f>
        <v>4.176896338747402</v>
      </c>
      <c r="D47" s="161" t="s">
        <v>45</v>
      </c>
    </row>
    <row r="48" spans="1:4" ht="16.5">
      <c r="A48" s="158" t="s">
        <v>64</v>
      </c>
      <c r="B48" s="162" t="s">
        <v>65</v>
      </c>
      <c r="C48" s="163">
        <f>(2*Iin_peak_max)/PI()</f>
        <v>2.659094796376355</v>
      </c>
      <c r="D48" s="161" t="s">
        <v>45</v>
      </c>
    </row>
    <row r="49" spans="1:4" ht="17.25">
      <c r="A49" s="164" t="s">
        <v>66</v>
      </c>
      <c r="B49" s="184" t="s">
        <v>67</v>
      </c>
      <c r="C49" s="166">
        <f>1.5*Iin_rms_max</f>
        <v>4.430267588162325</v>
      </c>
      <c r="D49" s="167" t="s">
        <v>45</v>
      </c>
    </row>
    <row r="50" spans="1:4" ht="12.75">
      <c r="A50" s="185"/>
      <c r="B50" s="185"/>
      <c r="C50" s="185"/>
      <c r="D50" s="185"/>
    </row>
    <row r="51" spans="1:4" ht="13.5">
      <c r="A51" s="169"/>
      <c r="B51" s="169"/>
      <c r="C51" s="169"/>
      <c r="D51" s="169"/>
    </row>
    <row r="52" spans="1:4" ht="15.75">
      <c r="A52" s="155" t="s">
        <v>68</v>
      </c>
      <c r="B52" s="156"/>
      <c r="C52" s="156"/>
      <c r="D52" s="157"/>
    </row>
    <row r="53" spans="1:4" ht="16.5">
      <c r="A53" s="174" t="s">
        <v>69</v>
      </c>
      <c r="B53" s="159" t="s">
        <v>70</v>
      </c>
      <c r="C53" s="186">
        <v>1.05</v>
      </c>
      <c r="D53" s="175" t="s">
        <v>27</v>
      </c>
    </row>
    <row r="54" spans="1:4" ht="16.5">
      <c r="A54" s="174" t="s">
        <v>71</v>
      </c>
      <c r="B54" s="159" t="s">
        <v>72</v>
      </c>
      <c r="C54" s="186">
        <v>0.6</v>
      </c>
      <c r="D54" s="173" t="s">
        <v>73</v>
      </c>
    </row>
    <row r="55" spans="1:4" ht="16.5">
      <c r="A55" s="174" t="s">
        <v>74</v>
      </c>
      <c r="B55" s="159" t="s">
        <v>75</v>
      </c>
      <c r="C55" s="186">
        <v>0.7</v>
      </c>
      <c r="D55" s="173" t="s">
        <v>73</v>
      </c>
    </row>
    <row r="56" spans="1:4" ht="16.5">
      <c r="A56" s="174" t="s">
        <v>76</v>
      </c>
      <c r="B56" s="159" t="s">
        <v>77</v>
      </c>
      <c r="C56" s="186">
        <v>125</v>
      </c>
      <c r="D56" s="173" t="s">
        <v>78</v>
      </c>
    </row>
    <row r="57" spans="1:4" ht="16.5">
      <c r="A57" s="158" t="s">
        <v>79</v>
      </c>
      <c r="B57" s="159" t="s">
        <v>80</v>
      </c>
      <c r="C57" s="163">
        <f>1.5*Iin_avg_max</f>
        <v>3.988642194564533</v>
      </c>
      <c r="D57" s="161" t="s">
        <v>45</v>
      </c>
    </row>
    <row r="58" spans="1:4" ht="16.5">
      <c r="A58" s="158" t="s">
        <v>81</v>
      </c>
      <c r="B58" s="159" t="s">
        <v>82</v>
      </c>
      <c r="C58" s="163">
        <f>Vin_peak_max*1.1</f>
        <v>256.6797615707168</v>
      </c>
      <c r="D58" s="161" t="s">
        <v>27</v>
      </c>
    </row>
    <row r="59" spans="1:4" ht="16.5">
      <c r="A59" s="158" t="s">
        <v>83</v>
      </c>
      <c r="B59" s="162" t="s">
        <v>84</v>
      </c>
      <c r="C59" s="163">
        <f>2*Vf_bridge*Iin_avg_max</f>
        <v>5.584099072390346</v>
      </c>
      <c r="D59" s="161" t="s">
        <v>33</v>
      </c>
    </row>
    <row r="60" spans="1:4" ht="17.25">
      <c r="A60" s="164" t="s">
        <v>85</v>
      </c>
      <c r="B60" s="184" t="s">
        <v>86</v>
      </c>
      <c r="C60" s="166">
        <f>((Tj_bridge-Tamb)/Pbridge)-Rjc_bridge-Rchs_bridge</f>
        <v>12.130993796443386</v>
      </c>
      <c r="D60" s="187" t="s">
        <v>87</v>
      </c>
    </row>
    <row r="61" spans="1:4" ht="12.75">
      <c r="A61" s="168"/>
      <c r="B61" s="168"/>
      <c r="C61" s="168"/>
      <c r="D61" s="168"/>
    </row>
    <row r="62" spans="1:4" ht="13.5">
      <c r="A62" s="185"/>
      <c r="B62" s="185"/>
      <c r="C62" s="185"/>
      <c r="D62" s="185"/>
    </row>
    <row r="63" spans="1:4" ht="15.75">
      <c r="A63" s="155" t="s">
        <v>88</v>
      </c>
      <c r="B63" s="156"/>
      <c r="C63" s="156"/>
      <c r="D63" s="157"/>
    </row>
    <row r="64" spans="1:5" ht="51.75" customHeight="1">
      <c r="A64" s="188" t="s">
        <v>89</v>
      </c>
      <c r="B64" s="177" t="s">
        <v>90</v>
      </c>
      <c r="C64" s="178">
        <v>0.3</v>
      </c>
      <c r="D64" s="189">
        <f>IF(L_I_ripple_factor&gt;0.4,"Lower ripple current factor is recommended","")</f>
      </c>
      <c r="E64" s="190"/>
    </row>
    <row r="65" spans="1:4" ht="16.5">
      <c r="A65" s="176" t="s">
        <v>91</v>
      </c>
      <c r="B65" s="177" t="s">
        <v>92</v>
      </c>
      <c r="C65" s="160">
        <v>0.05</v>
      </c>
      <c r="D65" s="161"/>
    </row>
    <row r="66" spans="1:4" ht="16.5">
      <c r="A66" s="174" t="s">
        <v>93</v>
      </c>
      <c r="B66" s="159" t="s">
        <v>94</v>
      </c>
      <c r="C66" s="163">
        <f>L_I_ripple_factor*Iin_peak_max</f>
        <v>1.2530689016242205</v>
      </c>
      <c r="D66" s="161" t="s">
        <v>45</v>
      </c>
    </row>
    <row r="67" spans="1:4" ht="16.5">
      <c r="A67" s="158" t="s">
        <v>95</v>
      </c>
      <c r="B67" s="162" t="s">
        <v>96</v>
      </c>
      <c r="C67" s="163">
        <f>V_ripplefactor*Vin_peak_min</f>
        <v>12.727922061357857</v>
      </c>
      <c r="D67" s="161" t="s">
        <v>27</v>
      </c>
    </row>
    <row r="68" spans="1:4" ht="15.75" customHeight="1">
      <c r="A68" s="174" t="s">
        <v>97</v>
      </c>
      <c r="B68" s="192" t="s">
        <v>98</v>
      </c>
      <c r="C68" s="163">
        <f>data!F228</f>
        <v>0.12</v>
      </c>
      <c r="D68" s="173" t="s">
        <v>99</v>
      </c>
    </row>
    <row r="69" spans="1:4" ht="15.75" customHeight="1">
      <c r="A69" s="176" t="s">
        <v>100</v>
      </c>
      <c r="B69" s="193" t="s">
        <v>101</v>
      </c>
      <c r="C69" s="194">
        <v>0.1</v>
      </c>
      <c r="D69" s="179" t="str">
        <f>data!G228</f>
        <v>µF</v>
      </c>
    </row>
    <row r="70" spans="1:4" ht="15.75" customHeight="1">
      <c r="A70" s="180" t="s">
        <v>102</v>
      </c>
      <c r="B70" s="195" t="s">
        <v>103</v>
      </c>
      <c r="C70" s="166">
        <f>Vrated</f>
        <v>256.6797615707168</v>
      </c>
      <c r="D70" s="182" t="s">
        <v>27</v>
      </c>
    </row>
    <row r="71" spans="1:4" ht="12.75">
      <c r="A71" s="196"/>
      <c r="B71" s="196"/>
      <c r="C71" s="196"/>
      <c r="D71" s="196"/>
    </row>
    <row r="72" spans="1:4" ht="13.5">
      <c r="A72" s="196"/>
      <c r="B72" s="196"/>
      <c r="C72" s="196"/>
      <c r="D72" s="196"/>
    </row>
    <row r="73" spans="1:4" ht="15.75">
      <c r="A73" s="155" t="s">
        <v>104</v>
      </c>
      <c r="B73" s="156"/>
      <c r="C73" s="156"/>
      <c r="D73" s="157"/>
    </row>
    <row r="74" spans="1:4" ht="16.5">
      <c r="A74" s="158" t="s">
        <v>105</v>
      </c>
      <c r="B74" s="162" t="s">
        <v>106</v>
      </c>
      <c r="C74" s="163">
        <f>(Vout-Vin_peak_min)/Vout</f>
        <v>0.3636038969321072</v>
      </c>
      <c r="D74" s="161"/>
    </row>
    <row r="75" spans="1:4" ht="16.5">
      <c r="A75" s="158" t="s">
        <v>107</v>
      </c>
      <c r="B75" s="162" t="s">
        <v>108</v>
      </c>
      <c r="C75" s="163">
        <f>Iin_peak_max+(Iripple/2)</f>
        <v>4.803430789559512</v>
      </c>
      <c r="D75" s="161" t="s">
        <v>45</v>
      </c>
    </row>
    <row r="76" spans="1:4" ht="16.5">
      <c r="A76" s="174" t="s">
        <v>109</v>
      </c>
      <c r="B76" s="159" t="s">
        <v>110</v>
      </c>
      <c r="C76" s="197">
        <f>((Vout*0.5*(1-0.5))/(fsw*kHz*Iripple))/mH</f>
        <v>0.7602701505715551</v>
      </c>
      <c r="D76" s="175" t="s">
        <v>111</v>
      </c>
    </row>
    <row r="77" spans="1:5" ht="21" customHeight="1">
      <c r="A77" s="176" t="s">
        <v>112</v>
      </c>
      <c r="B77" s="177" t="s">
        <v>113</v>
      </c>
      <c r="C77" s="178">
        <v>1.1</v>
      </c>
      <c r="D77" s="179" t="s">
        <v>111</v>
      </c>
      <c r="E77" s="190"/>
    </row>
    <row r="78" spans="1:5" ht="18.75" customHeight="1">
      <c r="A78" s="158" t="s">
        <v>114</v>
      </c>
      <c r="B78" s="159" t="s">
        <v>115</v>
      </c>
      <c r="C78" s="163">
        <f>(Vout*0.5*(1-0.5))/((fsw*kHz)*(Lbst*mH))</f>
        <v>0.8660644386494357</v>
      </c>
      <c r="D78" s="161" t="s">
        <v>45</v>
      </c>
      <c r="E78" s="190"/>
    </row>
    <row r="79" spans="1:4" ht="16.5">
      <c r="A79" s="158" t="s">
        <v>116</v>
      </c>
      <c r="B79" s="162" t="s">
        <v>117</v>
      </c>
      <c r="C79" s="163">
        <f>Iin_peak_max+(Iripple_actual/2)</f>
        <v>4.60992855807212</v>
      </c>
      <c r="D79" s="161" t="s">
        <v>45</v>
      </c>
    </row>
    <row r="80" spans="1:4" ht="17.25">
      <c r="A80" s="180" t="s">
        <v>118</v>
      </c>
      <c r="B80" s="165" t="s">
        <v>119</v>
      </c>
      <c r="C80" s="166">
        <f>Iripple_actual/(SQRT(2)*Iin_rms_max)</f>
        <v>0.2073464047013332</v>
      </c>
      <c r="D80" s="167"/>
    </row>
    <row r="81" spans="1:4" ht="12.75">
      <c r="A81" s="196"/>
      <c r="B81" s="196"/>
      <c r="C81" s="196"/>
      <c r="D81" s="196"/>
    </row>
    <row r="82" spans="1:4" ht="13.5">
      <c r="A82" s="196"/>
      <c r="B82" s="196"/>
      <c r="C82" s="196"/>
      <c r="D82" s="196"/>
    </row>
    <row r="83" spans="1:4" ht="15.75">
      <c r="A83" s="155" t="s">
        <v>120</v>
      </c>
      <c r="B83" s="156"/>
      <c r="C83" s="156"/>
      <c r="D83" s="157"/>
    </row>
    <row r="84" spans="1:4" ht="16.5">
      <c r="A84" s="174" t="s">
        <v>121</v>
      </c>
      <c r="B84" s="162" t="s">
        <v>122</v>
      </c>
      <c r="C84" s="160">
        <v>1.8</v>
      </c>
      <c r="D84" s="161" t="s">
        <v>27</v>
      </c>
    </row>
    <row r="85" spans="1:4" ht="16.5">
      <c r="A85" s="158" t="s">
        <v>123</v>
      </c>
      <c r="B85" s="162" t="s">
        <v>124</v>
      </c>
      <c r="C85" s="160">
        <v>23</v>
      </c>
      <c r="D85" s="161" t="s">
        <v>125</v>
      </c>
    </row>
    <row r="86" spans="1:4" ht="16.5">
      <c r="A86" s="158" t="s">
        <v>126</v>
      </c>
      <c r="B86" s="162" t="s">
        <v>77</v>
      </c>
      <c r="C86" s="160">
        <v>125</v>
      </c>
      <c r="D86" s="173" t="s">
        <v>42</v>
      </c>
    </row>
    <row r="87" spans="1:4" ht="16.5">
      <c r="A87" s="158" t="s">
        <v>127</v>
      </c>
      <c r="B87" s="162" t="s">
        <v>128</v>
      </c>
      <c r="C87" s="160">
        <v>1.2</v>
      </c>
      <c r="D87" s="173" t="s">
        <v>87</v>
      </c>
    </row>
    <row r="88" spans="1:4" ht="16.5">
      <c r="A88" s="158" t="s">
        <v>129</v>
      </c>
      <c r="B88" s="159" t="s">
        <v>130</v>
      </c>
      <c r="C88" s="160">
        <v>0.7</v>
      </c>
      <c r="D88" s="173" t="s">
        <v>87</v>
      </c>
    </row>
    <row r="89" spans="1:4" ht="16.5">
      <c r="A89" s="158" t="s">
        <v>131</v>
      </c>
      <c r="B89" s="162" t="s">
        <v>132</v>
      </c>
      <c r="C89" s="163">
        <f>Vf*Iout</f>
        <v>2.25</v>
      </c>
      <c r="D89" s="161" t="s">
        <v>33</v>
      </c>
    </row>
    <row r="90" spans="1:4" ht="16.5">
      <c r="A90" s="174" t="s">
        <v>133</v>
      </c>
      <c r="B90" s="162" t="s">
        <v>134</v>
      </c>
      <c r="C90" s="163">
        <f>(65*10^3)*Vout*(Qrr*10^-9)</f>
        <v>0.598</v>
      </c>
      <c r="D90" s="161" t="s">
        <v>33</v>
      </c>
    </row>
    <row r="91" spans="1:4" ht="16.5">
      <c r="A91" s="158" t="s">
        <v>135</v>
      </c>
      <c r="B91" s="162" t="s">
        <v>136</v>
      </c>
      <c r="C91" s="163">
        <f>Pdiode_cond+(Pdiode_reverse/2)</f>
        <v>2.549</v>
      </c>
      <c r="D91" s="161" t="s">
        <v>33</v>
      </c>
    </row>
    <row r="92" spans="1:4" ht="16.5">
      <c r="A92" s="158" t="s">
        <v>85</v>
      </c>
      <c r="B92" s="162" t="s">
        <v>137</v>
      </c>
      <c r="C92" s="163">
        <f>((Tj_diode-Tamb)/Pdiode)-Rth_diode-Rth_case_hs</f>
        <v>27.523303256178895</v>
      </c>
      <c r="D92" s="173" t="s">
        <v>87</v>
      </c>
    </row>
    <row r="93" spans="1:4" ht="17.25">
      <c r="A93" s="164" t="s">
        <v>138</v>
      </c>
      <c r="B93" s="165" t="s">
        <v>139</v>
      </c>
      <c r="C93" s="166">
        <f>Vout*1.1</f>
        <v>440.00000000000006</v>
      </c>
      <c r="D93" s="182" t="s">
        <v>27</v>
      </c>
    </row>
    <row r="94" spans="1:4" ht="12.75">
      <c r="A94" s="185"/>
      <c r="B94" s="185"/>
      <c r="C94" s="185"/>
      <c r="D94" s="185"/>
    </row>
    <row r="95" spans="1:4" ht="13.5">
      <c r="A95" s="169"/>
      <c r="B95" s="169"/>
      <c r="C95" s="169"/>
      <c r="D95" s="169"/>
    </row>
    <row r="96" spans="1:4" ht="15.75">
      <c r="A96" s="155" t="s">
        <v>140</v>
      </c>
      <c r="B96" s="156"/>
      <c r="C96" s="156"/>
      <c r="D96" s="157"/>
    </row>
    <row r="97" spans="1:5" ht="21" customHeight="1">
      <c r="A97" s="174" t="s">
        <v>141</v>
      </c>
      <c r="B97" s="162" t="s">
        <v>142</v>
      </c>
      <c r="C97" s="160">
        <v>15</v>
      </c>
      <c r="D97" s="161" t="s">
        <v>27</v>
      </c>
      <c r="E97" s="170">
        <f>IF(VCC&lt;12,"Bias voltage should be &gt;12V","")</f>
      </c>
    </row>
    <row r="98" spans="1:4" ht="16.5">
      <c r="A98" s="158" t="s">
        <v>143</v>
      </c>
      <c r="B98" s="162" t="s">
        <v>144</v>
      </c>
      <c r="C98" s="198">
        <f>IF(VCC&gt;=15.2,15.2,VCC-1.25)</f>
        <v>13.75</v>
      </c>
      <c r="D98" s="161" t="s">
        <v>27</v>
      </c>
    </row>
    <row r="99" spans="1:4" ht="16.5">
      <c r="A99" s="158" t="s">
        <v>145</v>
      </c>
      <c r="B99" s="162" t="s">
        <v>146</v>
      </c>
      <c r="C99" s="163">
        <f>(Pout/Vin_peak_min)*SQRT((2-(16*Vin_peak_min/(3*PI()*Vout))))</f>
        <v>1.8835918584969815</v>
      </c>
      <c r="D99" s="161" t="s">
        <v>45</v>
      </c>
    </row>
    <row r="100" spans="1:4" ht="16.5">
      <c r="A100" s="158" t="s">
        <v>147</v>
      </c>
      <c r="B100" s="162" t="s">
        <v>148</v>
      </c>
      <c r="C100" s="160">
        <v>0.65</v>
      </c>
      <c r="D100" s="173" t="s">
        <v>33</v>
      </c>
    </row>
    <row r="101" spans="1:4" ht="16.5">
      <c r="A101" s="158" t="s">
        <v>149</v>
      </c>
      <c r="B101" s="162" t="s">
        <v>150</v>
      </c>
      <c r="C101" s="160">
        <v>64</v>
      </c>
      <c r="D101" s="161" t="s">
        <v>125</v>
      </c>
    </row>
    <row r="102" spans="1:4" ht="16.5">
      <c r="A102" s="158" t="s">
        <v>151</v>
      </c>
      <c r="B102" s="162" t="s">
        <v>152</v>
      </c>
      <c r="C102" s="160">
        <v>15</v>
      </c>
      <c r="D102" s="161" t="s">
        <v>153</v>
      </c>
    </row>
    <row r="103" spans="1:4" ht="16.5">
      <c r="A103" s="158" t="s">
        <v>154</v>
      </c>
      <c r="B103" s="162" t="s">
        <v>155</v>
      </c>
      <c r="C103" s="160">
        <v>10</v>
      </c>
      <c r="D103" s="161" t="s">
        <v>153</v>
      </c>
    </row>
    <row r="104" spans="1:4" ht="16.5">
      <c r="A104" s="158" t="s">
        <v>156</v>
      </c>
      <c r="B104" s="162" t="s">
        <v>157</v>
      </c>
      <c r="C104" s="160">
        <v>48</v>
      </c>
      <c r="D104" s="161" t="s">
        <v>158</v>
      </c>
    </row>
    <row r="105" spans="1:4" ht="16.5">
      <c r="A105" s="158" t="s">
        <v>159</v>
      </c>
      <c r="B105" s="162" t="s">
        <v>77</v>
      </c>
      <c r="C105" s="160">
        <v>125</v>
      </c>
      <c r="D105" s="173" t="s">
        <v>42</v>
      </c>
    </row>
    <row r="106" spans="1:4" ht="16.5">
      <c r="A106" s="158" t="s">
        <v>160</v>
      </c>
      <c r="B106" s="162" t="s">
        <v>161</v>
      </c>
      <c r="C106" s="160">
        <v>0.73</v>
      </c>
      <c r="D106" s="173" t="s">
        <v>87</v>
      </c>
    </row>
    <row r="107" spans="1:4" ht="16.5">
      <c r="A107" s="174" t="s">
        <v>162</v>
      </c>
      <c r="B107" s="159" t="s">
        <v>163</v>
      </c>
      <c r="C107" s="160">
        <v>0.7</v>
      </c>
      <c r="D107" s="173" t="s">
        <v>87</v>
      </c>
    </row>
    <row r="108" spans="1:4" ht="16.5">
      <c r="A108" s="158" t="s">
        <v>164</v>
      </c>
      <c r="B108" s="162" t="s">
        <v>165</v>
      </c>
      <c r="C108" s="163">
        <f>Vgs*Qg*(nC)*fsw*kHz</f>
        <v>0.09237187953907235</v>
      </c>
      <c r="D108" s="161" t="s">
        <v>33</v>
      </c>
    </row>
    <row r="109" spans="1:4" ht="16.5">
      <c r="A109" s="158" t="s">
        <v>166</v>
      </c>
      <c r="B109" s="162" t="s">
        <v>167</v>
      </c>
      <c r="C109" s="163">
        <f>(Ids_rms^2)*(Rds_on)</f>
        <v>2.3061468881074734</v>
      </c>
      <c r="D109" s="161" t="s">
        <v>33</v>
      </c>
    </row>
    <row r="110" spans="1:4" ht="16.5">
      <c r="A110" s="158" t="s">
        <v>168</v>
      </c>
      <c r="B110" s="162" t="s">
        <v>169</v>
      </c>
      <c r="C110" s="163">
        <f>((fsw*kHz)/2)*(((tr_FET+tf_FET)*ns*Vout*Iin_peak_max)+(Coss*picoF*Vout^2))</f>
        <v>2.5952805053180397</v>
      </c>
      <c r="D110" s="161" t="s">
        <v>33</v>
      </c>
    </row>
    <row r="111" spans="1:4" ht="16.5">
      <c r="A111" s="158" t="s">
        <v>170</v>
      </c>
      <c r="B111" s="162" t="s">
        <v>171</v>
      </c>
      <c r="C111" s="163">
        <f>P_FETcond+P_FETsw</f>
        <v>4.901427393425513</v>
      </c>
      <c r="D111" s="161" t="s">
        <v>33</v>
      </c>
    </row>
    <row r="112" spans="1:4" ht="17.25">
      <c r="A112" s="164" t="s">
        <v>85</v>
      </c>
      <c r="B112" s="184" t="s">
        <v>172</v>
      </c>
      <c r="C112" s="166">
        <f>((Tj_FET-Tamb)/P_FET)-Rth_jc_FET-Rth_CHS_FET</f>
        <v>13.871665000811928</v>
      </c>
      <c r="D112" s="187" t="s">
        <v>87</v>
      </c>
    </row>
    <row r="113" spans="1:9" ht="12.75">
      <c r="A113" s="168"/>
      <c r="B113" s="168"/>
      <c r="C113" s="168"/>
      <c r="D113" s="168"/>
      <c r="F113" s="199"/>
      <c r="G113" s="199"/>
      <c r="H113" s="199"/>
      <c r="I113" s="199"/>
    </row>
    <row r="114" spans="1:9" ht="13.5">
      <c r="A114" s="169"/>
      <c r="B114" s="169"/>
      <c r="C114" s="169"/>
      <c r="D114" s="169"/>
      <c r="F114" s="199"/>
      <c r="G114" s="200"/>
      <c r="H114" s="200"/>
      <c r="I114" s="199"/>
    </row>
    <row r="115" spans="1:9" ht="15.75">
      <c r="A115" s="155" t="s">
        <v>173</v>
      </c>
      <c r="B115" s="156"/>
      <c r="C115" s="156"/>
      <c r="D115" s="157"/>
      <c r="F115" s="199"/>
      <c r="G115" s="200"/>
      <c r="H115" s="200"/>
      <c r="I115" s="199"/>
    </row>
    <row r="116" spans="1:9" ht="16.5">
      <c r="A116" s="174" t="s">
        <v>174</v>
      </c>
      <c r="B116" s="159" t="s">
        <v>175</v>
      </c>
      <c r="C116" s="163">
        <f>0.259/(Il_peak_actual*1.1)</f>
        <v>0.051075530236202385</v>
      </c>
      <c r="D116" s="173" t="s">
        <v>33</v>
      </c>
      <c r="F116" s="199"/>
      <c r="G116" s="200"/>
      <c r="H116" s="200"/>
      <c r="I116" s="199"/>
    </row>
    <row r="117" spans="1:9" ht="16.5">
      <c r="A117" s="176" t="s">
        <v>176</v>
      </c>
      <c r="B117" s="177" t="s">
        <v>177</v>
      </c>
      <c r="C117" s="194">
        <v>0.015</v>
      </c>
      <c r="D117" s="201" t="s">
        <v>33</v>
      </c>
      <c r="E117" s="202">
        <f>IF(Rsense&gt;0.259/I_Lpeak,"DECREASE Rsense","")</f>
      </c>
      <c r="F117" s="199"/>
      <c r="G117" s="200"/>
      <c r="H117" s="200"/>
      <c r="I117" s="199"/>
    </row>
    <row r="118" spans="1:9" ht="12.75">
      <c r="A118" s="174" t="s">
        <v>178</v>
      </c>
      <c r="B118" s="159" t="s">
        <v>179</v>
      </c>
      <c r="C118" s="203">
        <f>VCOMP!Z7</f>
        <v>3.773066379483753</v>
      </c>
      <c r="D118" s="161" t="s">
        <v>27</v>
      </c>
      <c r="E118" s="202">
        <f>IF(C118&gt;5.7,"DECREASE Rsense","")</f>
      </c>
      <c r="F118" s="199"/>
      <c r="G118" s="200"/>
      <c r="H118" s="200"/>
      <c r="I118" s="199"/>
    </row>
    <row r="119" spans="1:9" ht="16.5">
      <c r="A119" s="174" t="s">
        <v>180</v>
      </c>
      <c r="B119" s="162" t="s">
        <v>181</v>
      </c>
      <c r="C119" s="163">
        <f>0.259/Rsense</f>
        <v>17.26666666666667</v>
      </c>
      <c r="D119" s="161" t="s">
        <v>45</v>
      </c>
      <c r="F119" s="199"/>
      <c r="G119" s="200"/>
      <c r="H119" s="200"/>
      <c r="I119" s="199"/>
    </row>
    <row r="120" spans="1:9" ht="16.5">
      <c r="A120" s="158" t="s">
        <v>182</v>
      </c>
      <c r="B120" s="162" t="s">
        <v>183</v>
      </c>
      <c r="C120" s="163">
        <f>(Iin_rms_max^2)*Rsense</f>
        <v>0.13084847268481084</v>
      </c>
      <c r="D120" s="161" t="s">
        <v>33</v>
      </c>
      <c r="F120" s="199"/>
      <c r="G120" s="200"/>
      <c r="H120" s="200"/>
      <c r="I120" s="199"/>
    </row>
    <row r="121" spans="1:9" ht="16.5">
      <c r="A121" s="174" t="s">
        <v>184</v>
      </c>
      <c r="B121" s="162" t="s">
        <v>185</v>
      </c>
      <c r="C121" s="163">
        <f>(((Isoc-((Vout*Dmax*(1-Dmax))/(fsw*kHz*Lbst*mH)/2))*Vacin_min*PF)/(SQRT(2))*eff)/Vout</f>
        <v>5.04736574319265</v>
      </c>
      <c r="D121" s="161" t="s">
        <v>45</v>
      </c>
      <c r="F121" s="199"/>
      <c r="G121" s="200"/>
      <c r="H121" s="200"/>
      <c r="I121" s="199"/>
    </row>
    <row r="122" spans="1:9" ht="16.5">
      <c r="A122" s="174" t="s">
        <v>186</v>
      </c>
      <c r="B122" s="162" t="s">
        <v>187</v>
      </c>
      <c r="C122" s="163">
        <f>0.438/Rsense</f>
        <v>29.200000000000003</v>
      </c>
      <c r="D122" s="161" t="s">
        <v>45</v>
      </c>
      <c r="F122" s="199"/>
      <c r="G122" s="200"/>
      <c r="H122" s="200"/>
      <c r="I122" s="199"/>
    </row>
    <row r="123" spans="1:9" ht="16.5">
      <c r="A123" s="174" t="s">
        <v>188</v>
      </c>
      <c r="B123" s="162" t="s">
        <v>189</v>
      </c>
      <c r="C123" s="160">
        <v>100</v>
      </c>
      <c r="D123" s="173" t="s">
        <v>33</v>
      </c>
      <c r="F123" s="199"/>
      <c r="G123" s="200"/>
      <c r="H123" s="200"/>
      <c r="I123" s="199"/>
    </row>
    <row r="124" spans="1:9" ht="16.5">
      <c r="A124" s="158" t="s">
        <v>190</v>
      </c>
      <c r="B124" s="162" t="s">
        <v>191</v>
      </c>
      <c r="C124" s="163">
        <f>Vin_peak_max/C123</f>
        <v>2.333452377915607</v>
      </c>
      <c r="D124" s="161" t="s">
        <v>45</v>
      </c>
      <c r="F124" s="199"/>
      <c r="G124" s="200"/>
      <c r="H124" s="200"/>
      <c r="I124" s="199"/>
    </row>
    <row r="125" spans="1:9" ht="16.5">
      <c r="A125" s="176" t="s">
        <v>192</v>
      </c>
      <c r="B125" s="177" t="s">
        <v>193</v>
      </c>
      <c r="C125" s="204">
        <v>220</v>
      </c>
      <c r="D125" s="201" t="s">
        <v>33</v>
      </c>
      <c r="F125" s="199"/>
      <c r="G125" s="200"/>
      <c r="H125" s="200"/>
      <c r="I125" s="199"/>
    </row>
    <row r="126" spans="1:9" ht="17.25">
      <c r="A126" s="205" t="s">
        <v>194</v>
      </c>
      <c r="B126" s="206" t="s">
        <v>195</v>
      </c>
      <c r="C126" s="207">
        <f>data!F276</f>
        <v>1000</v>
      </c>
      <c r="D126" s="208" t="str">
        <f>data!G276</f>
        <v>pF</v>
      </c>
      <c r="F126" s="199"/>
      <c r="G126" s="200"/>
      <c r="H126" s="200"/>
      <c r="I126" s="199"/>
    </row>
    <row r="127" spans="1:9" ht="12.75">
      <c r="A127" s="209"/>
      <c r="B127" s="209"/>
      <c r="C127" s="209"/>
      <c r="D127" s="209"/>
      <c r="F127" s="199"/>
      <c r="G127" s="200"/>
      <c r="H127" s="200"/>
      <c r="I127" s="199"/>
    </row>
    <row r="128" spans="1:9" ht="13.5">
      <c r="A128" s="210"/>
      <c r="B128" s="210"/>
      <c r="C128" s="210"/>
      <c r="D128" s="210"/>
      <c r="F128" s="199"/>
      <c r="G128" s="200"/>
      <c r="H128" s="200"/>
      <c r="I128" s="199"/>
    </row>
    <row r="129" spans="1:9" ht="15.75">
      <c r="A129" s="155" t="s">
        <v>196</v>
      </c>
      <c r="B129" s="156"/>
      <c r="C129" s="156"/>
      <c r="D129" s="157"/>
      <c r="F129" s="199"/>
      <c r="G129" s="200"/>
      <c r="H129" s="200"/>
      <c r="I129" s="199"/>
    </row>
    <row r="130" spans="1:9" ht="16.5">
      <c r="A130" s="158" t="s">
        <v>197</v>
      </c>
      <c r="B130" s="162" t="s">
        <v>198</v>
      </c>
      <c r="C130" s="160">
        <v>300</v>
      </c>
      <c r="D130" s="161" t="s">
        <v>27</v>
      </c>
      <c r="E130" s="171">
        <f>IF(Vout_holdup&gt;Vout,"ENTER A LOWER VALUE FOR THE MINIMUM HOLDUP VOLTAGE","")</f>
      </c>
      <c r="F130" s="199"/>
      <c r="G130" s="200"/>
      <c r="H130" s="200"/>
      <c r="I130" s="199"/>
    </row>
    <row r="131" spans="1:9" ht="16.5">
      <c r="A131" s="158" t="s">
        <v>199</v>
      </c>
      <c r="B131" s="162" t="s">
        <v>200</v>
      </c>
      <c r="C131" s="160">
        <v>1</v>
      </c>
      <c r="D131" s="161"/>
      <c r="F131" s="199"/>
      <c r="G131" s="200"/>
      <c r="H131" s="200"/>
      <c r="I131" s="199"/>
    </row>
    <row r="132" spans="1:9" ht="16.5">
      <c r="A132" s="174" t="s">
        <v>201</v>
      </c>
      <c r="B132" s="162" t="s">
        <v>202</v>
      </c>
      <c r="C132" s="163">
        <f>Nholdup*((1/fline_min)/ms)</f>
        <v>21.27659574468085</v>
      </c>
      <c r="D132" s="161" t="s">
        <v>203</v>
      </c>
      <c r="F132" s="199"/>
      <c r="G132" s="200"/>
      <c r="H132" s="200"/>
      <c r="I132" s="199"/>
    </row>
    <row r="133" spans="1:9" ht="16.5">
      <c r="A133" s="174" t="s">
        <v>204</v>
      </c>
      <c r="B133" s="159" t="s">
        <v>205</v>
      </c>
      <c r="C133" s="163">
        <f>data!F236</f>
        <v>330</v>
      </c>
      <c r="D133" s="175" t="str">
        <f>data!G236</f>
        <v>µF</v>
      </c>
      <c r="F133" s="199"/>
      <c r="G133" s="200"/>
      <c r="H133" s="200"/>
      <c r="I133" s="199"/>
    </row>
    <row r="134" spans="1:9" ht="30.75" customHeight="1">
      <c r="A134" s="176" t="s">
        <v>206</v>
      </c>
      <c r="B134" s="177" t="s">
        <v>207</v>
      </c>
      <c r="C134" s="211">
        <v>330</v>
      </c>
      <c r="D134" s="179" t="str">
        <f>data!G236</f>
        <v>µF</v>
      </c>
      <c r="E134" s="170">
        <f>IF(Cout&lt;C133,"INCREASE OUTPUT CAPACITANCE TO AT LEAST MINIMUM RECOMMENDED VALUE","")</f>
      </c>
      <c r="F134" s="199"/>
      <c r="G134" s="200"/>
      <c r="H134" s="200"/>
      <c r="I134" s="199"/>
    </row>
    <row r="135" spans="1:9" ht="16.5">
      <c r="A135" s="158" t="s">
        <v>208</v>
      </c>
      <c r="B135" s="162" t="s">
        <v>209</v>
      </c>
      <c r="C135" s="163">
        <f>Iout/(PI()*2*2*fline_min*Cout*uF)</f>
        <v>6.4134003502536805</v>
      </c>
      <c r="D135" s="161" t="s">
        <v>27</v>
      </c>
      <c r="F135" s="199"/>
      <c r="G135" s="200"/>
      <c r="H135" s="200"/>
      <c r="I135" s="199"/>
    </row>
    <row r="136" spans="1:9" ht="12.75">
      <c r="A136" s="212" t="str">
        <f>IF(Vout_ripplepp&gt;=0.04*Vout,"OUTPUT CAPACITOR must be sized larger so OVP/UVD is not triggered","Good! Output voltage peak-peak ripple is less than 5% VOUT")</f>
        <v>Good! Output voltage peak-peak ripple is less than 5% VOUT</v>
      </c>
      <c r="B136" s="213"/>
      <c r="C136" s="213"/>
      <c r="D136" s="214"/>
      <c r="F136" s="199"/>
      <c r="G136" s="200"/>
      <c r="H136" s="200"/>
      <c r="I136" s="199"/>
    </row>
    <row r="137" spans="1:9" ht="16.5">
      <c r="A137" s="158" t="s">
        <v>210</v>
      </c>
      <c r="B137" s="162" t="s">
        <v>211</v>
      </c>
      <c r="C137" s="163">
        <f>Iout/SQRT(2)</f>
        <v>0.8838834764831843</v>
      </c>
      <c r="D137" s="161" t="s">
        <v>212</v>
      </c>
      <c r="F137" s="199"/>
      <c r="G137" s="200"/>
      <c r="H137" s="200"/>
      <c r="I137" s="199"/>
    </row>
    <row r="138" spans="1:9" ht="16.5">
      <c r="A138" s="158" t="s">
        <v>213</v>
      </c>
      <c r="B138" s="162" t="s">
        <v>214</v>
      </c>
      <c r="C138" s="163">
        <f>Iout*SQRT(((16*Vout)/(3*PI()*Vin_peak_min))-1.5)</f>
        <v>1.350696521547285</v>
      </c>
      <c r="D138" s="161" t="s">
        <v>212</v>
      </c>
      <c r="F138" s="199"/>
      <c r="G138" s="200"/>
      <c r="H138" s="200"/>
      <c r="I138" s="199"/>
    </row>
    <row r="139" spans="1:9" ht="17.25">
      <c r="A139" s="164" t="s">
        <v>215</v>
      </c>
      <c r="B139" s="184" t="s">
        <v>216</v>
      </c>
      <c r="C139" s="166">
        <f>SQRT((Icout_2fline^2)+(Icout_HF^2))</f>
        <v>1.614196733152417</v>
      </c>
      <c r="D139" s="167" t="s">
        <v>212</v>
      </c>
      <c r="F139" s="199"/>
      <c r="G139" s="200"/>
      <c r="H139" s="200"/>
      <c r="I139" s="199"/>
    </row>
    <row r="140" spans="1:9" ht="12.75">
      <c r="A140" s="209">
        <f>IF(Vout_ripplepp&gt;0.04*Vout,"OUTPUT CAPACITOR MUST BE INCREASED TO PREVENT OVP DURING NORMAL OPERATING RANGE","")</f>
      </c>
      <c r="B140" s="209"/>
      <c r="C140" s="209"/>
      <c r="D140" s="209"/>
      <c r="F140" s="199"/>
      <c r="G140" s="200"/>
      <c r="H140" s="200"/>
      <c r="I140" s="199"/>
    </row>
    <row r="141" spans="1:9" ht="13.5">
      <c r="A141" s="210"/>
      <c r="B141" s="210"/>
      <c r="C141" s="210"/>
      <c r="D141" s="210"/>
      <c r="F141" s="199"/>
      <c r="G141" s="200"/>
      <c r="H141" s="200"/>
      <c r="I141" s="199"/>
    </row>
    <row r="142" spans="1:9" ht="15.75">
      <c r="A142" s="155" t="s">
        <v>217</v>
      </c>
      <c r="B142" s="156"/>
      <c r="C142" s="156"/>
      <c r="D142" s="157"/>
      <c r="F142" s="199"/>
      <c r="G142" s="200"/>
      <c r="H142" s="200"/>
      <c r="I142" s="199"/>
    </row>
    <row r="143" spans="1:9" ht="16.5">
      <c r="A143" s="159" t="s">
        <v>218</v>
      </c>
      <c r="B143" s="159" t="s">
        <v>219</v>
      </c>
      <c r="C143" s="198">
        <v>1</v>
      </c>
      <c r="D143" s="175" t="s">
        <v>220</v>
      </c>
      <c r="F143" s="199"/>
      <c r="G143" s="200"/>
      <c r="H143" s="200"/>
      <c r="I143" s="199"/>
    </row>
    <row r="144" spans="1:9" ht="16.5">
      <c r="A144" s="177" t="s">
        <v>221</v>
      </c>
      <c r="B144" s="177" t="s">
        <v>222</v>
      </c>
      <c r="C144" s="178">
        <v>1.27</v>
      </c>
      <c r="D144" s="179" t="s">
        <v>223</v>
      </c>
      <c r="E144" s="171">
        <f>IF(R_fb1&lt;0.953,"RECOMMENDED VALUE IS GREATER THAN OR EQUAL TO 1M","")</f>
      </c>
      <c r="F144" s="199"/>
      <c r="G144" s="200"/>
      <c r="H144" s="200"/>
      <c r="I144" s="199"/>
    </row>
    <row r="145" spans="1:4" ht="16.5">
      <c r="A145" s="159" t="s">
        <v>224</v>
      </c>
      <c r="B145" s="159" t="s">
        <v>225</v>
      </c>
      <c r="C145" s="163">
        <f>data!F242</f>
        <v>16.2</v>
      </c>
      <c r="D145" s="175" t="s">
        <v>226</v>
      </c>
    </row>
    <row r="146" spans="1:9" ht="16.5">
      <c r="A146" s="177" t="s">
        <v>227</v>
      </c>
      <c r="B146" s="177" t="s">
        <v>228</v>
      </c>
      <c r="C146" s="215">
        <v>16</v>
      </c>
      <c r="D146" s="179" t="s">
        <v>229</v>
      </c>
      <c r="F146" s="199"/>
      <c r="G146" s="200"/>
      <c r="H146" s="200"/>
      <c r="I146" s="199"/>
    </row>
    <row r="147" spans="1:9" ht="31.5" customHeight="1">
      <c r="A147" s="177" t="s">
        <v>230</v>
      </c>
      <c r="B147" s="177" t="s">
        <v>231</v>
      </c>
      <c r="C147" s="197">
        <f>VREF*((R_fb1*MegOhm)+(R_fb2*kOhms))/(R_fb2*kOhms)</f>
        <v>401.875</v>
      </c>
      <c r="D147" s="179" t="s">
        <v>27</v>
      </c>
      <c r="E147" s="216">
        <f>IF(Vout_min&lt;Vin_peak_max,"DO NOT PROCEED WITHOUT ADJUSTING THE RESISTOR DIVIDER IN ORDER TO ACHIEVE THE DESIRED OUTPUT VOLTAGE",IF(Vout_nom&gt;1.1*Vout,"ADJUST BOTTOM DIVIDER RESISTOR FOR DESIRED OUTPUT VOLTAGE",""))</f>
      </c>
      <c r="F147" s="217"/>
      <c r="G147" s="200"/>
      <c r="H147" s="200"/>
      <c r="I147" s="199"/>
    </row>
    <row r="148" spans="1:9" ht="16.5">
      <c r="A148" s="192" t="s">
        <v>232</v>
      </c>
      <c r="B148" s="159" t="s">
        <v>233</v>
      </c>
      <c r="C148" s="163">
        <f>VREFmin*((R_fb1*MegOhm)+(R_fb2*kOhms))/(R_fb2*kOhms)</f>
        <v>396.24875</v>
      </c>
      <c r="D148" s="161" t="s">
        <v>27</v>
      </c>
      <c r="F148" s="199"/>
      <c r="G148" s="200"/>
      <c r="H148" s="200"/>
      <c r="I148" s="199"/>
    </row>
    <row r="149" spans="1:9" ht="16.5">
      <c r="A149" s="192" t="s">
        <v>234</v>
      </c>
      <c r="B149" s="159" t="s">
        <v>235</v>
      </c>
      <c r="C149" s="163">
        <f>VREFmax*((R_fb1*MegOhm)+(R_fb2*kOhms))/(R_fb2*kOhms)</f>
        <v>407.50125</v>
      </c>
      <c r="D149" s="161" t="s">
        <v>27</v>
      </c>
      <c r="F149" s="199"/>
      <c r="G149" s="200"/>
      <c r="H149" s="200"/>
      <c r="I149" s="199"/>
    </row>
    <row r="150" spans="1:9" ht="16.5">
      <c r="A150" s="159" t="s">
        <v>236</v>
      </c>
      <c r="B150" s="162" t="s">
        <v>237</v>
      </c>
      <c r="C150" s="163">
        <f>(VREF*1.09)*((R_fb1*MegOhm)+(R_fb2*kOhms))/(R_fb2*kOhms)</f>
        <v>438.04375</v>
      </c>
      <c r="D150" s="161" t="s">
        <v>27</v>
      </c>
      <c r="F150" s="199"/>
      <c r="G150" s="200"/>
      <c r="H150" s="200"/>
      <c r="I150" s="199"/>
    </row>
    <row r="151" spans="1:9" ht="16.5">
      <c r="A151" s="159" t="s">
        <v>238</v>
      </c>
      <c r="B151" s="162" t="s">
        <v>239</v>
      </c>
      <c r="C151" s="163">
        <f>(VREF*0.95)*((R_fb1*MegOhm)+(R_fb2*kOhms))/(R_fb2*kOhms)</f>
        <v>381.78125</v>
      </c>
      <c r="D151" s="161" t="s">
        <v>27</v>
      </c>
      <c r="F151" s="199"/>
      <c r="G151" s="200"/>
      <c r="H151" s="200"/>
      <c r="I151" s="199"/>
    </row>
    <row r="152" spans="1:9" ht="16.5">
      <c r="A152" s="176" t="s">
        <v>240</v>
      </c>
      <c r="B152" s="177" t="s">
        <v>241</v>
      </c>
      <c r="C152" s="197">
        <f>data!F245</f>
        <v>680</v>
      </c>
      <c r="D152" s="179" t="str">
        <f>data!G245</f>
        <v>pF</v>
      </c>
      <c r="F152" s="199"/>
      <c r="G152" s="200"/>
      <c r="H152" s="200"/>
      <c r="I152" s="199"/>
    </row>
    <row r="153" spans="1:9" ht="17.25">
      <c r="A153" s="180" t="s">
        <v>242</v>
      </c>
      <c r="B153" s="165" t="s">
        <v>243</v>
      </c>
      <c r="C153" s="166">
        <f>(Vout_nom^2)/((R_fb1*MegOhm)+(R_fb2*kOhms))</f>
        <v>0.1255859375</v>
      </c>
      <c r="D153" s="182" t="s">
        <v>33</v>
      </c>
      <c r="F153" s="199"/>
      <c r="G153" s="200"/>
      <c r="H153" s="200"/>
      <c r="I153" s="199"/>
    </row>
    <row r="154" spans="1:9" ht="12.75">
      <c r="A154" s="218">
        <f>IF(Vout_min&lt;Vin_peak_max,"DO NOT PROCEED UNTIL RFB2 IS DECREASED SO MINIMUM OUTPUT VOLTAGE &gt; MAXIMUM RECTIFIED INPUT VOLTAGE","")</f>
      </c>
      <c r="B154" s="218"/>
      <c r="C154" s="218"/>
      <c r="D154" s="218"/>
      <c r="F154" s="199"/>
      <c r="G154" s="200"/>
      <c r="H154" s="200"/>
      <c r="I154" s="199"/>
    </row>
    <row r="155" spans="1:9" ht="13.5">
      <c r="A155" s="219"/>
      <c r="B155" s="219"/>
      <c r="C155" s="219"/>
      <c r="D155" s="219"/>
      <c r="F155" s="199"/>
      <c r="G155" s="200"/>
      <c r="H155" s="200"/>
      <c r="I155" s="199"/>
    </row>
    <row r="156" spans="1:9" ht="15.75">
      <c r="A156" s="155" t="s">
        <v>244</v>
      </c>
      <c r="B156" s="156"/>
      <c r="C156" s="156"/>
      <c r="D156" s="157"/>
      <c r="F156" s="199"/>
      <c r="G156" s="200"/>
      <c r="H156" s="200"/>
      <c r="I156" s="199"/>
    </row>
    <row r="157" spans="6:9" ht="15.75" customHeight="1">
      <c r="F157" s="199"/>
      <c r="G157" s="200"/>
      <c r="H157" s="200"/>
      <c r="I157" s="199"/>
    </row>
    <row r="158" spans="1:9" ht="15" customHeight="1">
      <c r="A158" s="220"/>
      <c r="B158" s="221"/>
      <c r="C158" s="221"/>
      <c r="D158" s="222"/>
      <c r="F158" s="199"/>
      <c r="G158" s="200"/>
      <c r="H158" s="200"/>
      <c r="I158" s="199"/>
    </row>
    <row r="159" spans="1:9" ht="15" customHeight="1">
      <c r="A159" s="220"/>
      <c r="B159" s="221"/>
      <c r="C159" s="221"/>
      <c r="D159" s="222"/>
      <c r="F159" s="199"/>
      <c r="G159" s="200"/>
      <c r="H159" s="200"/>
      <c r="I159" s="199"/>
    </row>
    <row r="160" spans="1:9" ht="15" customHeight="1">
      <c r="A160" s="220"/>
      <c r="B160" s="221"/>
      <c r="C160" s="221"/>
      <c r="D160" s="222"/>
      <c r="F160" s="199"/>
      <c r="G160" s="200"/>
      <c r="H160" s="200"/>
      <c r="I160" s="199"/>
    </row>
    <row r="161" spans="1:9" ht="15" customHeight="1">
      <c r="A161" s="220"/>
      <c r="B161" s="221"/>
      <c r="C161" s="221"/>
      <c r="D161" s="222"/>
      <c r="F161" s="199"/>
      <c r="G161" s="200"/>
      <c r="H161" s="200"/>
      <c r="I161" s="199"/>
    </row>
    <row r="162" spans="1:9" ht="15" customHeight="1">
      <c r="A162" s="223"/>
      <c r="B162" s="224"/>
      <c r="C162" s="224"/>
      <c r="D162" s="225"/>
      <c r="F162" s="199"/>
      <c r="G162" s="200"/>
      <c r="H162" s="200"/>
      <c r="I162" s="199"/>
    </row>
    <row r="163" spans="1:9" ht="15" customHeight="1">
      <c r="A163" s="223"/>
      <c r="B163" s="224"/>
      <c r="C163" s="224"/>
      <c r="D163" s="225"/>
      <c r="F163" s="199"/>
      <c r="G163" s="200"/>
      <c r="H163" s="200"/>
      <c r="I163" s="199"/>
    </row>
    <row r="164" spans="1:9" ht="15" customHeight="1">
      <c r="A164" s="223"/>
      <c r="B164" s="224"/>
      <c r="C164" s="224"/>
      <c r="D164" s="225"/>
      <c r="F164" s="199"/>
      <c r="G164" s="200"/>
      <c r="H164" s="200"/>
      <c r="I164" s="199"/>
    </row>
    <row r="165" spans="1:9" ht="15" customHeight="1">
      <c r="A165" s="223"/>
      <c r="B165" s="224"/>
      <c r="C165" s="224"/>
      <c r="D165" s="225"/>
      <c r="F165" s="199"/>
      <c r="G165" s="200"/>
      <c r="H165" s="200"/>
      <c r="I165" s="199"/>
    </row>
    <row r="166" spans="1:9" ht="15" customHeight="1">
      <c r="A166" s="220"/>
      <c r="B166" s="221"/>
      <c r="C166" s="221"/>
      <c r="D166" s="222"/>
      <c r="F166" s="199"/>
      <c r="G166" s="200"/>
      <c r="H166" s="200"/>
      <c r="I166" s="199"/>
    </row>
    <row r="167" spans="1:9" ht="15" customHeight="1">
      <c r="A167" s="220"/>
      <c r="B167" s="221"/>
      <c r="C167" s="221"/>
      <c r="D167" s="222"/>
      <c r="F167" s="199"/>
      <c r="G167" s="200"/>
      <c r="H167" s="200"/>
      <c r="I167" s="199"/>
    </row>
    <row r="168" spans="1:9" ht="15" customHeight="1">
      <c r="A168" s="220"/>
      <c r="B168" s="221"/>
      <c r="C168" s="221"/>
      <c r="D168" s="222"/>
      <c r="F168" s="199"/>
      <c r="G168" s="200"/>
      <c r="H168" s="200"/>
      <c r="I168" s="199"/>
    </row>
    <row r="169" spans="1:9" ht="15" customHeight="1">
      <c r="A169" s="220"/>
      <c r="B169" s="221"/>
      <c r="C169" s="221"/>
      <c r="D169" s="222"/>
      <c r="F169" s="199"/>
      <c r="G169" s="200"/>
      <c r="H169" s="200"/>
      <c r="I169" s="199"/>
    </row>
    <row r="170" spans="1:9" ht="15" customHeight="1">
      <c r="A170" s="223"/>
      <c r="B170" s="224"/>
      <c r="C170" s="224"/>
      <c r="D170" s="226"/>
      <c r="F170" s="199"/>
      <c r="G170" s="200"/>
      <c r="H170" s="200"/>
      <c r="I170" s="199"/>
    </row>
    <row r="171" spans="1:9" ht="15" customHeight="1">
      <c r="A171" s="223"/>
      <c r="B171" s="224"/>
      <c r="C171" s="224"/>
      <c r="D171" s="226"/>
      <c r="F171" s="199"/>
      <c r="G171" s="200"/>
      <c r="H171" s="200"/>
      <c r="I171" s="199"/>
    </row>
    <row r="172" spans="1:9" ht="15" customHeight="1">
      <c r="A172" s="223"/>
      <c r="B172" s="224"/>
      <c r="C172" s="224"/>
      <c r="D172" s="226"/>
      <c r="F172" s="199"/>
      <c r="G172" s="200"/>
      <c r="H172" s="200"/>
      <c r="I172" s="199"/>
    </row>
    <row r="173" spans="1:9" ht="15" customHeight="1">
      <c r="A173" s="223"/>
      <c r="B173" s="224"/>
      <c r="C173" s="224"/>
      <c r="D173" s="226"/>
      <c r="F173" s="199"/>
      <c r="G173" s="200"/>
      <c r="H173" s="200"/>
      <c r="I173" s="199"/>
    </row>
    <row r="174" spans="1:9" ht="15" customHeight="1">
      <c r="A174" s="223"/>
      <c r="B174" s="224"/>
      <c r="C174" s="224"/>
      <c r="D174" s="226"/>
      <c r="F174" s="199"/>
      <c r="G174" s="200"/>
      <c r="H174" s="200"/>
      <c r="I174" s="199"/>
    </row>
    <row r="175" spans="1:9" ht="15" customHeight="1">
      <c r="A175" s="223"/>
      <c r="B175" s="224"/>
      <c r="C175" s="224"/>
      <c r="D175" s="226"/>
      <c r="F175" s="199"/>
      <c r="G175" s="200"/>
      <c r="H175" s="200"/>
      <c r="I175" s="199"/>
    </row>
    <row r="176" spans="1:9" ht="15" customHeight="1">
      <c r="A176" s="223"/>
      <c r="B176" s="224"/>
      <c r="C176" s="224"/>
      <c r="D176" s="226"/>
      <c r="F176" s="199"/>
      <c r="G176" s="200"/>
      <c r="H176" s="200"/>
      <c r="I176" s="199"/>
    </row>
    <row r="177" spans="1:9" ht="15" customHeight="1">
      <c r="A177" s="223"/>
      <c r="B177" s="224"/>
      <c r="C177" s="224"/>
      <c r="D177" s="226"/>
      <c r="F177" s="199"/>
      <c r="G177" s="200"/>
      <c r="H177" s="200"/>
      <c r="I177" s="199"/>
    </row>
    <row r="178" spans="1:9" ht="15" customHeight="1">
      <c r="A178" s="223"/>
      <c r="B178" s="224"/>
      <c r="C178" s="224"/>
      <c r="D178" s="226"/>
      <c r="F178" s="199"/>
      <c r="G178" s="200"/>
      <c r="H178" s="200"/>
      <c r="I178" s="199"/>
    </row>
    <row r="179" spans="1:9" ht="15" customHeight="1">
      <c r="A179" s="223"/>
      <c r="B179" s="224"/>
      <c r="C179" s="224"/>
      <c r="D179" s="226"/>
      <c r="F179" s="199"/>
      <c r="G179" s="200"/>
      <c r="H179" s="200"/>
      <c r="I179" s="199"/>
    </row>
    <row r="180" spans="1:20" ht="45" customHeight="1">
      <c r="A180" s="227" t="s">
        <v>245</v>
      </c>
      <c r="B180" s="228"/>
      <c r="C180" s="228"/>
      <c r="D180" s="229"/>
      <c r="F180" s="230" t="s">
        <v>246</v>
      </c>
      <c r="G180" s="230"/>
      <c r="H180" s="230"/>
      <c r="I180" s="230"/>
      <c r="J180" s="230"/>
      <c r="K180" s="230"/>
      <c r="L180" s="230"/>
      <c r="O180" s="251"/>
      <c r="P180" s="251"/>
      <c r="Q180" s="251"/>
      <c r="R180" s="251"/>
      <c r="S180" s="251"/>
      <c r="T180" s="251"/>
    </row>
    <row r="181" spans="1:14" ht="15" customHeight="1">
      <c r="A181" s="231" t="s">
        <v>247</v>
      </c>
      <c r="B181" s="232" t="s">
        <v>248</v>
      </c>
      <c r="C181" s="233">
        <v>220</v>
      </c>
      <c r="D181" s="234" t="s">
        <v>27</v>
      </c>
      <c r="G181" s="235" t="s">
        <v>249</v>
      </c>
      <c r="H181" s="236"/>
      <c r="I181" s="252" t="s">
        <v>250</v>
      </c>
      <c r="J181" s="253">
        <v>230</v>
      </c>
      <c r="K181" s="161" t="s">
        <v>17</v>
      </c>
      <c r="N181" s="254"/>
    </row>
    <row r="182" spans="1:11" ht="15" customHeight="1">
      <c r="A182" s="237" t="s">
        <v>251</v>
      </c>
      <c r="B182" s="238"/>
      <c r="C182" s="238"/>
      <c r="D182" s="239"/>
      <c r="G182" s="240" t="s">
        <v>252</v>
      </c>
      <c r="H182" s="241"/>
      <c r="I182" s="255" t="s">
        <v>253</v>
      </c>
      <c r="J182" s="256">
        <f>VCOMP!B44</f>
        <v>2.0380546238946535</v>
      </c>
      <c r="K182" s="175" t="s">
        <v>27</v>
      </c>
    </row>
    <row r="183" spans="1:12" ht="15.75" customHeight="1">
      <c r="A183" s="158" t="s">
        <v>254</v>
      </c>
      <c r="B183" s="159" t="s">
        <v>255</v>
      </c>
      <c r="C183" s="163">
        <f>M1M2</f>
        <v>0.12097884745291036</v>
      </c>
      <c r="D183" s="242" t="s">
        <v>256</v>
      </c>
      <c r="F183" s="199"/>
      <c r="G183" s="240" t="s">
        <v>257</v>
      </c>
      <c r="H183" s="241"/>
      <c r="I183" s="255" t="s">
        <v>253</v>
      </c>
      <c r="J183" s="256">
        <f>VCOMP!B45</f>
        <v>3.6636957287788303</v>
      </c>
      <c r="K183" s="175" t="s">
        <v>27</v>
      </c>
      <c r="L183" s="202">
        <f>IF(J183&gt;5.7,"DECREASE Rsense","")</f>
      </c>
    </row>
    <row r="184" spans="1:11" ht="15.75" customHeight="1">
      <c r="A184" s="176" t="s">
        <v>258</v>
      </c>
      <c r="B184" s="159" t="s">
        <v>259</v>
      </c>
      <c r="C184" s="243">
        <f>data!H69</f>
        <v>2.0725409294420944</v>
      </c>
      <c r="D184" s="242" t="s">
        <v>27</v>
      </c>
      <c r="F184" s="244" t="s">
        <v>260</v>
      </c>
      <c r="G184" s="244"/>
      <c r="H184" s="244"/>
      <c r="I184" s="244"/>
      <c r="J184" s="244"/>
      <c r="K184" s="244"/>
    </row>
    <row r="185" spans="1:11" ht="16.5">
      <c r="A185" s="174" t="s">
        <v>261</v>
      </c>
      <c r="B185" s="159" t="s">
        <v>262</v>
      </c>
      <c r="C185" s="245">
        <f>IF(Vcomp&lt;1,(0.068),IF(Vcomp&lt;2,(0.156*Vcomp-0.0088),IF(Vcomp&lt;4.5,(0.313*Vcomp-0.401),IF(Vcomp&lt;5,1.007,"VCOMP MUST BE &lt;5"))))</f>
        <v>0.2477053109153755</v>
      </c>
      <c r="D185" s="246"/>
      <c r="F185" s="244"/>
      <c r="G185" s="244"/>
      <c r="H185" s="244"/>
      <c r="I185" s="244"/>
      <c r="J185" s="244"/>
      <c r="K185" s="244"/>
    </row>
    <row r="186" spans="1:11" ht="16.5">
      <c r="A186" s="174" t="s">
        <v>263</v>
      </c>
      <c r="B186" s="159" t="s">
        <v>264</v>
      </c>
      <c r="C186" s="245">
        <f>IF(Vcomp&lt;=0.5,0,IF(Vcomp&lt;4.6,(((fsw*kHz)/ftyp)*0.1223*(Vcomp-0.5)^2),IF(Vcomp&lt;5,(((fsw*kHz)/ftyp)*2.056),"VCOMP MUST BE &lt;5")))</f>
        <v>0.4883982786071175</v>
      </c>
      <c r="D186" s="242" t="s">
        <v>256</v>
      </c>
      <c r="F186" s="199"/>
      <c r="G186" s="159" t="s">
        <v>265</v>
      </c>
      <c r="H186" s="247"/>
      <c r="I186" s="159" t="s">
        <v>266</v>
      </c>
      <c r="J186" s="178">
        <v>50</v>
      </c>
      <c r="K186" s="159" t="s">
        <v>267</v>
      </c>
    </row>
    <row r="187" spans="1:11" ht="16.5">
      <c r="A187" s="174" t="s">
        <v>268</v>
      </c>
      <c r="B187" s="162" t="s">
        <v>269</v>
      </c>
      <c r="C187" s="248">
        <f>IF(Vcomp&lt;0.5,(0),IF(Vcomp&lt;1,((fsw*kHz)/ftyp)*(0.0166328*Vcomp-0.0083164),IF(Vcomp&lt;2,((fsw*kHz)/ftyp)*(0.0572364*Vcomp^2-0.0596824*Vcomp+0.0155321),IF(Vcomp&lt;4.5,((fsw*kHz)/ftyp)*(0.1148397*Vcomp^2-0.1746444*Vcomp+0.058612275),IF(Vcomp&lt;4.6,((fsw*kHz)/ftyp)*(0.24631222*Vcomp-0.1231561),IF(Vcomp&lt;5,0,"VCOMP MUST BE &lt;5"))))))</f>
        <v>0.3067328248488254</v>
      </c>
      <c r="D187" s="242" t="s">
        <v>256</v>
      </c>
      <c r="E187" s="249"/>
      <c r="G187" s="162" t="s">
        <v>270</v>
      </c>
      <c r="H187" s="162"/>
      <c r="I187" s="162" t="s">
        <v>271</v>
      </c>
      <c r="J187" s="257">
        <f>VCOMP!E45</f>
        <v>1.7374486390723467</v>
      </c>
      <c r="K187" s="162" t="s">
        <v>27</v>
      </c>
    </row>
    <row r="188" spans="1:5" ht="16.5">
      <c r="A188" s="174" t="s">
        <v>272</v>
      </c>
      <c r="B188" s="159" t="s">
        <v>273</v>
      </c>
      <c r="C188" s="248">
        <f>data!F252</f>
        <v>2200</v>
      </c>
      <c r="D188" s="175" t="str">
        <f>data!G252</f>
        <v>pF</v>
      </c>
      <c r="E188" s="250"/>
    </row>
    <row r="189" spans="1:5" ht="16.5">
      <c r="A189" s="174" t="s">
        <v>274</v>
      </c>
      <c r="B189" s="159" t="s">
        <v>275</v>
      </c>
      <c r="C189" s="248">
        <f>data!F257</f>
        <v>1000</v>
      </c>
      <c r="D189" s="175" t="str">
        <f>data!G257</f>
        <v>pF</v>
      </c>
      <c r="E189" s="250"/>
    </row>
    <row r="190" spans="1:4" ht="16.5">
      <c r="A190" s="176" t="s">
        <v>276</v>
      </c>
      <c r="B190" s="177" t="s">
        <v>277</v>
      </c>
      <c r="C190" s="178">
        <v>1500</v>
      </c>
      <c r="D190" s="179" t="s">
        <v>158</v>
      </c>
    </row>
    <row r="191" spans="1:5" ht="16.5">
      <c r="A191" s="158" t="s">
        <v>278</v>
      </c>
      <c r="B191" s="159" t="s">
        <v>279</v>
      </c>
      <c r="C191" s="248">
        <f>((gmi*M_1)/(K_1*2*PI()*Cicomp*picoF))/kHz</f>
        <v>3.5668903265887613</v>
      </c>
      <c r="D191" s="161" t="s">
        <v>48</v>
      </c>
      <c r="E191" s="202"/>
    </row>
    <row r="192" spans="1:4" ht="12.75">
      <c r="A192" s="220"/>
      <c r="B192" s="221"/>
      <c r="C192" s="221"/>
      <c r="D192" s="222"/>
    </row>
    <row r="193" spans="1:4" ht="12.75">
      <c r="A193" s="220"/>
      <c r="B193" s="221"/>
      <c r="C193" s="221"/>
      <c r="D193" s="222"/>
    </row>
    <row r="194" spans="1:4" ht="12.75">
      <c r="A194" s="258"/>
      <c r="B194" s="259"/>
      <c r="C194" s="259"/>
      <c r="D194" s="260"/>
    </row>
    <row r="195" spans="1:4" ht="12.75">
      <c r="A195" s="220"/>
      <c r="B195" s="221"/>
      <c r="C195" s="221"/>
      <c r="D195" s="222"/>
    </row>
    <row r="196" spans="1:4" ht="12.75">
      <c r="A196" s="220"/>
      <c r="B196" s="221"/>
      <c r="C196" s="221"/>
      <c r="D196" s="222"/>
    </row>
    <row r="197" spans="1:4" ht="12.75">
      <c r="A197" s="220"/>
      <c r="B197" s="221"/>
      <c r="C197" s="221"/>
      <c r="D197" s="222"/>
    </row>
    <row r="198" spans="1:4" ht="12.75">
      <c r="A198" s="220"/>
      <c r="B198" s="221"/>
      <c r="C198" s="221"/>
      <c r="D198" s="222"/>
    </row>
    <row r="199" spans="1:4" ht="12.75">
      <c r="A199" s="220"/>
      <c r="B199" s="221"/>
      <c r="C199" s="221"/>
      <c r="D199" s="222"/>
    </row>
    <row r="200" spans="1:4" ht="12.75">
      <c r="A200" s="220"/>
      <c r="B200" s="221"/>
      <c r="C200" s="221"/>
      <c r="D200" s="222"/>
    </row>
    <row r="201" spans="1:4" ht="12.75">
      <c r="A201" s="220"/>
      <c r="B201" s="221"/>
      <c r="C201" s="221"/>
      <c r="D201" s="222"/>
    </row>
    <row r="202" spans="1:4" ht="12.75">
      <c r="A202" s="220"/>
      <c r="B202" s="221"/>
      <c r="C202" s="221"/>
      <c r="D202" s="222"/>
    </row>
    <row r="203" spans="1:4" ht="12.75">
      <c r="A203" s="220"/>
      <c r="B203" s="221"/>
      <c r="C203" s="221"/>
      <c r="D203" s="222"/>
    </row>
    <row r="204" spans="1:4" ht="12.75">
      <c r="A204" s="220"/>
      <c r="B204" s="221"/>
      <c r="C204" s="221"/>
      <c r="D204" s="222"/>
    </row>
    <row r="205" spans="1:4" ht="12.75">
      <c r="A205" s="220"/>
      <c r="B205" s="221"/>
      <c r="C205" s="221"/>
      <c r="D205" s="222"/>
    </row>
    <row r="206" spans="1:4" ht="12.75">
      <c r="A206" s="220"/>
      <c r="B206" s="221"/>
      <c r="C206" s="221"/>
      <c r="D206" s="222"/>
    </row>
    <row r="207" spans="1:4" ht="12.75">
      <c r="A207" s="220"/>
      <c r="B207" s="221"/>
      <c r="C207" s="221"/>
      <c r="D207" s="222"/>
    </row>
    <row r="208" spans="1:4" ht="12.75">
      <c r="A208" s="220"/>
      <c r="B208" s="221"/>
      <c r="C208" s="221"/>
      <c r="D208" s="222"/>
    </row>
    <row r="209" spans="1:4" ht="12.75">
      <c r="A209" s="220"/>
      <c r="B209" s="221"/>
      <c r="C209" s="221"/>
      <c r="D209" s="222"/>
    </row>
    <row r="210" spans="1:4" ht="12.75">
      <c r="A210" s="220"/>
      <c r="B210" s="221"/>
      <c r="C210" s="221"/>
      <c r="D210" s="222"/>
    </row>
    <row r="211" spans="1:4" ht="12.75">
      <c r="A211" s="220"/>
      <c r="B211" s="221"/>
      <c r="C211" s="221"/>
      <c r="D211" s="222"/>
    </row>
    <row r="212" spans="1:4" ht="12.75">
      <c r="A212" s="220"/>
      <c r="B212" s="221"/>
      <c r="C212" s="221"/>
      <c r="D212" s="222"/>
    </row>
    <row r="213" spans="1:4" ht="12.75">
      <c r="A213" s="220"/>
      <c r="B213" s="221"/>
      <c r="C213" s="221"/>
      <c r="D213" s="222"/>
    </row>
    <row r="214" spans="1:4" ht="12.75">
      <c r="A214" s="220"/>
      <c r="B214" s="221"/>
      <c r="C214" s="221"/>
      <c r="D214" s="222"/>
    </row>
    <row r="215" spans="1:4" ht="12.75">
      <c r="A215" s="220"/>
      <c r="B215" s="221"/>
      <c r="C215" s="221"/>
      <c r="D215" s="222"/>
    </row>
    <row r="216" spans="1:4" ht="12.75">
      <c r="A216" s="220"/>
      <c r="B216" s="221"/>
      <c r="C216" s="221"/>
      <c r="D216" s="222"/>
    </row>
    <row r="217" spans="1:4" ht="12.75">
      <c r="A217" s="220"/>
      <c r="B217" s="221"/>
      <c r="C217" s="221"/>
      <c r="D217" s="222"/>
    </row>
    <row r="218" spans="1:4" ht="12.75">
      <c r="A218" s="220"/>
      <c r="B218" s="221"/>
      <c r="C218" s="221"/>
      <c r="D218" s="222"/>
    </row>
    <row r="219" spans="1:4" ht="12.75">
      <c r="A219" s="220"/>
      <c r="B219" s="221"/>
      <c r="C219" s="221"/>
      <c r="D219" s="222"/>
    </row>
    <row r="220" spans="1:4" ht="12.75">
      <c r="A220" s="220"/>
      <c r="B220" s="221"/>
      <c r="C220" s="221"/>
      <c r="D220" s="222"/>
    </row>
    <row r="221" spans="1:4" ht="12.75">
      <c r="A221" s="220"/>
      <c r="B221" s="221"/>
      <c r="C221" s="221"/>
      <c r="D221" s="222"/>
    </row>
    <row r="222" spans="1:4" ht="12.75">
      <c r="A222" s="220"/>
      <c r="B222" s="221"/>
      <c r="C222" s="221"/>
      <c r="D222" s="222"/>
    </row>
    <row r="223" spans="1:4" ht="12.75">
      <c r="A223" s="220"/>
      <c r="B223" s="221"/>
      <c r="C223" s="221"/>
      <c r="D223" s="222"/>
    </row>
    <row r="224" spans="1:4" ht="12.75">
      <c r="A224" s="220"/>
      <c r="B224" s="221"/>
      <c r="C224" s="221"/>
      <c r="D224" s="222"/>
    </row>
    <row r="225" spans="1:4" ht="12.75">
      <c r="A225" s="220"/>
      <c r="B225" s="221"/>
      <c r="C225" s="221"/>
      <c r="D225" s="222"/>
    </row>
    <row r="226" spans="1:4" ht="12.75">
      <c r="A226" s="220"/>
      <c r="B226" s="221"/>
      <c r="C226" s="221"/>
      <c r="D226" s="222"/>
    </row>
    <row r="227" spans="1:4" ht="12.75">
      <c r="A227" s="220"/>
      <c r="B227" s="221"/>
      <c r="C227" s="221"/>
      <c r="D227" s="222"/>
    </row>
    <row r="228" spans="1:4" ht="12.75">
      <c r="A228" s="220"/>
      <c r="B228" s="221"/>
      <c r="C228" s="221"/>
      <c r="D228" s="222"/>
    </row>
    <row r="229" spans="1:4" ht="12.75">
      <c r="A229" s="220"/>
      <c r="B229" s="221"/>
      <c r="C229" s="221"/>
      <c r="D229" s="222"/>
    </row>
    <row r="230" spans="1:4" ht="12.75">
      <c r="A230" s="220"/>
      <c r="B230" s="221"/>
      <c r="C230" s="221"/>
      <c r="D230" s="222"/>
    </row>
    <row r="231" spans="1:4" ht="12.75">
      <c r="A231" s="220"/>
      <c r="B231" s="221"/>
      <c r="C231" s="221"/>
      <c r="D231" s="222"/>
    </row>
    <row r="232" spans="1:4" ht="12.75">
      <c r="A232" s="220"/>
      <c r="B232" s="221"/>
      <c r="C232" s="221"/>
      <c r="D232" s="222"/>
    </row>
    <row r="233" spans="1:4" ht="12.75">
      <c r="A233" s="220"/>
      <c r="B233" s="221"/>
      <c r="C233" s="221"/>
      <c r="D233" s="222"/>
    </row>
    <row r="234" spans="1:4" ht="12.75">
      <c r="A234" s="220"/>
      <c r="B234" s="221"/>
      <c r="C234" s="221"/>
      <c r="D234" s="222"/>
    </row>
    <row r="235" spans="1:4" ht="12.75">
      <c r="A235" s="220"/>
      <c r="B235" s="221"/>
      <c r="C235" s="221"/>
      <c r="D235" s="222"/>
    </row>
    <row r="236" spans="1:4" ht="12.75">
      <c r="A236" s="220"/>
      <c r="B236" s="221"/>
      <c r="C236" s="221"/>
      <c r="D236" s="222"/>
    </row>
    <row r="237" spans="1:4" ht="12.75">
      <c r="A237" s="220"/>
      <c r="B237" s="221"/>
      <c r="C237" s="221"/>
      <c r="D237" s="222"/>
    </row>
    <row r="238" spans="1:4" ht="12.75">
      <c r="A238" s="220"/>
      <c r="B238" s="221"/>
      <c r="C238" s="221"/>
      <c r="D238" s="222"/>
    </row>
    <row r="239" spans="1:4" ht="12.75">
      <c r="A239" s="220"/>
      <c r="B239" s="221"/>
      <c r="C239" s="221"/>
      <c r="D239" s="222"/>
    </row>
    <row r="240" spans="1:4" ht="12.75">
      <c r="A240" s="220"/>
      <c r="B240" s="221"/>
      <c r="C240" s="221"/>
      <c r="D240" s="222"/>
    </row>
    <row r="241" spans="1:4" ht="12.75">
      <c r="A241" s="220"/>
      <c r="B241" s="221"/>
      <c r="C241" s="221"/>
      <c r="D241" s="222"/>
    </row>
    <row r="242" spans="1:4" ht="12.75">
      <c r="A242" s="220"/>
      <c r="B242" s="221"/>
      <c r="C242" s="221"/>
      <c r="D242" s="222"/>
    </row>
    <row r="243" spans="1:4" ht="12.75">
      <c r="A243" s="220"/>
      <c r="B243" s="221"/>
      <c r="C243" s="221"/>
      <c r="D243" s="222"/>
    </row>
    <row r="244" spans="1:4" ht="12.75">
      <c r="A244" s="220"/>
      <c r="B244" s="221"/>
      <c r="C244" s="221"/>
      <c r="D244" s="222"/>
    </row>
    <row r="245" spans="1:4" ht="12.75">
      <c r="A245" s="220"/>
      <c r="B245" s="221"/>
      <c r="C245" s="221"/>
      <c r="D245" s="222"/>
    </row>
    <row r="246" spans="1:4" ht="12.75">
      <c r="A246" s="220"/>
      <c r="B246" s="221"/>
      <c r="C246" s="221"/>
      <c r="D246" s="222"/>
    </row>
    <row r="247" spans="1:4" ht="12.75">
      <c r="A247" s="220"/>
      <c r="B247" s="221"/>
      <c r="C247" s="221"/>
      <c r="D247" s="222"/>
    </row>
    <row r="248" spans="1:4" ht="12.75">
      <c r="A248" s="220"/>
      <c r="B248" s="221"/>
      <c r="C248" s="221"/>
      <c r="D248" s="222"/>
    </row>
    <row r="249" spans="1:4" ht="12.75">
      <c r="A249" s="220"/>
      <c r="B249" s="221"/>
      <c r="C249" s="221"/>
      <c r="D249" s="222"/>
    </row>
    <row r="250" spans="1:4" ht="12.75">
      <c r="A250" s="220"/>
      <c r="B250" s="221"/>
      <c r="C250" s="221"/>
      <c r="D250" s="222"/>
    </row>
    <row r="251" spans="1:4" ht="12.75">
      <c r="A251" s="220"/>
      <c r="B251" s="221"/>
      <c r="C251" s="221"/>
      <c r="D251" s="222"/>
    </row>
    <row r="252" spans="1:4" ht="12.75">
      <c r="A252" s="220"/>
      <c r="B252" s="221"/>
      <c r="C252" s="221"/>
      <c r="D252" s="222"/>
    </row>
    <row r="253" spans="1:4" ht="12.75">
      <c r="A253" s="220"/>
      <c r="B253" s="221"/>
      <c r="C253" s="221"/>
      <c r="D253" s="222"/>
    </row>
    <row r="254" spans="1:4" ht="12.75">
      <c r="A254" s="220"/>
      <c r="B254" s="221"/>
      <c r="C254" s="221"/>
      <c r="D254" s="222"/>
    </row>
    <row r="255" spans="1:4" ht="12.75">
      <c r="A255" s="220"/>
      <c r="B255" s="221"/>
      <c r="C255" s="221"/>
      <c r="D255" s="222"/>
    </row>
    <row r="256" spans="1:4" ht="13.5" customHeight="1">
      <c r="A256" s="261" t="s">
        <v>280</v>
      </c>
      <c r="B256" s="262"/>
      <c r="C256" s="262"/>
      <c r="D256" s="263"/>
    </row>
    <row r="257" spans="1:4" ht="16.5">
      <c r="A257" s="158" t="s">
        <v>281</v>
      </c>
      <c r="B257" s="162" t="s">
        <v>282</v>
      </c>
      <c r="C257" s="163">
        <f>1/((2*PI()*K_1*2.5*Rsense*(Vout_nom^3)*(Cout*uF))/(K_FQ*(M1M2/us)*(Vacin_nom^2)))</f>
        <v>0.9708104586517877</v>
      </c>
      <c r="D257" s="161" t="s">
        <v>22</v>
      </c>
    </row>
    <row r="258" spans="1:4" ht="16.5">
      <c r="A258" s="176" t="s">
        <v>283</v>
      </c>
      <c r="B258" s="177" t="s">
        <v>284</v>
      </c>
      <c r="C258" s="178">
        <v>10</v>
      </c>
      <c r="D258" s="179" t="s">
        <v>22</v>
      </c>
    </row>
    <row r="259" spans="1:5" ht="16.5">
      <c r="A259" s="158" t="s">
        <v>285</v>
      </c>
      <c r="B259" s="162" t="s">
        <v>286</v>
      </c>
      <c r="C259" s="245" t="e">
        <f>20*LOG(IMABS(_XLL.IMPRODUKT((R_fb2*kOhms)/((R_fb1*MegOhm)+(R_fb2*kOhms)),IMDIV((M_3*Vout_nom)/(M1M2),_XLL.KOMPLEXE(1,(2*PI()*fv)/(2*PI()*fPWM_PSpole))))))</f>
        <v>#NAME?</v>
      </c>
      <c r="D259" s="161" t="s">
        <v>287</v>
      </c>
      <c r="E259" s="202">
        <f>IF(fv&gt;20,"SET CROSSOVER FREQUENCY TO LESS THAN 20Hz","")</f>
      </c>
    </row>
    <row r="260" spans="1:4" ht="16.5">
      <c r="A260" s="174" t="s">
        <v>288</v>
      </c>
      <c r="B260" s="159" t="s">
        <v>289</v>
      </c>
      <c r="C260" s="245" t="e">
        <f>data!F262</f>
        <v>#NAME?</v>
      </c>
      <c r="D260" s="175" t="e">
        <f>data!G262</f>
        <v>#NAME?</v>
      </c>
    </row>
    <row r="261" spans="1:4" ht="16.5">
      <c r="A261" s="176" t="s">
        <v>290</v>
      </c>
      <c r="B261" s="177" t="s">
        <v>291</v>
      </c>
      <c r="C261" s="178">
        <v>10</v>
      </c>
      <c r="D261" s="201" t="s">
        <v>292</v>
      </c>
    </row>
    <row r="262" spans="1:5" ht="16.5">
      <c r="A262" s="174" t="s">
        <v>293</v>
      </c>
      <c r="B262" s="159" t="s">
        <v>294</v>
      </c>
      <c r="C262" s="245">
        <f>data!F267</f>
        <v>16.2</v>
      </c>
      <c r="D262" s="175" t="s">
        <v>226</v>
      </c>
      <c r="E262" s="202"/>
    </row>
    <row r="263" spans="1:4" ht="16.5">
      <c r="A263" s="176" t="s">
        <v>295</v>
      </c>
      <c r="B263" s="177" t="s">
        <v>296</v>
      </c>
      <c r="C263" s="178">
        <v>10</v>
      </c>
      <c r="D263" s="179" t="s">
        <v>229</v>
      </c>
    </row>
    <row r="264" spans="1:5" ht="16.5">
      <c r="A264" s="158" t="s">
        <v>297</v>
      </c>
      <c r="B264" s="162" t="s">
        <v>298</v>
      </c>
      <c r="C264" s="245">
        <f>1/(2*PI()*(Rvcomp*kOhms)*(Cvcomp*uF))</f>
        <v>1.5915494309189535</v>
      </c>
      <c r="D264" s="161" t="s">
        <v>22</v>
      </c>
      <c r="E264" s="202" t="str">
        <f>IF(Rvcomp&gt;1.1*C262,"USE A SMALLER VALUE FOR VCOMP RESISTOR",IF(Rvcomp&lt;0.9*C262,"USE A LARGER VALUE FOR VCOMP RESISTOR",""))</f>
        <v>USE A LARGER VALUE FOR VCOMP RESISTOR</v>
      </c>
    </row>
    <row r="265" spans="1:4" ht="16.5">
      <c r="A265" s="176" t="s">
        <v>299</v>
      </c>
      <c r="B265" s="177" t="s">
        <v>300</v>
      </c>
      <c r="C265" s="178">
        <v>20</v>
      </c>
      <c r="D265" s="179" t="s">
        <v>22</v>
      </c>
    </row>
    <row r="266" spans="1:5" ht="16.5">
      <c r="A266" s="174" t="s">
        <v>301</v>
      </c>
      <c r="B266" s="159" t="s">
        <v>302</v>
      </c>
      <c r="C266" s="264">
        <f>data!F271</f>
        <v>0.8199999999999998</v>
      </c>
      <c r="D266" s="175" t="str">
        <f>data!G271</f>
        <v>µF</v>
      </c>
      <c r="E266" s="202">
        <f>IF(fpole&gt;50,"POLE MUST BE &lt; 50Hz","")</f>
      </c>
    </row>
    <row r="267" spans="1:5" ht="16.5">
      <c r="A267" s="176" t="s">
        <v>303</v>
      </c>
      <c r="B267" s="177" t="s">
        <v>304</v>
      </c>
      <c r="C267" s="160">
        <v>0.68</v>
      </c>
      <c r="D267" s="201" t="s">
        <v>292</v>
      </c>
      <c r="E267" s="202">
        <f>IF(Cvcomp_p&lt;C266*0.75,"USE LARGER PARALLEL CAPACITOR ON VCOMP",IF(Cvcomp_p&gt;1.25*C266,"USE SMALLER PARALLEL CAPACITOR ON VCOMP",""))</f>
      </c>
    </row>
    <row r="268" spans="1:4" ht="12.75">
      <c r="A268" s="220"/>
      <c r="B268" s="221"/>
      <c r="C268" s="221"/>
      <c r="D268" s="222"/>
    </row>
    <row r="269" spans="1:4" ht="12.75">
      <c r="A269" s="220"/>
      <c r="B269" s="221"/>
      <c r="C269" s="221"/>
      <c r="D269" s="222"/>
    </row>
    <row r="270" spans="1:4" ht="12.75">
      <c r="A270" s="220"/>
      <c r="B270" s="221"/>
      <c r="C270" s="221"/>
      <c r="D270" s="222"/>
    </row>
    <row r="271" spans="1:4" ht="12.75">
      <c r="A271" s="220"/>
      <c r="B271" s="221"/>
      <c r="C271" s="221"/>
      <c r="D271" s="222"/>
    </row>
    <row r="272" spans="1:4" ht="12.75">
      <c r="A272" s="220"/>
      <c r="B272" s="221"/>
      <c r="C272" s="221"/>
      <c r="D272" s="222"/>
    </row>
    <row r="273" spans="1:4" ht="12.75">
      <c r="A273" s="220"/>
      <c r="B273" s="221"/>
      <c r="C273" s="221"/>
      <c r="D273" s="222"/>
    </row>
    <row r="274" spans="1:4" ht="12.75">
      <c r="A274" s="220"/>
      <c r="B274" s="221"/>
      <c r="C274" s="221"/>
      <c r="D274" s="222"/>
    </row>
    <row r="275" spans="1:4" ht="12.75">
      <c r="A275" s="220"/>
      <c r="B275" s="221"/>
      <c r="C275" s="221"/>
      <c r="D275" s="222"/>
    </row>
    <row r="276" spans="1:4" ht="12.75">
      <c r="A276" s="220"/>
      <c r="B276" s="221"/>
      <c r="C276" s="221"/>
      <c r="D276" s="222"/>
    </row>
    <row r="277" spans="1:4" ht="12.75">
      <c r="A277" s="220"/>
      <c r="B277" s="221"/>
      <c r="C277" s="221"/>
      <c r="D277" s="222"/>
    </row>
    <row r="278" spans="1:4" ht="12.75">
      <c r="A278" s="220"/>
      <c r="B278" s="221"/>
      <c r="C278" s="221"/>
      <c r="D278" s="222"/>
    </row>
    <row r="279" spans="1:4" ht="12.75">
      <c r="A279" s="220"/>
      <c r="B279" s="221"/>
      <c r="C279" s="221"/>
      <c r="D279" s="222"/>
    </row>
    <row r="280" spans="1:4" ht="12.75">
      <c r="A280" s="220"/>
      <c r="B280" s="221"/>
      <c r="C280" s="221"/>
      <c r="D280" s="222"/>
    </row>
    <row r="281" spans="1:4" ht="12.75">
      <c r="A281" s="220"/>
      <c r="B281" s="221"/>
      <c r="C281" s="221"/>
      <c r="D281" s="222"/>
    </row>
    <row r="282" spans="1:4" ht="12.75">
      <c r="A282" s="220"/>
      <c r="B282" s="221"/>
      <c r="C282" s="221"/>
      <c r="D282" s="222"/>
    </row>
    <row r="283" spans="1:4" ht="12.75">
      <c r="A283" s="220"/>
      <c r="B283" s="221"/>
      <c r="C283" s="221"/>
      <c r="D283" s="222"/>
    </row>
    <row r="284" spans="1:4" ht="12.75">
      <c r="A284" s="220"/>
      <c r="B284" s="221"/>
      <c r="C284" s="221"/>
      <c r="D284" s="222"/>
    </row>
    <row r="285" spans="1:4" ht="12.75">
      <c r="A285" s="220"/>
      <c r="B285" s="221"/>
      <c r="C285" s="265"/>
      <c r="D285" s="222"/>
    </row>
    <row r="286" spans="1:4" ht="12.75">
      <c r="A286" s="220"/>
      <c r="B286" s="221"/>
      <c r="C286" s="221"/>
      <c r="D286" s="222"/>
    </row>
    <row r="287" spans="1:4" ht="12.75">
      <c r="A287" s="220"/>
      <c r="B287" s="221"/>
      <c r="C287" s="221"/>
      <c r="D287" s="222"/>
    </row>
    <row r="288" spans="1:4" ht="12.75">
      <c r="A288" s="220"/>
      <c r="B288" s="221"/>
      <c r="C288" s="221"/>
      <c r="D288" s="222"/>
    </row>
    <row r="289" spans="1:4" ht="12.75">
      <c r="A289" s="220"/>
      <c r="B289" s="221"/>
      <c r="C289" s="221"/>
      <c r="D289" s="222"/>
    </row>
    <row r="290" spans="1:4" ht="12.75">
      <c r="A290" s="220"/>
      <c r="B290" s="221"/>
      <c r="C290" s="221"/>
      <c r="D290" s="222"/>
    </row>
    <row r="291" spans="1:4" ht="12.75">
      <c r="A291" s="220"/>
      <c r="B291" s="221"/>
      <c r="C291" s="221"/>
      <c r="D291" s="222"/>
    </row>
    <row r="292" spans="1:4" ht="12.75">
      <c r="A292" s="220"/>
      <c r="B292" s="221"/>
      <c r="C292" s="221"/>
      <c r="D292" s="222"/>
    </row>
    <row r="293" spans="1:4" ht="12.75">
      <c r="A293" s="220"/>
      <c r="B293" s="221"/>
      <c r="C293" s="221"/>
      <c r="D293" s="222"/>
    </row>
    <row r="294" spans="1:4" ht="12.75">
      <c r="A294" s="220"/>
      <c r="B294" s="221"/>
      <c r="C294" s="221"/>
      <c r="D294" s="222"/>
    </row>
    <row r="295" spans="1:4" ht="12.75">
      <c r="A295" s="220"/>
      <c r="B295" s="221"/>
      <c r="C295" s="221"/>
      <c r="D295" s="222"/>
    </row>
    <row r="296" spans="1:4" ht="12.75">
      <c r="A296" s="220"/>
      <c r="B296" s="221"/>
      <c r="C296" s="221"/>
      <c r="D296" s="222"/>
    </row>
    <row r="297" spans="1:4" ht="12.75">
      <c r="A297" s="220"/>
      <c r="B297" s="221"/>
      <c r="C297" s="221"/>
      <c r="D297" s="222"/>
    </row>
    <row r="298" spans="1:5" ht="12.75">
      <c r="A298" s="220"/>
      <c r="B298" s="221"/>
      <c r="C298" s="221"/>
      <c r="D298" s="222"/>
      <c r="E298" s="266"/>
    </row>
    <row r="299" spans="1:4" ht="12.75">
      <c r="A299" s="220"/>
      <c r="B299" s="221"/>
      <c r="C299" s="221"/>
      <c r="D299" s="222"/>
    </row>
    <row r="300" spans="1:4" ht="13.5">
      <c r="A300" s="267"/>
      <c r="B300" s="268"/>
      <c r="C300" s="268"/>
      <c r="D300" s="269"/>
    </row>
    <row r="301" spans="1:4" ht="13.5">
      <c r="A301" s="267"/>
      <c r="B301" s="268"/>
      <c r="C301" s="268"/>
      <c r="D301" s="269"/>
    </row>
    <row r="302" spans="1:4" ht="12.75">
      <c r="A302" s="108"/>
      <c r="B302" s="108"/>
      <c r="C302" s="108"/>
      <c r="D302" s="108"/>
    </row>
    <row r="303" s="108" customFormat="1" ht="12.75">
      <c r="A303" s="266"/>
    </row>
    <row r="304" s="108" customFormat="1" ht="12.75">
      <c r="A304" s="266"/>
    </row>
    <row r="305" s="108" customFormat="1" ht="12.75">
      <c r="A305" s="266"/>
    </row>
    <row r="306" s="108" customFormat="1" ht="12.75"/>
    <row r="307" s="108" customFormat="1" ht="12.75"/>
    <row r="308" s="108" customFormat="1" ht="12.75"/>
    <row r="309" s="108" customFormat="1" ht="12.75"/>
    <row r="310" s="108" customFormat="1" ht="12.75"/>
    <row r="311" s="108" customFormat="1" ht="12.75"/>
    <row r="312" s="108" customFormat="1" ht="12.75"/>
    <row r="313" s="108" customFormat="1" ht="12.75"/>
    <row r="314" s="108" customFormat="1" ht="12.75"/>
    <row r="315" spans="1:3" s="108" customFormat="1" ht="12.75">
      <c r="A315" s="254"/>
      <c r="C315" s="109"/>
    </row>
    <row r="317" spans="1:4" ht="12.75">
      <c r="A317" s="270"/>
      <c r="B317" s="270"/>
      <c r="C317" s="270"/>
      <c r="D317" s="270"/>
    </row>
    <row r="318" spans="1:4" ht="12.75">
      <c r="A318" s="270"/>
      <c r="B318" s="270"/>
      <c r="C318" s="270"/>
      <c r="D318" s="270"/>
    </row>
  </sheetData>
  <sheetProtection/>
  <mergeCells count="41">
    <mergeCell ref="A1:D1"/>
    <mergeCell ref="A3:D3"/>
    <mergeCell ref="C4:D4"/>
    <mergeCell ref="A5:D5"/>
    <mergeCell ref="A6:D6"/>
    <mergeCell ref="A17:D17"/>
    <mergeCell ref="A22:D22"/>
    <mergeCell ref="A31:D31"/>
    <mergeCell ref="A44:D44"/>
    <mergeCell ref="A52:D52"/>
    <mergeCell ref="A63:D63"/>
    <mergeCell ref="A73:D73"/>
    <mergeCell ref="A83:D83"/>
    <mergeCell ref="A96:D96"/>
    <mergeCell ref="A115:D115"/>
    <mergeCell ref="A129:D129"/>
    <mergeCell ref="A136:D136"/>
    <mergeCell ref="A142:D142"/>
    <mergeCell ref="E147:F147"/>
    <mergeCell ref="A156:D156"/>
    <mergeCell ref="A180:D180"/>
    <mergeCell ref="F180:L180"/>
    <mergeCell ref="G181:H181"/>
    <mergeCell ref="A182:D182"/>
    <mergeCell ref="G182:H182"/>
    <mergeCell ref="G183:H183"/>
    <mergeCell ref="A256:D256"/>
    <mergeCell ref="F184:K185"/>
    <mergeCell ref="A140:D141"/>
    <mergeCell ref="A61:D62"/>
    <mergeCell ref="A50:D51"/>
    <mergeCell ref="A113:D114"/>
    <mergeCell ref="A29:D30"/>
    <mergeCell ref="A71:D72"/>
    <mergeCell ref="A94:D95"/>
    <mergeCell ref="A154:D155"/>
    <mergeCell ref="A81:D82"/>
    <mergeCell ref="A127:D128"/>
    <mergeCell ref="A18:D20"/>
    <mergeCell ref="A7:D11"/>
    <mergeCell ref="A12:D16"/>
  </mergeCells>
  <printOptions/>
  <pageMargins left="0.75" right="0.75" top="1" bottom="1" header="0.5" footer="0.5"/>
  <pageSetup horizontalDpi="600" verticalDpi="600" orientation="portrait"/>
  <headerFooter alignWithMargins="0">
    <oddHeader>&amp;L&amp;F
&amp;D</oddHeader>
  </headerFooter>
  <drawing r:id="rId1"/>
</worksheet>
</file>

<file path=xl/worksheets/sheet2.xml><?xml version="1.0" encoding="utf-8"?>
<worksheet xmlns="http://schemas.openxmlformats.org/spreadsheetml/2006/main" xmlns:r="http://schemas.openxmlformats.org/officeDocument/2006/relationships">
  <dimension ref="A1:P103"/>
  <sheetViews>
    <sheetView zoomScale="70" zoomScaleNormal="70" workbookViewId="0" topLeftCell="A38">
      <selection activeCell="A1" sqref="A1:IV16384"/>
    </sheetView>
  </sheetViews>
  <sheetFormatPr defaultColWidth="9.140625" defaultRowHeight="12.75"/>
  <cols>
    <col min="1" max="1" width="9.140625" style="65" customWidth="1"/>
    <col min="2" max="2" width="39.00390625" style="65" customWidth="1"/>
    <col min="3" max="3" width="44.57421875" style="65" customWidth="1"/>
    <col min="4" max="4" width="17.57421875" style="65" customWidth="1"/>
    <col min="5" max="5" width="66.57421875" style="65" customWidth="1"/>
    <col min="6" max="16384" width="9.140625" style="65" customWidth="1"/>
  </cols>
  <sheetData>
    <row r="1" spans="1:16" ht="20.25">
      <c r="A1" s="66" t="s">
        <v>305</v>
      </c>
      <c r="B1" s="66"/>
      <c r="C1" s="66"/>
      <c r="D1" s="66"/>
      <c r="E1" s="66"/>
      <c r="F1" s="66"/>
      <c r="G1" s="67"/>
      <c r="H1" s="67"/>
      <c r="I1" s="67"/>
      <c r="J1" s="67"/>
      <c r="K1" s="67"/>
      <c r="L1" s="67"/>
      <c r="M1" s="67"/>
      <c r="N1" s="67"/>
      <c r="O1" s="67"/>
      <c r="P1" s="67"/>
    </row>
    <row r="2" spans="1:7" ht="12.75" customHeight="1">
      <c r="A2" s="66"/>
      <c r="B2" s="66"/>
      <c r="C2" s="66"/>
      <c r="D2" s="66"/>
      <c r="E2" s="66"/>
      <c r="F2" s="66"/>
      <c r="G2" s="67"/>
    </row>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spans="2:5" ht="18">
      <c r="B38" s="68" t="s">
        <v>306</v>
      </c>
      <c r="C38" s="69"/>
      <c r="D38" s="69"/>
      <c r="E38" s="70"/>
    </row>
    <row r="39" spans="2:5" ht="21">
      <c r="B39" s="71" t="s">
        <v>307</v>
      </c>
      <c r="C39" s="72" t="s">
        <v>308</v>
      </c>
      <c r="D39" s="72"/>
      <c r="E39" s="73"/>
    </row>
    <row r="40" spans="2:5" ht="20.25">
      <c r="B40" s="74" t="s">
        <v>309</v>
      </c>
      <c r="C40" s="75" t="s">
        <v>310</v>
      </c>
      <c r="D40" s="76" t="s">
        <v>311</v>
      </c>
      <c r="E40" s="77"/>
    </row>
    <row r="41" spans="2:5" ht="20.25">
      <c r="B41" s="78"/>
      <c r="C41" s="79" t="s">
        <v>312</v>
      </c>
      <c r="D41" s="79">
        <f>IF(Vacin_max&lt;270,250,350)</f>
        <v>250</v>
      </c>
      <c r="E41" s="80" t="str">
        <f>'DESIGN INPUTS AND CALCULATIONS'!D24</f>
        <v>VRMS</v>
      </c>
    </row>
    <row r="42" spans="2:5" ht="21">
      <c r="B42" s="81"/>
      <c r="C42" s="82" t="s">
        <v>313</v>
      </c>
      <c r="D42" s="83">
        <f>Ifuse</f>
        <v>4.430267588162325</v>
      </c>
      <c r="E42" s="84" t="str">
        <f>'DESIGN INPUTS AND CALCULATIONS'!D49</f>
        <v>A</v>
      </c>
    </row>
    <row r="43" spans="2:5" ht="20.25">
      <c r="B43" s="74" t="s">
        <v>314</v>
      </c>
      <c r="C43" s="75" t="s">
        <v>315</v>
      </c>
      <c r="D43" s="85">
        <f>Vrated</f>
        <v>256.6797615707168</v>
      </c>
      <c r="E43" s="86" t="str">
        <f>'DESIGN INPUTS AND CALCULATIONS'!D58</f>
        <v>V</v>
      </c>
    </row>
    <row r="44" spans="2:5" ht="20.25">
      <c r="B44" s="78"/>
      <c r="C44" s="79" t="s">
        <v>313</v>
      </c>
      <c r="D44" s="87">
        <f>Ibridge</f>
        <v>3.988642194564533</v>
      </c>
      <c r="E44" s="80" t="str">
        <f>'DESIGN INPUTS AND CALCULATIONS'!D57</f>
        <v>A</v>
      </c>
    </row>
    <row r="45" spans="2:5" ht="21">
      <c r="B45" s="81"/>
      <c r="C45" s="82" t="s">
        <v>316</v>
      </c>
      <c r="D45" s="83">
        <f>Pbridge</f>
        <v>5.584099072390346</v>
      </c>
      <c r="E45" s="84" t="str">
        <f>'DESIGN INPUTS AND CALCULATIONS'!D59</f>
        <v>W</v>
      </c>
    </row>
    <row r="46" spans="2:5" ht="20.25">
      <c r="B46" s="74" t="s">
        <v>317</v>
      </c>
      <c r="C46" s="75" t="s">
        <v>310</v>
      </c>
      <c r="D46" s="76" t="s">
        <v>318</v>
      </c>
      <c r="E46" s="77"/>
    </row>
    <row r="47" spans="2:5" ht="20.25">
      <c r="B47" s="78"/>
      <c r="C47" s="79" t="s">
        <v>319</v>
      </c>
      <c r="D47" s="87">
        <f>IF(Cin="",Cin_rcmd,Cin)</f>
        <v>0.1</v>
      </c>
      <c r="E47" s="80" t="str">
        <f>data!G228</f>
        <v>µF</v>
      </c>
    </row>
    <row r="48" spans="2:5" ht="26.25">
      <c r="B48" s="78"/>
      <c r="C48" s="79" t="s">
        <v>320</v>
      </c>
      <c r="D48" s="88">
        <f>Vacin_max</f>
        <v>165</v>
      </c>
      <c r="E48" s="80" t="s">
        <v>321</v>
      </c>
    </row>
    <row r="49" spans="2:5" ht="20.25">
      <c r="B49" s="74" t="s">
        <v>322</v>
      </c>
      <c r="C49" s="75" t="s">
        <v>323</v>
      </c>
      <c r="D49" s="89">
        <f>IF(Lbst="",Lbst_rcmd,Lbst)</f>
        <v>1.1</v>
      </c>
      <c r="E49" s="86" t="str">
        <f>'DESIGN INPUTS AND CALCULATIONS'!D77</f>
        <v>mH</v>
      </c>
    </row>
    <row r="50" spans="2:5" ht="20.25">
      <c r="B50" s="78"/>
      <c r="C50" s="79" t="s">
        <v>324</v>
      </c>
      <c r="D50" s="87">
        <f>Il_peak_actual</f>
        <v>4.60992855807212</v>
      </c>
      <c r="E50" s="80" t="str">
        <f>'DESIGN INPUTS AND CALCULATIONS'!D79</f>
        <v>A</v>
      </c>
    </row>
    <row r="51" spans="2:5" ht="20.25">
      <c r="B51" s="78"/>
      <c r="C51" s="79" t="s">
        <v>325</v>
      </c>
      <c r="D51" s="87">
        <f>Iripple_actual</f>
        <v>0.8660644386494357</v>
      </c>
      <c r="E51" s="80" t="str">
        <f>'DESIGN INPUTS AND CALCULATIONS'!D78</f>
        <v>A</v>
      </c>
    </row>
    <row r="52" spans="2:5" ht="21">
      <c r="B52" s="81"/>
      <c r="C52" s="82" t="s">
        <v>105</v>
      </c>
      <c r="D52" s="90">
        <f>Dmax</f>
        <v>0.3636038969321072</v>
      </c>
      <c r="E52" s="84"/>
    </row>
    <row r="53" spans="2:5" ht="20.25">
      <c r="B53" s="74" t="s">
        <v>326</v>
      </c>
      <c r="C53" s="75" t="s">
        <v>310</v>
      </c>
      <c r="D53" s="76" t="s">
        <v>327</v>
      </c>
      <c r="E53" s="77"/>
    </row>
    <row r="54" spans="2:5" ht="20.25">
      <c r="B54" s="78"/>
      <c r="C54" s="79" t="s">
        <v>328</v>
      </c>
      <c r="D54" s="87">
        <f>Iin_avg_max</f>
        <v>2.659094796376355</v>
      </c>
      <c r="E54" s="80" t="str">
        <f>'DESIGN INPUTS AND CALCULATIONS'!D48</f>
        <v>A</v>
      </c>
    </row>
    <row r="55" spans="2:5" ht="20.25">
      <c r="B55" s="78"/>
      <c r="C55" s="79" t="s">
        <v>320</v>
      </c>
      <c r="D55" s="79">
        <f>Vdiode_blocking</f>
        <v>440.00000000000006</v>
      </c>
      <c r="E55" s="80" t="str">
        <f>'DESIGN INPUTS AND CALCULATIONS'!D33</f>
        <v>V</v>
      </c>
    </row>
    <row r="56" spans="2:5" ht="21">
      <c r="B56" s="81"/>
      <c r="C56" s="82" t="s">
        <v>316</v>
      </c>
      <c r="D56" s="83">
        <f>Pdiode</f>
        <v>2.549</v>
      </c>
      <c r="E56" s="84" t="str">
        <f>'DESIGN INPUTS AND CALCULATIONS'!D91</f>
        <v>W</v>
      </c>
    </row>
    <row r="57" spans="2:5" ht="20.25">
      <c r="B57" s="74" t="s">
        <v>329</v>
      </c>
      <c r="C57" s="75" t="s">
        <v>310</v>
      </c>
      <c r="D57" s="76" t="s">
        <v>330</v>
      </c>
      <c r="E57" s="77"/>
    </row>
    <row r="58" spans="2:5" ht="20.25">
      <c r="B58" s="78"/>
      <c r="C58" s="79" t="s">
        <v>331</v>
      </c>
      <c r="D58" s="87">
        <f>Ids_rms</f>
        <v>1.8835918584969815</v>
      </c>
      <c r="E58" s="80" t="str">
        <f>'DESIGN INPUTS AND CALCULATIONS'!D99</f>
        <v>A</v>
      </c>
    </row>
    <row r="59" spans="2:5" ht="20.25">
      <c r="B59" s="78"/>
      <c r="C59" s="79" t="s">
        <v>324</v>
      </c>
      <c r="D59" s="87">
        <f>Il_peak_actual</f>
        <v>4.60992855807212</v>
      </c>
      <c r="E59" s="80" t="str">
        <f>'DESIGN INPUTS AND CALCULATIONS'!D79</f>
        <v>A</v>
      </c>
    </row>
    <row r="60" spans="2:5" ht="20.25">
      <c r="B60" s="78"/>
      <c r="C60" s="79" t="s">
        <v>312</v>
      </c>
      <c r="D60" s="88">
        <f>Vin_peak_max</f>
        <v>233.3452377915607</v>
      </c>
      <c r="E60" s="80" t="str">
        <f>'DESIGN INPUTS AND CALCULATIONS'!D28</f>
        <v>V</v>
      </c>
    </row>
    <row r="61" spans="2:5" ht="21">
      <c r="B61" s="81"/>
      <c r="C61" s="82" t="s">
        <v>316</v>
      </c>
      <c r="D61" s="83">
        <f>P_FET</f>
        <v>4.901427393425513</v>
      </c>
      <c r="E61" s="84" t="str">
        <f>'DESIGN INPUTS AND CALCULATIONS'!D111</f>
        <v>W</v>
      </c>
    </row>
    <row r="62" spans="2:5" ht="20.25">
      <c r="B62" s="74" t="s">
        <v>332</v>
      </c>
      <c r="C62" s="75" t="s">
        <v>310</v>
      </c>
      <c r="D62" s="76" t="s">
        <v>333</v>
      </c>
      <c r="E62" s="77"/>
    </row>
    <row r="63" spans="2:5" ht="21.75">
      <c r="B63" s="78"/>
      <c r="C63" s="79" t="s">
        <v>319</v>
      </c>
      <c r="D63" s="79">
        <f>IF(Rsense="",Rsense_ideal,Rsense)</f>
        <v>0.015</v>
      </c>
      <c r="E63" s="91" t="s">
        <v>33</v>
      </c>
    </row>
    <row r="64" spans="2:5" ht="21">
      <c r="B64" s="81"/>
      <c r="C64" s="82" t="s">
        <v>316</v>
      </c>
      <c r="D64" s="92">
        <f>P_Rsense</f>
        <v>0.13084847268481084</v>
      </c>
      <c r="E64" s="84" t="str">
        <f>'DESIGN INPUTS AND CALCULATIONS'!D120</f>
        <v>W</v>
      </c>
    </row>
    <row r="65" spans="2:5" ht="20.25">
      <c r="B65" s="74" t="s">
        <v>334</v>
      </c>
      <c r="C65" s="75" t="s">
        <v>310</v>
      </c>
      <c r="D65" s="93" t="s">
        <v>335</v>
      </c>
      <c r="E65" s="94"/>
    </row>
    <row r="66" spans="2:5" ht="22.5">
      <c r="B66" s="81"/>
      <c r="C66" s="82" t="s">
        <v>319</v>
      </c>
      <c r="D66" s="82">
        <f>Risense</f>
        <v>220</v>
      </c>
      <c r="E66" s="95" t="s">
        <v>33</v>
      </c>
    </row>
    <row r="67" spans="2:5" ht="20.25">
      <c r="B67" s="74" t="s">
        <v>336</v>
      </c>
      <c r="C67" s="75" t="s">
        <v>310</v>
      </c>
      <c r="D67" s="76" t="s">
        <v>337</v>
      </c>
      <c r="E67" s="77"/>
    </row>
    <row r="68" spans="2:5" ht="21">
      <c r="B68" s="81"/>
      <c r="C68" s="82" t="s">
        <v>319</v>
      </c>
      <c r="D68" s="96">
        <f>Cisense</f>
        <v>1000</v>
      </c>
      <c r="E68" s="84" t="str">
        <f>'DESIGN INPUTS AND CALCULATIONS'!D126</f>
        <v>pF</v>
      </c>
    </row>
    <row r="69" spans="2:5" ht="20.25">
      <c r="B69" s="74" t="s">
        <v>338</v>
      </c>
      <c r="C69" s="75" t="s">
        <v>310</v>
      </c>
      <c r="D69" s="76" t="s">
        <v>339</v>
      </c>
      <c r="E69" s="77"/>
    </row>
    <row r="70" spans="2:5" ht="20.25">
      <c r="B70" s="78"/>
      <c r="C70" s="79" t="s">
        <v>319</v>
      </c>
      <c r="D70" s="79">
        <f>IF(Cout="",Cout_rcmd,Cout)</f>
        <v>330</v>
      </c>
      <c r="E70" s="80" t="str">
        <f>'DESIGN INPUTS AND CALCULATIONS'!D133</f>
        <v>µF</v>
      </c>
    </row>
    <row r="71" spans="2:5" ht="20.25">
      <c r="B71" s="78"/>
      <c r="C71" s="79" t="s">
        <v>312</v>
      </c>
      <c r="D71" s="97">
        <f>Vovp</f>
        <v>438.04375</v>
      </c>
      <c r="E71" s="80" t="s">
        <v>27</v>
      </c>
    </row>
    <row r="72" spans="2:5" ht="25.5">
      <c r="B72" s="78"/>
      <c r="C72" s="79" t="s">
        <v>340</v>
      </c>
      <c r="D72" s="97">
        <f>Icout_2fline</f>
        <v>0.8838834764831843</v>
      </c>
      <c r="E72" s="80" t="s">
        <v>341</v>
      </c>
    </row>
    <row r="73" spans="2:5" ht="26.25">
      <c r="B73" s="81"/>
      <c r="C73" s="82" t="s">
        <v>342</v>
      </c>
      <c r="D73" s="90">
        <f>Icout_HF</f>
        <v>1.350696521547285</v>
      </c>
      <c r="E73" s="84" t="s">
        <v>341</v>
      </c>
    </row>
    <row r="74" spans="2:5" ht="20.25">
      <c r="B74" s="74" t="s">
        <v>343</v>
      </c>
      <c r="C74" s="75" t="s">
        <v>310</v>
      </c>
      <c r="D74" s="76" t="s">
        <v>344</v>
      </c>
      <c r="E74" s="77"/>
    </row>
    <row r="75" spans="2:5" ht="22.5">
      <c r="B75" s="81"/>
      <c r="C75" s="82" t="s">
        <v>319</v>
      </c>
      <c r="D75" s="82">
        <f>IF(R_fb1="",Rfb1_rcmd,R_fb1)</f>
        <v>1.27</v>
      </c>
      <c r="E75" s="84" t="s">
        <v>345</v>
      </c>
    </row>
    <row r="76" spans="2:5" ht="20.25">
      <c r="B76" s="74" t="s">
        <v>346</v>
      </c>
      <c r="C76" s="75" t="s">
        <v>310</v>
      </c>
      <c r="D76" s="76" t="s">
        <v>347</v>
      </c>
      <c r="E76" s="77"/>
    </row>
    <row r="77" spans="2:5" ht="22.5">
      <c r="B77" s="81"/>
      <c r="C77" s="82" t="s">
        <v>319</v>
      </c>
      <c r="D77" s="82">
        <f>IF(R_fb2="",R_fb2_rcmd,R_fb2)</f>
        <v>16</v>
      </c>
      <c r="E77" s="84" t="s">
        <v>348</v>
      </c>
    </row>
    <row r="78" spans="2:5" ht="20.25">
      <c r="B78" s="74" t="s">
        <v>349</v>
      </c>
      <c r="C78" s="75" t="s">
        <v>310</v>
      </c>
      <c r="D78" s="76" t="s">
        <v>350</v>
      </c>
      <c r="E78" s="77"/>
    </row>
    <row r="79" spans="2:5" ht="21">
      <c r="B79" s="81"/>
      <c r="C79" s="82" t="s">
        <v>319</v>
      </c>
      <c r="D79" s="96">
        <f>Cvsense</f>
        <v>680</v>
      </c>
      <c r="E79" s="84" t="s">
        <v>158</v>
      </c>
    </row>
    <row r="80" spans="2:5" ht="20.25">
      <c r="B80" s="74" t="s">
        <v>351</v>
      </c>
      <c r="C80" s="75" t="s">
        <v>310</v>
      </c>
      <c r="D80" s="76" t="s">
        <v>350</v>
      </c>
      <c r="E80" s="77"/>
    </row>
    <row r="81" spans="2:5" ht="20.25">
      <c r="B81" s="78"/>
      <c r="C81" s="98" t="s">
        <v>352</v>
      </c>
      <c r="D81" s="99">
        <f>Cicomp_minrcmd</f>
        <v>1000</v>
      </c>
      <c r="E81" s="80" t="s">
        <v>353</v>
      </c>
    </row>
    <row r="82" spans="2:5" ht="21">
      <c r="B82" s="81"/>
      <c r="C82" s="100"/>
      <c r="D82" s="82">
        <f>Cicomp_maxrcmd</f>
        <v>2200</v>
      </c>
      <c r="E82" s="84" t="s">
        <v>353</v>
      </c>
    </row>
    <row r="83" spans="2:5" ht="20.25" customHeight="1">
      <c r="B83" s="74" t="s">
        <v>354</v>
      </c>
      <c r="C83" s="75" t="s">
        <v>310</v>
      </c>
      <c r="D83" s="76" t="s">
        <v>355</v>
      </c>
      <c r="E83" s="77"/>
    </row>
    <row r="84" spans="2:5" ht="22.5">
      <c r="B84" s="81"/>
      <c r="C84" s="82" t="s">
        <v>319</v>
      </c>
      <c r="D84" s="82">
        <f>IF(Cvcomp="",Cvcomp_rcmd,Cvcomp)</f>
        <v>10</v>
      </c>
      <c r="E84" s="95" t="s">
        <v>356</v>
      </c>
    </row>
    <row r="85" spans="2:5" ht="20.25">
      <c r="B85" s="78" t="s">
        <v>357</v>
      </c>
      <c r="C85" s="79" t="s">
        <v>310</v>
      </c>
      <c r="D85" s="101" t="s">
        <v>347</v>
      </c>
      <c r="E85" s="102"/>
    </row>
    <row r="86" spans="2:5" ht="22.5">
      <c r="B86" s="81"/>
      <c r="C86" s="82" t="s">
        <v>319</v>
      </c>
      <c r="D86" s="82">
        <f>IF(Rvcomp="",Rvcomp_rcmd,Rvcomp)</f>
        <v>10</v>
      </c>
      <c r="E86" s="84" t="s">
        <v>348</v>
      </c>
    </row>
    <row r="87" spans="2:5" ht="20.25">
      <c r="B87" s="74" t="s">
        <v>358</v>
      </c>
      <c r="C87" s="75" t="s">
        <v>310</v>
      </c>
      <c r="D87" s="76" t="s">
        <v>355</v>
      </c>
      <c r="E87" s="77"/>
    </row>
    <row r="88" spans="2:5" ht="22.5">
      <c r="B88" s="81"/>
      <c r="C88" s="82" t="s">
        <v>319</v>
      </c>
      <c r="D88" s="82">
        <f>IF(Cvcomp_p="",Cvcomp_p_rcmd,Cvcomp_p)</f>
        <v>0.68</v>
      </c>
      <c r="E88" s="95" t="s">
        <v>356</v>
      </c>
    </row>
    <row r="89" spans="2:5" ht="20.25">
      <c r="B89" s="78" t="s">
        <v>359</v>
      </c>
      <c r="C89" s="79" t="s">
        <v>310</v>
      </c>
      <c r="D89" s="101" t="s">
        <v>347</v>
      </c>
      <c r="E89" s="102"/>
    </row>
    <row r="90" spans="2:5" ht="21">
      <c r="B90" s="81"/>
      <c r="C90" s="82" t="s">
        <v>319</v>
      </c>
      <c r="D90" s="82">
        <f>IF(Rfreq="",Rfreq_rcmd,Rfreq)</f>
        <v>20</v>
      </c>
      <c r="E90" s="84" t="s">
        <v>54</v>
      </c>
    </row>
    <row r="91" spans="2:5" ht="20.25">
      <c r="B91" s="78" t="s">
        <v>360</v>
      </c>
      <c r="C91" s="79" t="s">
        <v>310</v>
      </c>
      <c r="D91" s="101" t="s">
        <v>361</v>
      </c>
      <c r="E91" s="102"/>
    </row>
    <row r="92" spans="2:5" ht="21.75">
      <c r="B92" s="78"/>
      <c r="C92" s="98" t="s">
        <v>362</v>
      </c>
      <c r="D92" s="79">
        <v>0.1</v>
      </c>
      <c r="E92" s="91" t="s">
        <v>363</v>
      </c>
    </row>
    <row r="93" spans="2:5" ht="22.5">
      <c r="B93" s="81"/>
      <c r="C93" s="100"/>
      <c r="D93" s="82">
        <v>1</v>
      </c>
      <c r="E93" s="95" t="s">
        <v>364</v>
      </c>
    </row>
    <row r="94" spans="2:5" ht="20.25">
      <c r="B94" s="74" t="s">
        <v>365</v>
      </c>
      <c r="C94" s="75" t="s">
        <v>310</v>
      </c>
      <c r="D94" s="76" t="s">
        <v>366</v>
      </c>
      <c r="E94" s="77"/>
    </row>
    <row r="95" spans="2:5" ht="20.25">
      <c r="B95" s="78"/>
      <c r="C95" s="79" t="s">
        <v>328</v>
      </c>
      <c r="D95" s="103">
        <f>Iinrush</f>
        <v>2.333452377915607</v>
      </c>
      <c r="E95" s="102" t="s">
        <v>45</v>
      </c>
    </row>
    <row r="96" spans="2:5" ht="21">
      <c r="B96" s="81"/>
      <c r="C96" s="79" t="s">
        <v>320</v>
      </c>
      <c r="D96" s="103">
        <f>Vovp</f>
        <v>438.04375</v>
      </c>
      <c r="E96" s="84" t="s">
        <v>27</v>
      </c>
    </row>
    <row r="97" spans="2:5" ht="20.25">
      <c r="B97" s="74" t="s">
        <v>367</v>
      </c>
      <c r="C97" s="75" t="s">
        <v>310</v>
      </c>
      <c r="D97" s="76" t="s">
        <v>368</v>
      </c>
      <c r="E97" s="77"/>
    </row>
    <row r="98" spans="2:5" ht="20.25">
      <c r="B98" s="78"/>
      <c r="C98" s="79" t="s">
        <v>328</v>
      </c>
      <c r="D98" s="99">
        <v>2</v>
      </c>
      <c r="E98" s="102" t="s">
        <v>45</v>
      </c>
    </row>
    <row r="99" spans="2:5" ht="21">
      <c r="B99" s="81"/>
      <c r="C99" s="82" t="s">
        <v>320</v>
      </c>
      <c r="D99" s="90">
        <v>40</v>
      </c>
      <c r="E99" s="84" t="s">
        <v>27</v>
      </c>
    </row>
    <row r="100" spans="2:5" ht="20.25">
      <c r="B100" s="74" t="s">
        <v>369</v>
      </c>
      <c r="C100" s="75" t="s">
        <v>310</v>
      </c>
      <c r="D100" s="76" t="s">
        <v>347</v>
      </c>
      <c r="E100" s="77"/>
    </row>
    <row r="101" spans="2:5" ht="21">
      <c r="B101" s="81"/>
      <c r="C101" s="82" t="s">
        <v>319</v>
      </c>
      <c r="D101" s="104" t="s">
        <v>370</v>
      </c>
      <c r="E101" s="105"/>
    </row>
    <row r="102" spans="2:5" ht="20.25" customHeight="1">
      <c r="B102" s="74" t="s">
        <v>371</v>
      </c>
      <c r="C102" s="75" t="s">
        <v>310</v>
      </c>
      <c r="D102" s="76" t="s">
        <v>347</v>
      </c>
      <c r="E102" s="77"/>
    </row>
    <row r="103" spans="2:5" ht="21.75">
      <c r="B103" s="81"/>
      <c r="C103" s="82" t="s">
        <v>319</v>
      </c>
      <c r="D103" s="106">
        <v>10</v>
      </c>
      <c r="E103" s="107" t="s">
        <v>372</v>
      </c>
    </row>
  </sheetData>
  <sheetProtection password="E85D" sheet="1" objects="1" selectLockedCells="1" selectUnlockedCells="1"/>
  <mergeCells count="50">
    <mergeCell ref="B38:E38"/>
    <mergeCell ref="C39:E39"/>
    <mergeCell ref="D40:E40"/>
    <mergeCell ref="D46:E46"/>
    <mergeCell ref="D53:E53"/>
    <mergeCell ref="D57:E57"/>
    <mergeCell ref="D62:E62"/>
    <mergeCell ref="D65:E65"/>
    <mergeCell ref="D67:E67"/>
    <mergeCell ref="D69:E69"/>
    <mergeCell ref="D74:E74"/>
    <mergeCell ref="D76:E76"/>
    <mergeCell ref="D78:E78"/>
    <mergeCell ref="D80:E80"/>
    <mergeCell ref="D83:E83"/>
    <mergeCell ref="D85:E85"/>
    <mergeCell ref="D87:E87"/>
    <mergeCell ref="D89:E89"/>
    <mergeCell ref="D91:E91"/>
    <mergeCell ref="D94:E94"/>
    <mergeCell ref="D97:E97"/>
    <mergeCell ref="D100:E100"/>
    <mergeCell ref="D101:E101"/>
    <mergeCell ref="D102:E102"/>
    <mergeCell ref="B40:B42"/>
    <mergeCell ref="B43:B45"/>
    <mergeCell ref="B46:B48"/>
    <mergeCell ref="B49:B52"/>
    <mergeCell ref="B53:B56"/>
    <mergeCell ref="B57:B61"/>
    <mergeCell ref="B62:B64"/>
    <mergeCell ref="B65:B66"/>
    <mergeCell ref="B67:B68"/>
    <mergeCell ref="B69:B73"/>
    <mergeCell ref="B74:B75"/>
    <mergeCell ref="B76:B77"/>
    <mergeCell ref="B78:B79"/>
    <mergeCell ref="B80:B82"/>
    <mergeCell ref="B83:B84"/>
    <mergeCell ref="B85:B86"/>
    <mergeCell ref="B87:B88"/>
    <mergeCell ref="B89:B90"/>
    <mergeCell ref="B91:B93"/>
    <mergeCell ref="B94:B96"/>
    <mergeCell ref="B97:B99"/>
    <mergeCell ref="B100:B101"/>
    <mergeCell ref="B102:B103"/>
    <mergeCell ref="C81:C82"/>
    <mergeCell ref="C92:C93"/>
    <mergeCell ref="A1:F2"/>
  </mergeCells>
  <printOptions/>
  <pageMargins left="0.75" right="0.75" top="1" bottom="1" header="0.5"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sheetPr codeName="Sheet3"/>
  <dimension ref="A2:Y278"/>
  <sheetViews>
    <sheetView zoomScale="70" zoomScaleNormal="70" workbookViewId="0" topLeftCell="A22">
      <selection activeCell="E54" sqref="E54"/>
    </sheetView>
  </sheetViews>
  <sheetFormatPr defaultColWidth="9.140625" defaultRowHeight="12.75"/>
  <cols>
    <col min="1" max="2" width="9.140625" style="31" customWidth="1"/>
    <col min="3" max="3" width="12.00390625" style="31" customWidth="1"/>
    <col min="4" max="4" width="29.421875" style="31" customWidth="1"/>
    <col min="5" max="5" width="13.421875" style="31" customWidth="1"/>
    <col min="6" max="6" width="11.421875" style="31" bestFit="1" customWidth="1"/>
    <col min="7" max="7" width="14.140625" style="31" bestFit="1" customWidth="1"/>
    <col min="8" max="8" width="12.57421875" style="31" customWidth="1"/>
    <col min="9" max="9" width="13.421875" style="31" customWidth="1"/>
    <col min="10" max="10" width="20.421875" style="31" customWidth="1"/>
    <col min="11" max="11" width="43.140625" style="31" customWidth="1"/>
    <col min="12" max="12" width="14.421875" style="31" customWidth="1"/>
    <col min="13" max="13" width="24.8515625" style="31" customWidth="1"/>
    <col min="14" max="14" width="9.140625" style="31" customWidth="1"/>
    <col min="15" max="15" width="16.00390625" style="31" customWidth="1"/>
    <col min="16" max="16" width="33.57421875" style="31" customWidth="1"/>
    <col min="17" max="17" width="9.140625" style="31" customWidth="1"/>
    <col min="18" max="18" width="23.140625" style="31" customWidth="1"/>
    <col min="19" max="19" width="20.57421875" style="31" customWidth="1"/>
    <col min="20" max="20" width="19.8515625" style="31" customWidth="1"/>
    <col min="21" max="16384" width="9.140625" style="31" customWidth="1"/>
  </cols>
  <sheetData>
    <row r="2" spans="1:4" ht="14.25">
      <c r="A2" s="32" t="s">
        <v>373</v>
      </c>
      <c r="B2" s="32"/>
      <c r="C2" s="32"/>
      <c r="D2" s="32"/>
    </row>
    <row r="3" spans="1:4" ht="14.25">
      <c r="A3" s="6"/>
      <c r="B3" s="6"/>
      <c r="C3" s="6"/>
      <c r="D3" s="6"/>
    </row>
    <row r="4" spans="1:4" ht="14.25">
      <c r="A4" s="32" t="s">
        <v>259</v>
      </c>
      <c r="B4" s="32" t="s">
        <v>374</v>
      </c>
      <c r="C4" s="32" t="s">
        <v>375</v>
      </c>
      <c r="D4" s="32" t="s">
        <v>376</v>
      </c>
    </row>
    <row r="5" spans="1:8" ht="14.25">
      <c r="A5" s="32">
        <v>0</v>
      </c>
      <c r="B5" s="33">
        <f>IF(A5&lt;1,(0.068),IF(A5&lt;2,(0.156*A5-0.088),IF(A5&lt;4.5,(0.313*A5-0.401),IF(A5&lt;=5,1.007,"VCOMP MUST BE &lt; 5"))))</f>
        <v>0.068</v>
      </c>
      <c r="C5" s="33">
        <f aca="true" t="shared" si="0" ref="C5:C36">IF(A5&lt;=0.5,0,IF(A5&lt;4.6,((fSW_target/65)*0.1223*(A5-0.5)^2),IF(A5&lt;=5,((fSW_target/65)*2.056),"VCOMP MUST BE &lt; 5")))</f>
        <v>0</v>
      </c>
      <c r="D5" s="34">
        <f>B5*C5</f>
        <v>0</v>
      </c>
      <c r="G5" s="35" t="s">
        <v>377</v>
      </c>
      <c r="H5" s="36">
        <f>10^-3</f>
        <v>0.001</v>
      </c>
    </row>
    <row r="6" spans="1:8" ht="14.25">
      <c r="A6" s="32">
        <f>A5+0.05</f>
        <v>0.05</v>
      </c>
      <c r="B6" s="33">
        <f aca="true" t="shared" si="1" ref="B6:B69">IF(A6&lt;1,(0.068),IF(A6&lt;2,(0.156*A6-0.088),IF(A6&lt;4.5,(0.313*A6-0.401),IF(A6&lt;=5,1.007,"VCOMP MUST BE &lt; 5"))))</f>
        <v>0.068</v>
      </c>
      <c r="C6" s="33">
        <f t="shared" si="0"/>
        <v>0</v>
      </c>
      <c r="D6" s="34">
        <f aca="true" t="shared" si="2" ref="D6:D69">B6*C6</f>
        <v>0</v>
      </c>
      <c r="G6" s="35" t="s">
        <v>378</v>
      </c>
      <c r="H6" s="36">
        <f>(10^-6)</f>
        <v>1E-06</v>
      </c>
    </row>
    <row r="7" spans="1:8" ht="14.25">
      <c r="A7" s="32">
        <f aca="true" t="shared" si="3" ref="A7:A70">A6+0.05</f>
        <v>0.1</v>
      </c>
      <c r="B7" s="33">
        <f t="shared" si="1"/>
        <v>0.068</v>
      </c>
      <c r="C7" s="33">
        <f t="shared" si="0"/>
        <v>0</v>
      </c>
      <c r="D7" s="34">
        <f t="shared" si="2"/>
        <v>0</v>
      </c>
      <c r="G7" s="35" t="s">
        <v>379</v>
      </c>
      <c r="H7" s="36">
        <f>10^3</f>
        <v>1000</v>
      </c>
    </row>
    <row r="8" spans="1:8" ht="14.25">
      <c r="A8" s="32">
        <f t="shared" si="3"/>
        <v>0.15000000000000002</v>
      </c>
      <c r="B8" s="33">
        <f t="shared" si="1"/>
        <v>0.068</v>
      </c>
      <c r="C8" s="33">
        <f t="shared" si="0"/>
        <v>0</v>
      </c>
      <c r="D8" s="34">
        <f t="shared" si="2"/>
        <v>0</v>
      </c>
      <c r="G8" s="35" t="s">
        <v>380</v>
      </c>
      <c r="H8" s="36">
        <f>10^-3</f>
        <v>0.001</v>
      </c>
    </row>
    <row r="9" spans="1:8" ht="14.25">
      <c r="A9" s="32">
        <f t="shared" si="3"/>
        <v>0.2</v>
      </c>
      <c r="B9" s="33">
        <f t="shared" si="1"/>
        <v>0.068</v>
      </c>
      <c r="C9" s="33">
        <f t="shared" si="0"/>
        <v>0</v>
      </c>
      <c r="D9" s="34">
        <f t="shared" si="2"/>
        <v>0</v>
      </c>
      <c r="G9" s="35" t="s">
        <v>381</v>
      </c>
      <c r="H9" s="36">
        <f>10^-3</f>
        <v>0.001</v>
      </c>
    </row>
    <row r="10" spans="1:8" ht="14.25">
      <c r="A10" s="32">
        <f t="shared" si="3"/>
        <v>0.25</v>
      </c>
      <c r="B10" s="33">
        <f t="shared" si="1"/>
        <v>0.068</v>
      </c>
      <c r="C10" s="33">
        <f t="shared" si="0"/>
        <v>0</v>
      </c>
      <c r="D10" s="34">
        <f t="shared" si="2"/>
        <v>0</v>
      </c>
      <c r="G10" s="35" t="s">
        <v>382</v>
      </c>
      <c r="H10" s="36">
        <f>10^-3</f>
        <v>0.001</v>
      </c>
    </row>
    <row r="11" spans="1:8" ht="14.25">
      <c r="A11" s="32">
        <f t="shared" si="3"/>
        <v>0.3</v>
      </c>
      <c r="B11" s="33">
        <f t="shared" si="1"/>
        <v>0.068</v>
      </c>
      <c r="C11" s="33">
        <f t="shared" si="0"/>
        <v>0</v>
      </c>
      <c r="D11" s="34">
        <f t="shared" si="2"/>
        <v>0</v>
      </c>
      <c r="G11" s="35" t="s">
        <v>383</v>
      </c>
      <c r="H11" s="36">
        <f>10^-6</f>
        <v>1E-06</v>
      </c>
    </row>
    <row r="12" spans="1:8" ht="14.25">
      <c r="A12" s="32">
        <f t="shared" si="3"/>
        <v>0.35</v>
      </c>
      <c r="B12" s="33">
        <f t="shared" si="1"/>
        <v>0.068</v>
      </c>
      <c r="C12" s="33">
        <f t="shared" si="0"/>
        <v>0</v>
      </c>
      <c r="D12" s="34">
        <f t="shared" si="2"/>
        <v>0</v>
      </c>
      <c r="G12" s="35" t="s">
        <v>384</v>
      </c>
      <c r="H12" s="36">
        <f>10^-6</f>
        <v>1E-06</v>
      </c>
    </row>
    <row r="13" spans="1:8" ht="14.25">
      <c r="A13" s="32">
        <f t="shared" si="3"/>
        <v>0.39999999999999997</v>
      </c>
      <c r="B13" s="33">
        <f t="shared" si="1"/>
        <v>0.068</v>
      </c>
      <c r="C13" s="33">
        <f t="shared" si="0"/>
        <v>0</v>
      </c>
      <c r="D13" s="34">
        <f t="shared" si="2"/>
        <v>0</v>
      </c>
      <c r="G13" s="35" t="s">
        <v>385</v>
      </c>
      <c r="H13" s="36">
        <f>10^-9</f>
        <v>1E-09</v>
      </c>
    </row>
    <row r="14" spans="1:8" ht="14.25">
      <c r="A14" s="32">
        <f t="shared" si="3"/>
        <v>0.44999999999999996</v>
      </c>
      <c r="B14" s="33">
        <f t="shared" si="1"/>
        <v>0.068</v>
      </c>
      <c r="C14" s="33">
        <f t="shared" si="0"/>
        <v>0</v>
      </c>
      <c r="D14" s="34">
        <f t="shared" si="2"/>
        <v>0</v>
      </c>
      <c r="G14" s="35" t="s">
        <v>386</v>
      </c>
      <c r="H14" s="36">
        <f>10^-3</f>
        <v>0.001</v>
      </c>
    </row>
    <row r="15" spans="1:8" ht="14.25">
      <c r="A15" s="32">
        <f t="shared" si="3"/>
        <v>0.49999999999999994</v>
      </c>
      <c r="B15" s="33">
        <f t="shared" si="1"/>
        <v>0.068</v>
      </c>
      <c r="C15" s="33">
        <f t="shared" si="0"/>
        <v>0</v>
      </c>
      <c r="D15" s="34">
        <f t="shared" si="2"/>
        <v>0</v>
      </c>
      <c r="G15" s="35" t="s">
        <v>387</v>
      </c>
      <c r="H15" s="36">
        <f>10^-12</f>
        <v>1E-12</v>
      </c>
    </row>
    <row r="16" spans="1:8" ht="14.25">
      <c r="A16" s="32">
        <f t="shared" si="3"/>
        <v>0.5499999999999999</v>
      </c>
      <c r="B16" s="33">
        <f t="shared" si="1"/>
        <v>0.068</v>
      </c>
      <c r="C16" s="33">
        <f t="shared" si="0"/>
        <v>0.0004703846153846142</v>
      </c>
      <c r="D16" s="34">
        <f t="shared" si="2"/>
        <v>3.198615384615377E-05</v>
      </c>
      <c r="G16" s="35" t="s">
        <v>388</v>
      </c>
      <c r="H16" s="36">
        <f>10^6</f>
        <v>1000000</v>
      </c>
    </row>
    <row r="17" spans="1:8" ht="14.25">
      <c r="A17" s="32">
        <f t="shared" si="3"/>
        <v>0.6</v>
      </c>
      <c r="B17" s="33">
        <f t="shared" si="1"/>
        <v>0.068</v>
      </c>
      <c r="C17" s="33">
        <f t="shared" si="0"/>
        <v>0.0018815384615384608</v>
      </c>
      <c r="D17" s="34">
        <f t="shared" si="2"/>
        <v>0.00012794461538461534</v>
      </c>
      <c r="G17" s="35" t="s">
        <v>389</v>
      </c>
      <c r="H17" s="36">
        <f>10^-6</f>
        <v>1E-06</v>
      </c>
    </row>
    <row r="18" spans="1:8" ht="15">
      <c r="A18" s="32">
        <f t="shared" si="3"/>
        <v>0.65</v>
      </c>
      <c r="B18" s="33">
        <f t="shared" si="1"/>
        <v>0.068</v>
      </c>
      <c r="C18" s="33">
        <f t="shared" si="0"/>
        <v>0.00423346153846154</v>
      </c>
      <c r="D18" s="34">
        <f t="shared" si="2"/>
        <v>0.0002878753846153847</v>
      </c>
      <c r="G18" s="35" t="s">
        <v>390</v>
      </c>
      <c r="H18" s="36">
        <f>10^3</f>
        <v>1000</v>
      </c>
    </row>
    <row r="19" spans="1:8" ht="14.25">
      <c r="A19" s="32">
        <f t="shared" si="3"/>
        <v>0.7000000000000001</v>
      </c>
      <c r="B19" s="33">
        <f t="shared" si="1"/>
        <v>0.068</v>
      </c>
      <c r="C19" s="33">
        <f t="shared" si="0"/>
        <v>0.0075261538461538526</v>
      </c>
      <c r="D19" s="34">
        <f t="shared" si="2"/>
        <v>0.000511778461538462</v>
      </c>
      <c r="G19" s="35" t="s">
        <v>391</v>
      </c>
      <c r="H19" s="36">
        <f>10^-9</f>
        <v>1E-09</v>
      </c>
    </row>
    <row r="20" spans="1:8" ht="14.25">
      <c r="A20" s="32">
        <f t="shared" si="3"/>
        <v>0.7500000000000001</v>
      </c>
      <c r="B20" s="33">
        <f t="shared" si="1"/>
        <v>0.068</v>
      </c>
      <c r="C20" s="33">
        <f t="shared" si="0"/>
        <v>0.011759615384615396</v>
      </c>
      <c r="D20" s="34">
        <f t="shared" si="2"/>
        <v>0.000799653846153847</v>
      </c>
      <c r="G20" s="35" t="s">
        <v>392</v>
      </c>
      <c r="H20" s="36">
        <f>10^-9</f>
        <v>1E-09</v>
      </c>
    </row>
    <row r="21" spans="1:8" ht="14.25">
      <c r="A21" s="32">
        <f t="shared" si="3"/>
        <v>0.8000000000000002</v>
      </c>
      <c r="B21" s="33">
        <f t="shared" si="1"/>
        <v>0.068</v>
      </c>
      <c r="C21" s="33">
        <f t="shared" si="0"/>
        <v>0.016933846153846174</v>
      </c>
      <c r="D21" s="34">
        <f t="shared" si="2"/>
        <v>0.00115150153846154</v>
      </c>
      <c r="G21" s="35" t="s">
        <v>393</v>
      </c>
      <c r="H21" s="36">
        <f>10^-6</f>
        <v>1E-06</v>
      </c>
    </row>
    <row r="22" spans="1:8" ht="14.25">
      <c r="A22" s="32">
        <f t="shared" si="3"/>
        <v>0.8500000000000002</v>
      </c>
      <c r="B22" s="33">
        <f t="shared" si="1"/>
        <v>0.068</v>
      </c>
      <c r="C22" s="33">
        <f t="shared" si="0"/>
        <v>0.02304884615384618</v>
      </c>
      <c r="D22" s="34">
        <f t="shared" si="2"/>
        <v>0.0015673215384615403</v>
      </c>
      <c r="G22" s="6" t="s">
        <v>394</v>
      </c>
      <c r="H22" s="36">
        <f>10^6</f>
        <v>1000000</v>
      </c>
    </row>
    <row r="23" spans="1:8" ht="14.25">
      <c r="A23" s="32">
        <f t="shared" si="3"/>
        <v>0.9000000000000002</v>
      </c>
      <c r="B23" s="33">
        <f t="shared" si="1"/>
        <v>0.068</v>
      </c>
      <c r="C23" s="33">
        <f t="shared" si="0"/>
        <v>0.030104615384615424</v>
      </c>
      <c r="D23" s="34">
        <f t="shared" si="2"/>
        <v>0.002047113846153849</v>
      </c>
      <c r="G23" s="6" t="s">
        <v>395</v>
      </c>
      <c r="H23" s="36">
        <f>10^-3</f>
        <v>0.001</v>
      </c>
    </row>
    <row r="24" spans="1:4" ht="14.25">
      <c r="A24" s="32">
        <f t="shared" si="3"/>
        <v>0.9500000000000003</v>
      </c>
      <c r="B24" s="33">
        <f t="shared" si="1"/>
        <v>0.068</v>
      </c>
      <c r="C24" s="33">
        <f t="shared" si="0"/>
        <v>0.0381011538461539</v>
      </c>
      <c r="D24" s="34">
        <f t="shared" si="2"/>
        <v>0.0025908784615384654</v>
      </c>
    </row>
    <row r="25" spans="1:4" ht="14.25">
      <c r="A25" s="32">
        <f t="shared" si="3"/>
        <v>1.0000000000000002</v>
      </c>
      <c r="B25" s="33">
        <f t="shared" si="1"/>
        <v>0.06800000000000003</v>
      </c>
      <c r="C25" s="33">
        <f t="shared" si="0"/>
        <v>0.047038461538461585</v>
      </c>
      <c r="D25" s="34">
        <f t="shared" si="2"/>
        <v>0.003198615384615389</v>
      </c>
    </row>
    <row r="26" spans="1:4" ht="14.25">
      <c r="A26" s="32">
        <f t="shared" si="3"/>
        <v>1.0500000000000003</v>
      </c>
      <c r="B26" s="33">
        <f t="shared" si="1"/>
        <v>0.07580000000000003</v>
      </c>
      <c r="C26" s="33">
        <f t="shared" si="0"/>
        <v>0.05691653846153852</v>
      </c>
      <c r="D26" s="34">
        <f t="shared" si="2"/>
        <v>0.004314273615384621</v>
      </c>
    </row>
    <row r="27" spans="1:4" ht="14.25">
      <c r="A27" s="32">
        <f t="shared" si="3"/>
        <v>1.1000000000000003</v>
      </c>
      <c r="B27" s="33">
        <f t="shared" si="1"/>
        <v>0.08360000000000006</v>
      </c>
      <c r="C27" s="33">
        <f t="shared" si="0"/>
        <v>0.0677353846153847</v>
      </c>
      <c r="D27" s="34">
        <f t="shared" si="2"/>
        <v>0.005662678153846165</v>
      </c>
    </row>
    <row r="28" spans="1:4" ht="14.25">
      <c r="A28" s="32">
        <f t="shared" si="3"/>
        <v>1.1500000000000004</v>
      </c>
      <c r="B28" s="33">
        <f t="shared" si="1"/>
        <v>0.09140000000000006</v>
      </c>
      <c r="C28" s="33">
        <f t="shared" si="0"/>
        <v>0.0794950000000001</v>
      </c>
      <c r="D28" s="34">
        <f t="shared" si="2"/>
        <v>0.007265843000000014</v>
      </c>
    </row>
    <row r="29" spans="1:4" ht="14.25">
      <c r="A29" s="32">
        <f t="shared" si="3"/>
        <v>1.2000000000000004</v>
      </c>
      <c r="B29" s="33">
        <f t="shared" si="1"/>
        <v>0.09920000000000007</v>
      </c>
      <c r="C29" s="33">
        <f t="shared" si="0"/>
        <v>0.09219538461538472</v>
      </c>
      <c r="D29" s="34">
        <f t="shared" si="2"/>
        <v>0.00914578215384617</v>
      </c>
    </row>
    <row r="30" spans="1:4" ht="14.25">
      <c r="A30" s="32">
        <f t="shared" si="3"/>
        <v>1.2500000000000004</v>
      </c>
      <c r="B30" s="33">
        <f t="shared" si="1"/>
        <v>0.10700000000000007</v>
      </c>
      <c r="C30" s="33">
        <f t="shared" si="0"/>
        <v>0.10583653846153859</v>
      </c>
      <c r="D30" s="34">
        <f t="shared" si="2"/>
        <v>0.011324509615384637</v>
      </c>
    </row>
    <row r="31" spans="1:8" ht="18.75">
      <c r="A31" s="32">
        <f t="shared" si="3"/>
        <v>1.3000000000000005</v>
      </c>
      <c r="B31" s="33">
        <f t="shared" si="1"/>
        <v>0.11480000000000007</v>
      </c>
      <c r="C31" s="33">
        <f t="shared" si="0"/>
        <v>0.1204184615384617</v>
      </c>
      <c r="D31" s="34">
        <f t="shared" si="2"/>
        <v>0.01382403938461541</v>
      </c>
      <c r="G31" s="6" t="s">
        <v>396</v>
      </c>
      <c r="H31" s="6">
        <v>7</v>
      </c>
    </row>
    <row r="32" spans="1:8" ht="18.75">
      <c r="A32" s="32">
        <f t="shared" si="3"/>
        <v>1.3500000000000005</v>
      </c>
      <c r="B32" s="33">
        <f t="shared" si="1"/>
        <v>0.1226000000000001</v>
      </c>
      <c r="C32" s="33">
        <f t="shared" si="0"/>
        <v>0.13594115384615404</v>
      </c>
      <c r="D32" s="34">
        <f t="shared" si="2"/>
        <v>0.0166663854615385</v>
      </c>
      <c r="G32" s="6" t="s">
        <v>397</v>
      </c>
      <c r="H32" s="6">
        <f>1/(fsw*kHz)</f>
        <v>9.526708825143793E-06</v>
      </c>
    </row>
    <row r="33" spans="1:11" ht="18.75">
      <c r="A33" s="32">
        <f t="shared" si="3"/>
        <v>1.4000000000000006</v>
      </c>
      <c r="B33" s="33">
        <f t="shared" si="1"/>
        <v>0.1304000000000001</v>
      </c>
      <c r="C33" s="33">
        <f t="shared" si="0"/>
        <v>0.1524046153846156</v>
      </c>
      <c r="D33" s="34">
        <f t="shared" si="2"/>
        <v>0.01987356184615389</v>
      </c>
      <c r="G33" s="6" t="s">
        <v>398</v>
      </c>
      <c r="H33" s="6">
        <f>65*kHz</f>
        <v>65000</v>
      </c>
      <c r="J33" s="6" t="s">
        <v>248</v>
      </c>
      <c r="K33" s="6">
        <f>(Vacin_min+Vacin_max)/2</f>
        <v>172.5</v>
      </c>
    </row>
    <row r="34" spans="1:8" ht="14.25">
      <c r="A34" s="32">
        <f t="shared" si="3"/>
        <v>1.4500000000000006</v>
      </c>
      <c r="B34" s="33">
        <f t="shared" si="1"/>
        <v>0.1382000000000001</v>
      </c>
      <c r="C34" s="33">
        <f t="shared" si="0"/>
        <v>0.1698088461538464</v>
      </c>
      <c r="D34" s="34">
        <f t="shared" si="2"/>
        <v>0.02346758253846159</v>
      </c>
      <c r="G34" s="10"/>
      <c r="H34" s="11"/>
    </row>
    <row r="35" spans="1:11" ht="14.25">
      <c r="A35" s="32">
        <f t="shared" si="3"/>
        <v>1.5000000000000007</v>
      </c>
      <c r="B35" s="33">
        <f t="shared" si="1"/>
        <v>0.1460000000000001</v>
      </c>
      <c r="C35" s="33">
        <f t="shared" si="0"/>
        <v>0.18815384615384642</v>
      </c>
      <c r="D35" s="34">
        <f t="shared" si="2"/>
        <v>0.027470461538461596</v>
      </c>
      <c r="G35" s="6" t="s">
        <v>376</v>
      </c>
      <c r="H35" s="6">
        <f>(Iout*(Vout_nom^2)*2.5*Rsense*K_1)/(eff*(VINnom^2)*K_FQ)*us</f>
        <v>0.12097884745291036</v>
      </c>
      <c r="J35" s="6" t="s">
        <v>376</v>
      </c>
      <c r="K35" s="6">
        <f>(Iout*(Vout_nom^2)*2.5*Rsense*K_1)/(eff*(Vacin_nom^2)*K_FQ)*us</f>
        <v>0.19677802870727534</v>
      </c>
    </row>
    <row r="36" spans="1:11" ht="14.25">
      <c r="A36" s="32">
        <f t="shared" si="3"/>
        <v>1.5500000000000007</v>
      </c>
      <c r="B36" s="33">
        <f t="shared" si="1"/>
        <v>0.1538000000000001</v>
      </c>
      <c r="C36" s="33">
        <f t="shared" si="0"/>
        <v>0.2074396153846157</v>
      </c>
      <c r="D36" s="34">
        <f t="shared" si="2"/>
        <v>0.03190421284615391</v>
      </c>
      <c r="G36" s="10"/>
      <c r="H36" s="11"/>
      <c r="J36" s="10"/>
      <c r="K36" s="11"/>
    </row>
    <row r="37" spans="1:11" ht="14.25">
      <c r="A37" s="32">
        <f t="shared" si="3"/>
        <v>1.6000000000000008</v>
      </c>
      <c r="B37" s="33">
        <f t="shared" si="1"/>
        <v>0.16160000000000013</v>
      </c>
      <c r="C37" s="33">
        <f aca="true" t="shared" si="4" ref="C37:C68">IF(A37&lt;=0.5,0,IF(A37&lt;4.6,((fSW_target/65)*0.1223*(A37-0.5)^2),IF(A37&lt;=5,((fSW_target/65)*2.056),"VCOMP MUST BE &lt; 5")))</f>
        <v>0.22766615384615418</v>
      </c>
      <c r="D37" s="34">
        <f t="shared" si="2"/>
        <v>0.03679085046153854</v>
      </c>
      <c r="G37" s="6" t="s">
        <v>399</v>
      </c>
      <c r="H37" s="6">
        <f>(1*10^-9*(5*10^8*SQRT(fsw*kHz)+(1.09655978*10^10)*SQRT(ftyp)*SQRT(M1M2)))/SQRT(fsw*kHz)</f>
        <v>3.5013397363941356</v>
      </c>
      <c r="J37" s="6" t="s">
        <v>399</v>
      </c>
      <c r="K37" s="6">
        <f>(1*10^-9*(5*10^8*SQRT(fsw*kHz)+(1.09655978*10^10)*SQRT(ftyp)*SQRT(M1M2)))/SQRT(fsw*kHz)</f>
        <v>3.5013397363941356</v>
      </c>
    </row>
    <row r="38" spans="1:11" ht="14.25">
      <c r="A38" s="32">
        <f t="shared" si="3"/>
        <v>1.6500000000000008</v>
      </c>
      <c r="B38" s="33">
        <f t="shared" si="1"/>
        <v>0.16940000000000013</v>
      </c>
      <c r="C38" s="33">
        <f t="shared" si="4"/>
        <v>0.2488334615384619</v>
      </c>
      <c r="D38" s="34">
        <f t="shared" si="2"/>
        <v>0.04215238838461548</v>
      </c>
      <c r="G38" s="10"/>
      <c r="H38" s="11"/>
      <c r="J38" s="10"/>
      <c r="K38" s="11"/>
    </row>
    <row r="39" spans="1:11" ht="18.75">
      <c r="A39" s="32">
        <f t="shared" si="3"/>
        <v>1.7000000000000008</v>
      </c>
      <c r="B39" s="33">
        <f t="shared" si="1"/>
        <v>0.17720000000000016</v>
      </c>
      <c r="C39" s="33">
        <f t="shared" si="4"/>
        <v>0.27094153846153884</v>
      </c>
      <c r="D39" s="34">
        <f t="shared" si="2"/>
        <v>0.04801084061538473</v>
      </c>
      <c r="G39" s="6" t="s">
        <v>400</v>
      </c>
      <c r="H39" s="6">
        <v>0.156</v>
      </c>
      <c r="J39" s="6" t="s">
        <v>400</v>
      </c>
      <c r="K39" s="6">
        <v>0.156</v>
      </c>
    </row>
    <row r="40" spans="1:11" ht="18.75">
      <c r="A40" s="32">
        <f t="shared" si="3"/>
        <v>1.7500000000000009</v>
      </c>
      <c r="B40" s="33">
        <f t="shared" si="1"/>
        <v>0.18500000000000014</v>
      </c>
      <c r="C40" s="33">
        <f t="shared" si="4"/>
        <v>0.29399038461538507</v>
      </c>
      <c r="D40" s="34">
        <f t="shared" si="2"/>
        <v>0.054388221153846276</v>
      </c>
      <c r="G40" s="6" t="s">
        <v>401</v>
      </c>
      <c r="H40" s="6">
        <v>0.088</v>
      </c>
      <c r="J40" s="6" t="s">
        <v>401</v>
      </c>
      <c r="K40" s="6">
        <v>0.088</v>
      </c>
    </row>
    <row r="41" spans="1:11" ht="18.75">
      <c r="A41" s="32">
        <f t="shared" si="3"/>
        <v>1.800000000000001</v>
      </c>
      <c r="B41" s="33">
        <f t="shared" si="1"/>
        <v>0.19280000000000017</v>
      </c>
      <c r="C41" s="33">
        <f t="shared" si="4"/>
        <v>0.3179800000000005</v>
      </c>
      <c r="D41" s="34">
        <f t="shared" si="2"/>
        <v>0.06130654400000014</v>
      </c>
      <c r="G41" s="6" t="s">
        <v>402</v>
      </c>
      <c r="H41" s="6">
        <v>0.1223</v>
      </c>
      <c r="J41" s="6" t="s">
        <v>402</v>
      </c>
      <c r="K41" s="6">
        <v>0.1223</v>
      </c>
    </row>
    <row r="42" spans="1:11" ht="18.75">
      <c r="A42" s="32">
        <f t="shared" si="3"/>
        <v>1.850000000000001</v>
      </c>
      <c r="B42" s="33">
        <f t="shared" si="1"/>
        <v>0.20060000000000014</v>
      </c>
      <c r="C42" s="33">
        <f t="shared" si="4"/>
        <v>0.34291038461538514</v>
      </c>
      <c r="D42" s="34">
        <f t="shared" si="2"/>
        <v>0.06878782315384631</v>
      </c>
      <c r="G42" s="6" t="s">
        <v>403</v>
      </c>
      <c r="H42" s="6">
        <v>0.5</v>
      </c>
      <c r="J42" s="6" t="s">
        <v>403</v>
      </c>
      <c r="K42" s="6">
        <v>0.5</v>
      </c>
    </row>
    <row r="43" spans="1:11" ht="18.75">
      <c r="A43" s="32">
        <f t="shared" si="3"/>
        <v>1.900000000000001</v>
      </c>
      <c r="B43" s="33">
        <f t="shared" si="1"/>
        <v>0.20840000000000017</v>
      </c>
      <c r="C43" s="33">
        <f t="shared" si="4"/>
        <v>0.36878153846153905</v>
      </c>
      <c r="D43" s="34">
        <f t="shared" si="2"/>
        <v>0.0768540726153848</v>
      </c>
      <c r="G43" s="6" t="s">
        <v>404</v>
      </c>
      <c r="H43" s="6">
        <f>(b_1^3/(27*a_1^3))-(d_1^3/27)+SQRT((ftyp)^2*M1M2^2/(4*a_1^2*c_1^2*(fsw*kHz)^2))+(b_1^3*(ftyp)*M1M2/(27*a_1^4*c_1*(fsw*kHz))-(d_1^3*(ftyp)*M1M2/(27*a_1*c_1*(fsw*kHz)))+(b_1*d_1^2*(ftyp)*M1M2/(9*a_1^2*c_1*(fsw*kHz)))-(b_1^2*d_1*(ftyp)*M1M2/(9*a_1^3*c_1*(fsw*kHz))))</f>
        <v>1.9653478132097444</v>
      </c>
      <c r="J43" s="6" t="s">
        <v>404</v>
      </c>
      <c r="K43" s="6">
        <f>(b_1^3/(27*a_1^3))-(d_1^3/27)+SQRT((ftyp)^2*M1M2^2/(4*a_1^2*c_1^2*(fsw*kHz)^2))+(b_1^3*(ftyp)*M1M2/(27*a_1^4*c_1*(fsw*kHz))-(d_1^3*(ftyp)*M1M2/(27*a_1*c_1*(fsw*kHz)))+(b_1*d_1^2*(ftyp)*M1M2/(9*a_1^2*c_1*(fsw*kHz)))-(b_1^2*d_1*(ftyp)*M1M2/(9*a_1^3*c_1*(fsw*kHz))))</f>
        <v>1.9653478132097444</v>
      </c>
    </row>
    <row r="44" spans="1:11" ht="18.75">
      <c r="A44" s="32">
        <f t="shared" si="3"/>
        <v>1.950000000000001</v>
      </c>
      <c r="B44" s="33">
        <f t="shared" si="1"/>
        <v>0.2162000000000002</v>
      </c>
      <c r="C44" s="33">
        <f t="shared" si="4"/>
        <v>0.39559346153846214</v>
      </c>
      <c r="D44" s="34">
        <f t="shared" si="2"/>
        <v>0.08552730638461559</v>
      </c>
      <c r="G44" s="6" t="s">
        <v>405</v>
      </c>
      <c r="H44" s="6">
        <f>(b_1*d_1^2/(9*a_1))-(b_1^2*d_1/(9*a_1^2))+(ftyp*M1M2/(2*a_1*c_1*fsw*kHz))</f>
        <v>1.9612819259831202</v>
      </c>
      <c r="J44" s="6" t="s">
        <v>405</v>
      </c>
      <c r="K44" s="6">
        <f>(b_1*d_1^2/(9*a_1))-(b_1^2*d_1/(9*a_1^2))+(ftyp*M1M2/(2*a_1*c_1*fsw*kHz))</f>
        <v>1.9612819259831202</v>
      </c>
    </row>
    <row r="45" spans="1:11" ht="18.75">
      <c r="A45" s="32">
        <f t="shared" si="3"/>
        <v>2.000000000000001</v>
      </c>
      <c r="B45" s="33">
        <f t="shared" si="1"/>
        <v>0.2250000000000003</v>
      </c>
      <c r="C45" s="33">
        <f t="shared" si="4"/>
        <v>0.42334615384615437</v>
      </c>
      <c r="D45" s="34">
        <f t="shared" si="2"/>
        <v>0.09525288461538486</v>
      </c>
      <c r="G45" s="6" t="s">
        <v>406</v>
      </c>
      <c r="H45" s="6">
        <f>(d_1^2/9)+(b_1^2/(9*a_1^2))-(2*b_1*d_1/(9*a_1))</f>
        <v>0.00045657096939147324</v>
      </c>
      <c r="J45" s="6" t="s">
        <v>406</v>
      </c>
      <c r="K45" s="6">
        <f>(d_1^2/9)+(b_1^2/(9*a_1^2))-(2*b_1*d_1/(9*a_1))</f>
        <v>0.00045657096939147324</v>
      </c>
    </row>
    <row r="46" spans="1:11" ht="18.75">
      <c r="A46" s="32">
        <f t="shared" si="3"/>
        <v>2.0500000000000007</v>
      </c>
      <c r="B46" s="33">
        <f t="shared" si="1"/>
        <v>0.24065000000000025</v>
      </c>
      <c r="C46" s="33">
        <f t="shared" si="4"/>
        <v>0.45203961538461584</v>
      </c>
      <c r="D46" s="34">
        <f t="shared" si="2"/>
        <v>0.10878333344230792</v>
      </c>
      <c r="G46" s="6" t="s">
        <v>407</v>
      </c>
      <c r="H46" s="6">
        <f>((b_1*c_1*fsw*kHz)+(2*a_1*c_1*d_1*fsw*kHz))/(3*a_1*c_1*fsw*kHz)</f>
        <v>0.5213675213675214</v>
      </c>
      <c r="J46" s="6" t="s">
        <v>407</v>
      </c>
      <c r="K46" s="6">
        <f>((b_1*c_1*fsw*kHz)+(2*a_1*c_1*d_1*fsw*kHz))/(3*a_1*c_1*fsw*kHz)</f>
        <v>0.5213675213675214</v>
      </c>
    </row>
    <row r="47" spans="1:11" ht="14.25">
      <c r="A47" s="32">
        <f t="shared" si="3"/>
        <v>2.1000000000000005</v>
      </c>
      <c r="B47" s="33">
        <f t="shared" si="1"/>
        <v>0.2563000000000002</v>
      </c>
      <c r="C47" s="33">
        <f t="shared" si="4"/>
        <v>0.48167384615384656</v>
      </c>
      <c r="D47" s="34">
        <f t="shared" si="2"/>
        <v>0.12345300676923097</v>
      </c>
      <c r="G47" s="6" t="s">
        <v>408</v>
      </c>
      <c r="H47" s="6">
        <f>(K_1V2+K_2V2)^(1/3)+(K_3V2/(K_1V2^(1/3)))+K_4V2</f>
        <v>2.099367447738625</v>
      </c>
      <c r="J47" s="6" t="s">
        <v>408</v>
      </c>
      <c r="K47" s="6">
        <f>(K_1V2+K_2V2)^(1/3)+(K_3V2/(K_1V2^(1/3)))+K_4V2</f>
        <v>2.099367447738625</v>
      </c>
    </row>
    <row r="48" spans="1:11" ht="14.25">
      <c r="A48" s="32">
        <f t="shared" si="3"/>
        <v>2.1500000000000004</v>
      </c>
      <c r="B48" s="33">
        <f t="shared" si="1"/>
        <v>0.27195000000000014</v>
      </c>
      <c r="C48" s="33">
        <f t="shared" si="4"/>
        <v>0.5122488461538464</v>
      </c>
      <c r="D48" s="34">
        <f t="shared" si="2"/>
        <v>0.13930607371153858</v>
      </c>
      <c r="G48" s="10"/>
      <c r="H48" s="11"/>
      <c r="J48" s="10"/>
      <c r="K48" s="11"/>
    </row>
    <row r="49" spans="1:11" ht="18.75">
      <c r="A49" s="32">
        <f t="shared" si="3"/>
        <v>2.2</v>
      </c>
      <c r="B49" s="33">
        <f t="shared" si="1"/>
        <v>0.2876000000000001</v>
      </c>
      <c r="C49" s="33">
        <f t="shared" si="4"/>
        <v>0.5437646153846155</v>
      </c>
      <c r="D49" s="34">
        <f t="shared" si="2"/>
        <v>0.15638670338461547</v>
      </c>
      <c r="G49" s="6" t="s">
        <v>409</v>
      </c>
      <c r="H49" s="6">
        <v>0.313</v>
      </c>
      <c r="J49" s="6" t="s">
        <v>409</v>
      </c>
      <c r="K49" s="6">
        <v>0.313</v>
      </c>
    </row>
    <row r="50" spans="1:11" ht="18.75">
      <c r="A50" s="32">
        <f t="shared" si="3"/>
        <v>2.25</v>
      </c>
      <c r="B50" s="33">
        <f t="shared" si="1"/>
        <v>0.30325</v>
      </c>
      <c r="C50" s="33">
        <f t="shared" si="4"/>
        <v>0.5762211538461539</v>
      </c>
      <c r="D50" s="34">
        <f t="shared" si="2"/>
        <v>0.1747390649038462</v>
      </c>
      <c r="G50" s="6" t="s">
        <v>410</v>
      </c>
      <c r="H50" s="6">
        <v>0.401</v>
      </c>
      <c r="J50" s="6" t="s">
        <v>410</v>
      </c>
      <c r="K50" s="6">
        <v>0.401</v>
      </c>
    </row>
    <row r="51" spans="1:11" ht="18.75">
      <c r="A51" s="32">
        <f t="shared" si="3"/>
        <v>2.3</v>
      </c>
      <c r="B51" s="33">
        <f t="shared" si="1"/>
        <v>0.31889999999999996</v>
      </c>
      <c r="C51" s="33">
        <f t="shared" si="4"/>
        <v>0.6096184615384614</v>
      </c>
      <c r="D51" s="34">
        <f t="shared" si="2"/>
        <v>0.19440732738461533</v>
      </c>
      <c r="G51" s="6" t="s">
        <v>411</v>
      </c>
      <c r="H51" s="6">
        <v>0.1223</v>
      </c>
      <c r="J51" s="6" t="s">
        <v>411</v>
      </c>
      <c r="K51" s="6">
        <v>0.1223</v>
      </c>
    </row>
    <row r="52" spans="1:11" ht="18.75">
      <c r="A52" s="32">
        <f t="shared" si="3"/>
        <v>2.3499999999999996</v>
      </c>
      <c r="B52" s="33">
        <f t="shared" si="1"/>
        <v>0.3345499999999999</v>
      </c>
      <c r="C52" s="33">
        <f t="shared" si="4"/>
        <v>0.6439565384615382</v>
      </c>
      <c r="D52" s="34">
        <f t="shared" si="2"/>
        <v>0.21543565994230754</v>
      </c>
      <c r="G52" s="6" t="s">
        <v>412</v>
      </c>
      <c r="H52" s="6">
        <v>0.5</v>
      </c>
      <c r="J52" s="6" t="s">
        <v>412</v>
      </c>
      <c r="K52" s="6">
        <v>0.5</v>
      </c>
    </row>
    <row r="53" spans="1:11" ht="18.75">
      <c r="A53" s="32">
        <f t="shared" si="3"/>
        <v>2.3999999999999995</v>
      </c>
      <c r="B53" s="33">
        <f t="shared" si="1"/>
        <v>0.35019999999999984</v>
      </c>
      <c r="C53" s="33">
        <f t="shared" si="4"/>
        <v>0.6792353846153844</v>
      </c>
      <c r="D53" s="34">
        <f t="shared" si="2"/>
        <v>0.2378682316923075</v>
      </c>
      <c r="G53" s="6" t="s">
        <v>413</v>
      </c>
      <c r="H53" s="6">
        <f>(b_2^3/(27*a_2^3))-(d_2^3/27)</f>
        <v>0.07325223505585884</v>
      </c>
      <c r="J53" s="6" t="s">
        <v>413</v>
      </c>
      <c r="K53" s="6">
        <f>(b_2^3/(27*a_2^3))-(d_2^3/27)</f>
        <v>0.07325223505585884</v>
      </c>
    </row>
    <row r="54" spans="1:11" ht="18.75">
      <c r="A54" s="32">
        <f t="shared" si="3"/>
        <v>2.4499999999999993</v>
      </c>
      <c r="B54" s="33">
        <f t="shared" si="1"/>
        <v>0.3658499999999998</v>
      </c>
      <c r="C54" s="33">
        <f t="shared" si="4"/>
        <v>0.7154549999999995</v>
      </c>
      <c r="D54" s="34">
        <f t="shared" si="2"/>
        <v>0.26174921174999966</v>
      </c>
      <c r="G54" s="6" t="s">
        <v>414</v>
      </c>
      <c r="H54" s="6">
        <f>(ftyp^2*M1M2^2/(4*a_2^2*c_2^2*(fsw*kHz)^2))+(b_2^3*ftyp*M1M2/(27*a_2^4*c_2*(fsw*kHz)))-(d_2^3*ftyp*M1M2/(27*a_2*c_2*(fsw*kHz)))+(b_2*d_2^2*ftyp*M1M2/(9*a_2^2*c_2*(fsw*kHz)))-(b_2^2*d_2*ftyp*M1M2/(9*a_2^3*c_2*(fsw*kHz)))</f>
        <v>0.9920291378804023</v>
      </c>
      <c r="J54" s="6" t="s">
        <v>414</v>
      </c>
      <c r="K54" s="6">
        <f>(ftyp^2*M1M2^2/(4*a_2^2*c_2^2*(fsw*kHz)^2))+(b_2^3*ftyp*M1M2/(27*a_2^4*c_2*(fsw*kHz)))-(d_2^3*ftyp*M1M2/(27*a_2*c_2*(fsw*kHz)))+(b_2*d_2^2*ftyp*M1M2/(9*a_2^2*c_2*(fsw*kHz)))-(b_2^2*d_2*ftyp*M1M2/(9*a_2^3*c_2*(fsw*kHz)))</f>
        <v>0.9920291378804023</v>
      </c>
    </row>
    <row r="55" spans="1:11" ht="18.75">
      <c r="A55" s="32">
        <f t="shared" si="3"/>
        <v>2.499999999999999</v>
      </c>
      <c r="B55" s="33">
        <f t="shared" si="1"/>
        <v>0.38149999999999973</v>
      </c>
      <c r="C55" s="33">
        <f t="shared" si="4"/>
        <v>0.752615384615384</v>
      </c>
      <c r="D55" s="34">
        <f t="shared" si="2"/>
        <v>0.2871227692307688</v>
      </c>
      <c r="G55" s="6" t="s">
        <v>415</v>
      </c>
      <c r="H55" s="6">
        <f>(b_2*d_2^2/(9*a_2))-(b_2^2*d_2/(9*a_2^2))+(ftyp*M1M2/(2*a_2*c_2*(fsw*kHz)))</f>
        <v>0.9229108022265033</v>
      </c>
      <c r="J55" s="6" t="s">
        <v>415</v>
      </c>
      <c r="K55" s="6">
        <f>(b_2*d_2^2/(9*a_2))-(b_2^2*d_2/(9*a_2^2))+(ftyp*M1M2/(2*a_2*c_2*(fsw*kHz)))</f>
        <v>0.9229108022265033</v>
      </c>
    </row>
    <row r="56" spans="1:11" ht="18.75">
      <c r="A56" s="32">
        <f t="shared" si="3"/>
        <v>2.549999999999999</v>
      </c>
      <c r="B56" s="33">
        <f t="shared" si="1"/>
        <v>0.39714999999999967</v>
      </c>
      <c r="C56" s="33">
        <f t="shared" si="4"/>
        <v>0.7907165384615377</v>
      </c>
      <c r="D56" s="34">
        <f t="shared" si="2"/>
        <v>0.3140330732499994</v>
      </c>
      <c r="G56" s="6" t="s">
        <v>416</v>
      </c>
      <c r="H56" s="6">
        <f>(d_2^2/9)+(b_2^2/(9*a_2^2))-(2*b_2*d_2/(9*a_2))</f>
        <v>0.06779950800763512</v>
      </c>
      <c r="J56" s="6" t="s">
        <v>416</v>
      </c>
      <c r="K56" s="6">
        <f>(d_2^2/9)+(b_2^2/(9*a_2^2))-(2*b_2*d_2/(9*a_2))</f>
        <v>0.06779950800763512</v>
      </c>
    </row>
    <row r="57" spans="1:11" ht="18.75">
      <c r="A57" s="32">
        <f t="shared" si="3"/>
        <v>2.5999999999999988</v>
      </c>
      <c r="B57" s="33">
        <f t="shared" si="1"/>
        <v>0.4127999999999996</v>
      </c>
      <c r="C57" s="33">
        <f t="shared" si="4"/>
        <v>0.8297584615384607</v>
      </c>
      <c r="D57" s="34">
        <f t="shared" si="2"/>
        <v>0.34252429292307623</v>
      </c>
      <c r="G57" s="6" t="s">
        <v>417</v>
      </c>
      <c r="H57" s="6">
        <f>(b_2*c_2*(fsw*kHz)+2*a_2*c_2*d_2*(fsw*kHz))/(3*a_2*c_2*(fsw*kHz))</f>
        <v>0.7603833865814694</v>
      </c>
      <c r="J57" s="6" t="s">
        <v>417</v>
      </c>
      <c r="K57" s="6">
        <f>(b_2*c_2*(fsw*kHz)+2*a_2*c_2*d_2*(fsw*kHz))/(3*a_2*c_2*(fsw*kHz))</f>
        <v>0.7603833865814694</v>
      </c>
    </row>
    <row r="58" spans="1:11" ht="14.25">
      <c r="A58" s="32">
        <f t="shared" si="3"/>
        <v>2.6499999999999986</v>
      </c>
      <c r="B58" s="33">
        <f t="shared" si="1"/>
        <v>0.42844999999999955</v>
      </c>
      <c r="C58" s="33">
        <f t="shared" si="4"/>
        <v>0.8697411538461528</v>
      </c>
      <c r="D58" s="34">
        <f t="shared" si="2"/>
        <v>0.3726405973653838</v>
      </c>
      <c r="G58" s="6" t="s">
        <v>418</v>
      </c>
      <c r="H58" s="6">
        <f>((K_1V3+SQRT(K_2V3)+K_3V3)^(1/3))+(K_4V3/((K_1V3+SQRT(K_2V3)+K_3V3)^(1/3)))+K_5V3</f>
        <v>2.0725409294420944</v>
      </c>
      <c r="J58" s="6" t="s">
        <v>418</v>
      </c>
      <c r="K58" s="6">
        <f>((K_1V3+SQRT(K_2V3)+K_3V3)^(1/3))+(K_4V3/((K_1V3+SQRT(K_2V3)+K_3V3)^(1/3)))+K_5V3</f>
        <v>2.0725409294420944</v>
      </c>
    </row>
    <row r="59" spans="1:11" ht="14.25">
      <c r="A59" s="32">
        <f t="shared" si="3"/>
        <v>2.6999999999999984</v>
      </c>
      <c r="B59" s="33">
        <f t="shared" si="1"/>
        <v>0.4440999999999995</v>
      </c>
      <c r="C59" s="33">
        <f t="shared" si="4"/>
        <v>0.9106646153846141</v>
      </c>
      <c r="D59" s="34">
        <f t="shared" si="2"/>
        <v>0.40442615569230667</v>
      </c>
      <c r="G59" s="10"/>
      <c r="H59" s="11"/>
      <c r="J59" s="10"/>
      <c r="K59" s="11"/>
    </row>
    <row r="60" spans="1:11" ht="18.75">
      <c r="A60" s="32">
        <f t="shared" si="3"/>
        <v>2.7499999999999982</v>
      </c>
      <c r="B60" s="33">
        <f t="shared" si="1"/>
        <v>0.45974999999999944</v>
      </c>
      <c r="C60" s="33">
        <f t="shared" si="4"/>
        <v>0.9525288461538447</v>
      </c>
      <c r="D60" s="34">
        <f t="shared" si="2"/>
        <v>0.4379251370192296</v>
      </c>
      <c r="G60" s="6" t="s">
        <v>419</v>
      </c>
      <c r="H60" s="6">
        <v>1.007</v>
      </c>
      <c r="J60" s="6" t="s">
        <v>419</v>
      </c>
      <c r="K60" s="6">
        <v>1.007</v>
      </c>
    </row>
    <row r="61" spans="1:11" ht="18.75">
      <c r="A61" s="32">
        <f t="shared" si="3"/>
        <v>2.799999999999998</v>
      </c>
      <c r="B61" s="33">
        <f t="shared" si="1"/>
        <v>0.4753999999999994</v>
      </c>
      <c r="C61" s="33">
        <f t="shared" si="4"/>
        <v>0.9953338461538446</v>
      </c>
      <c r="D61" s="34">
        <f t="shared" si="2"/>
        <v>0.47318171046153706</v>
      </c>
      <c r="G61" s="6" t="s">
        <v>420</v>
      </c>
      <c r="H61" s="6">
        <v>0.1223</v>
      </c>
      <c r="J61" s="6" t="s">
        <v>420</v>
      </c>
      <c r="K61" s="6">
        <v>0.1223</v>
      </c>
    </row>
    <row r="62" spans="1:11" ht="18.75">
      <c r="A62" s="32">
        <f t="shared" si="3"/>
        <v>2.849999999999998</v>
      </c>
      <c r="B62" s="33">
        <f t="shared" si="1"/>
        <v>0.4910499999999993</v>
      </c>
      <c r="C62" s="33">
        <f t="shared" si="4"/>
        <v>1.0390796153846136</v>
      </c>
      <c r="D62" s="34">
        <f t="shared" si="2"/>
        <v>0.5102400451346137</v>
      </c>
      <c r="G62" s="6" t="s">
        <v>421</v>
      </c>
      <c r="H62" s="6">
        <v>0.5</v>
      </c>
      <c r="J62" s="6" t="s">
        <v>421</v>
      </c>
      <c r="K62" s="6">
        <v>0.5</v>
      </c>
    </row>
    <row r="63" spans="1:11" ht="14.25">
      <c r="A63" s="32">
        <f t="shared" si="3"/>
        <v>2.8999999999999977</v>
      </c>
      <c r="B63" s="33">
        <f t="shared" si="1"/>
        <v>0.5066999999999993</v>
      </c>
      <c r="C63" s="33">
        <f t="shared" si="4"/>
        <v>1.0837661538461518</v>
      </c>
      <c r="D63" s="34">
        <f t="shared" si="2"/>
        <v>0.5491443101538444</v>
      </c>
      <c r="G63" s="6" t="s">
        <v>422</v>
      </c>
      <c r="H63" s="6">
        <f>c_3+(SQRT(ftyp)*SQRT(M1M2)/(SQRT(a_3)*SQRT(b_3)*SQRT(fsw*kHz)))</f>
        <v>1.27992866371873</v>
      </c>
      <c r="J63" s="6" t="s">
        <v>422</v>
      </c>
      <c r="K63" s="6">
        <f>c_3+(SQRT(ftyp)*SQRT(M1M2)/(SQRT(a_3)*SQRT(b_3)*SQRT(fsw*kHz)))</f>
        <v>1.27992866371873</v>
      </c>
    </row>
    <row r="64" spans="1:11" ht="14.25">
      <c r="A64" s="32">
        <f t="shared" si="3"/>
        <v>2.9499999999999975</v>
      </c>
      <c r="B64" s="33">
        <f t="shared" si="1"/>
        <v>0.5223499999999992</v>
      </c>
      <c r="C64" s="33">
        <f t="shared" si="4"/>
        <v>1.1293934615384593</v>
      </c>
      <c r="D64" s="34">
        <f t="shared" si="2"/>
        <v>0.5899386746346134</v>
      </c>
      <c r="G64" s="10"/>
      <c r="H64" s="11"/>
      <c r="J64" s="10"/>
      <c r="K64" s="11"/>
    </row>
    <row r="65" spans="1:11" ht="18.75">
      <c r="A65" s="32">
        <f t="shared" si="3"/>
        <v>2.9999999999999973</v>
      </c>
      <c r="B65" s="33">
        <f t="shared" si="1"/>
        <v>0.5379999999999991</v>
      </c>
      <c r="C65" s="33">
        <f t="shared" si="4"/>
        <v>1.175961538461536</v>
      </c>
      <c r="D65" s="34">
        <f t="shared" si="2"/>
        <v>0.6326673076923054</v>
      </c>
      <c r="G65" s="6" t="s">
        <v>423</v>
      </c>
      <c r="H65" s="6">
        <v>1.007</v>
      </c>
      <c r="J65" s="6" t="s">
        <v>423</v>
      </c>
      <c r="K65" s="6">
        <v>1.007</v>
      </c>
    </row>
    <row r="66" spans="1:11" ht="16.5">
      <c r="A66" s="32">
        <f t="shared" si="3"/>
        <v>3.049999999999997</v>
      </c>
      <c r="B66" s="33">
        <f t="shared" si="1"/>
        <v>0.5536499999999991</v>
      </c>
      <c r="C66" s="33">
        <f t="shared" si="4"/>
        <v>1.223470384615382</v>
      </c>
      <c r="D66" s="34">
        <f t="shared" si="2"/>
        <v>0.6773743784423052</v>
      </c>
      <c r="G66" s="6" t="s">
        <v>424</v>
      </c>
      <c r="H66" s="6">
        <v>2.056</v>
      </c>
      <c r="J66" s="6" t="s">
        <v>424</v>
      </c>
      <c r="K66" s="6">
        <v>2.056</v>
      </c>
    </row>
    <row r="67" spans="1:11" ht="14.25">
      <c r="A67" s="32">
        <f t="shared" si="3"/>
        <v>3.099999999999997</v>
      </c>
      <c r="B67" s="33">
        <f t="shared" si="1"/>
        <v>0.569299999999999</v>
      </c>
      <c r="C67" s="33">
        <f t="shared" si="4"/>
        <v>1.2719199999999973</v>
      </c>
      <c r="D67" s="34">
        <f t="shared" si="2"/>
        <v>0.7241040559999972</v>
      </c>
      <c r="G67" s="6" t="s">
        <v>425</v>
      </c>
      <c r="H67" s="6">
        <f>(a_4*(fsw*kHz)*b_4/ftyp)</f>
        <v>3.343461545850683</v>
      </c>
      <c r="J67" s="6" t="s">
        <v>425</v>
      </c>
      <c r="K67" s="6">
        <f>(a_4*(fsw*kHz)*b_4/ftyp)</f>
        <v>3.343461545850683</v>
      </c>
    </row>
    <row r="68" spans="1:11" ht="14.25">
      <c r="A68" s="32">
        <f t="shared" si="3"/>
        <v>3.149999999999997</v>
      </c>
      <c r="B68" s="33">
        <f t="shared" si="1"/>
        <v>0.584949999999999</v>
      </c>
      <c r="C68" s="33">
        <f t="shared" si="4"/>
        <v>1.3213103846153815</v>
      </c>
      <c r="D68" s="34">
        <f t="shared" si="2"/>
        <v>0.772900509480766</v>
      </c>
      <c r="G68" s="10"/>
      <c r="H68" s="11"/>
      <c r="J68" s="10"/>
      <c r="K68" s="11"/>
    </row>
    <row r="69" spans="1:11" ht="14.25">
      <c r="A69" s="32">
        <f t="shared" si="3"/>
        <v>3.1999999999999966</v>
      </c>
      <c r="B69" s="33">
        <f t="shared" si="1"/>
        <v>0.6005999999999989</v>
      </c>
      <c r="C69" s="33">
        <f aca="true" t="shared" si="5" ref="C69:C105">IF(A69&lt;=0.5,0,IF(A69&lt;4.6,((fSW_target/65)*0.1223*(A69-0.5)^2),IF(A69&lt;=5,((fSW_target/65)*2.056),"VCOMP MUST BE &lt; 5")))</f>
        <v>1.371641538461535</v>
      </c>
      <c r="D69" s="34">
        <f t="shared" si="2"/>
        <v>0.8238079079999965</v>
      </c>
      <c r="G69" s="6" t="s">
        <v>426</v>
      </c>
      <c r="H69" s="6">
        <f>IF(VCOMP1&gt;=0.5,IF(VCOMP1&lt;1,VCOMP1,IF(VCOMP2&gt;=1,IF(VCOMP2&lt;2,VCOMP2,IF(VCOMP3&gt;=2,IF(VCOMP3&lt;4.5,VCOMP3,IF(VCOMP4&gt;=4.5,IF(VCOMP4&lt;4.6,VCOMP4,VCOMP5))))))))</f>
        <v>2.0725409294420944</v>
      </c>
      <c r="J69" s="6" t="s">
        <v>426</v>
      </c>
      <c r="K69" s="6">
        <f>IF(VCOMP1&gt;=0.5,IF(VCOMP1&lt;1,VCOMP1,IF(VCOMP2&gt;=1,IF(VCOMP2&lt;2,VCOMP2,IF(VCOMP3&gt;=2,IF(VCOMP3&lt;4.5,VCOMP3,IF(VCOMP4&gt;=4.5,IF(VCOMP4&lt;4.6,VCOMP4,VCOMP5))))))))</f>
        <v>2.0725409294420944</v>
      </c>
    </row>
    <row r="70" spans="1:4" ht="14.25">
      <c r="A70" s="32">
        <f t="shared" si="3"/>
        <v>3.2499999999999964</v>
      </c>
      <c r="B70" s="33">
        <f aca="true" t="shared" si="6" ref="B70:B105">IF(A70&lt;1,(0.068),IF(A70&lt;2,(0.156*A70-0.088),IF(A70&lt;4.5,(0.313*A70-0.401),IF(A70&lt;=5,1.007,"VCOMP MUST BE &lt; 5"))))</f>
        <v>0.6162499999999989</v>
      </c>
      <c r="C70" s="33">
        <f t="shared" si="5"/>
        <v>1.422913461538458</v>
      </c>
      <c r="D70" s="34">
        <f aca="true" t="shared" si="7" ref="D70:D105">B70*C70</f>
        <v>0.8768704206730731</v>
      </c>
    </row>
    <row r="71" spans="1:4" ht="14.25">
      <c r="A71" s="32">
        <f aca="true" t="shared" si="8" ref="A71:A88">A70+0.05</f>
        <v>3.2999999999999963</v>
      </c>
      <c r="B71" s="33">
        <f t="shared" si="6"/>
        <v>0.6318999999999988</v>
      </c>
      <c r="C71" s="33">
        <f t="shared" si="5"/>
        <v>1.4751261538461502</v>
      </c>
      <c r="D71" s="34">
        <f t="shared" si="7"/>
        <v>0.9321322166153805</v>
      </c>
    </row>
    <row r="72" spans="1:4" ht="14.25">
      <c r="A72" s="32">
        <f t="shared" si="8"/>
        <v>3.349999999999996</v>
      </c>
      <c r="B72" s="33">
        <f t="shared" si="6"/>
        <v>0.6475499999999987</v>
      </c>
      <c r="C72" s="33">
        <f t="shared" si="5"/>
        <v>1.5282796153846112</v>
      </c>
      <c r="D72" s="34">
        <f t="shared" si="7"/>
        <v>0.9896374649423031</v>
      </c>
    </row>
    <row r="73" spans="1:4" ht="14.25">
      <c r="A73" s="32">
        <f t="shared" si="8"/>
        <v>3.399999999999996</v>
      </c>
      <c r="B73" s="33">
        <f t="shared" si="6"/>
        <v>0.6631999999999987</v>
      </c>
      <c r="C73" s="33">
        <f t="shared" si="5"/>
        <v>1.582373846153842</v>
      </c>
      <c r="D73" s="34">
        <f t="shared" si="7"/>
        <v>1.0494303347692258</v>
      </c>
    </row>
    <row r="74" spans="1:4" ht="14.25">
      <c r="A74" s="32">
        <f t="shared" si="8"/>
        <v>3.4499999999999957</v>
      </c>
      <c r="B74" s="33">
        <f t="shared" si="6"/>
        <v>0.6788499999999986</v>
      </c>
      <c r="C74" s="33">
        <f t="shared" si="5"/>
        <v>1.6374088461538416</v>
      </c>
      <c r="D74" s="34">
        <f t="shared" si="7"/>
        <v>1.1115549952115331</v>
      </c>
    </row>
    <row r="75" spans="1:4" ht="14.25">
      <c r="A75" s="32">
        <f t="shared" si="8"/>
        <v>3.4999999999999956</v>
      </c>
      <c r="B75" s="33">
        <f t="shared" si="6"/>
        <v>0.6944999999999986</v>
      </c>
      <c r="C75" s="33">
        <f t="shared" si="5"/>
        <v>1.6933846153846106</v>
      </c>
      <c r="D75" s="34">
        <f t="shared" si="7"/>
        <v>1.1760556153846096</v>
      </c>
    </row>
    <row r="76" spans="1:4" ht="14.25">
      <c r="A76" s="32">
        <f t="shared" si="8"/>
        <v>3.5499999999999954</v>
      </c>
      <c r="B76" s="33">
        <f t="shared" si="6"/>
        <v>0.7101499999999985</v>
      </c>
      <c r="C76" s="33">
        <f t="shared" si="5"/>
        <v>1.7503011538461486</v>
      </c>
      <c r="D76" s="34">
        <f t="shared" si="7"/>
        <v>1.2429763644038399</v>
      </c>
    </row>
    <row r="77" spans="1:4" ht="14.25">
      <c r="A77" s="32">
        <f t="shared" si="8"/>
        <v>3.599999999999995</v>
      </c>
      <c r="B77" s="33">
        <f t="shared" si="6"/>
        <v>0.7257999999999984</v>
      </c>
      <c r="C77" s="33">
        <f t="shared" si="5"/>
        <v>1.8081584615384563</v>
      </c>
      <c r="D77" s="34">
        <f t="shared" si="7"/>
        <v>1.3123614113846087</v>
      </c>
    </row>
    <row r="78" spans="1:4" ht="14.25">
      <c r="A78" s="32">
        <f t="shared" si="8"/>
        <v>3.649999999999995</v>
      </c>
      <c r="B78" s="33">
        <f t="shared" si="6"/>
        <v>0.7414499999999984</v>
      </c>
      <c r="C78" s="33">
        <f t="shared" si="5"/>
        <v>1.8669565384615328</v>
      </c>
      <c r="D78" s="34">
        <f t="shared" si="7"/>
        <v>1.3842549254423004</v>
      </c>
    </row>
    <row r="79" spans="1:4" ht="14.25">
      <c r="A79" s="32">
        <f t="shared" si="8"/>
        <v>3.699999999999995</v>
      </c>
      <c r="B79" s="33">
        <f t="shared" si="6"/>
        <v>0.7570999999999983</v>
      </c>
      <c r="C79" s="33">
        <f t="shared" si="5"/>
        <v>1.9266953846153785</v>
      </c>
      <c r="D79" s="34">
        <f t="shared" si="7"/>
        <v>1.4587010756922998</v>
      </c>
    </row>
    <row r="80" spans="1:4" ht="14.25">
      <c r="A80" s="32">
        <f t="shared" si="8"/>
        <v>3.7499999999999947</v>
      </c>
      <c r="B80" s="33">
        <f t="shared" si="6"/>
        <v>0.7727499999999983</v>
      </c>
      <c r="C80" s="33">
        <f t="shared" si="5"/>
        <v>1.9873749999999935</v>
      </c>
      <c r="D80" s="34">
        <f t="shared" si="7"/>
        <v>1.5357440312499915</v>
      </c>
    </row>
    <row r="81" spans="1:4" ht="14.25">
      <c r="A81" s="32">
        <f t="shared" si="8"/>
        <v>3.7999999999999945</v>
      </c>
      <c r="B81" s="33">
        <f t="shared" si="6"/>
        <v>0.7883999999999982</v>
      </c>
      <c r="C81" s="33">
        <f t="shared" si="5"/>
        <v>2.048995384615378</v>
      </c>
      <c r="D81" s="34">
        <f t="shared" si="7"/>
        <v>1.6154279612307603</v>
      </c>
    </row>
    <row r="82" spans="1:4" ht="14.25">
      <c r="A82" s="32">
        <f t="shared" si="8"/>
        <v>3.8499999999999943</v>
      </c>
      <c r="B82" s="33">
        <f t="shared" si="6"/>
        <v>0.8040499999999982</v>
      </c>
      <c r="C82" s="33">
        <f t="shared" si="5"/>
        <v>2.111556538461531</v>
      </c>
      <c r="D82" s="34">
        <f t="shared" si="7"/>
        <v>1.6977970347499902</v>
      </c>
    </row>
    <row r="83" spans="1:4" ht="14.25">
      <c r="A83" s="32">
        <f t="shared" si="8"/>
        <v>3.899999999999994</v>
      </c>
      <c r="B83" s="33">
        <f t="shared" si="6"/>
        <v>0.8196999999999981</v>
      </c>
      <c r="C83" s="33">
        <f t="shared" si="5"/>
        <v>2.175058461538454</v>
      </c>
      <c r="D83" s="34">
        <f t="shared" si="7"/>
        <v>1.7828954209230667</v>
      </c>
    </row>
    <row r="84" spans="1:4" ht="14.25">
      <c r="A84" s="32">
        <f t="shared" si="8"/>
        <v>3.949999999999994</v>
      </c>
      <c r="B84" s="33">
        <f t="shared" si="6"/>
        <v>0.835349999999998</v>
      </c>
      <c r="C84" s="33">
        <f t="shared" si="5"/>
        <v>2.2395011538461462</v>
      </c>
      <c r="D84" s="34">
        <f t="shared" si="7"/>
        <v>1.870767288865374</v>
      </c>
    </row>
    <row r="85" spans="1:4" ht="14.25">
      <c r="A85" s="32">
        <f t="shared" si="8"/>
        <v>3.999999999999994</v>
      </c>
      <c r="B85" s="33">
        <f t="shared" si="6"/>
        <v>0.850999999999998</v>
      </c>
      <c r="C85" s="33">
        <f t="shared" si="5"/>
        <v>2.3048846153846076</v>
      </c>
      <c r="D85" s="34">
        <f t="shared" si="7"/>
        <v>1.9614568076922965</v>
      </c>
    </row>
    <row r="86" spans="1:4" ht="14.25">
      <c r="A86" s="32">
        <f t="shared" si="8"/>
        <v>4.049999999999994</v>
      </c>
      <c r="B86" s="33">
        <f t="shared" si="6"/>
        <v>0.8666499999999979</v>
      </c>
      <c r="C86" s="33">
        <f t="shared" si="5"/>
        <v>2.371208846153838</v>
      </c>
      <c r="D86" s="34">
        <f t="shared" si="7"/>
        <v>2.0550081465192185</v>
      </c>
    </row>
    <row r="87" spans="1:4" ht="14.25">
      <c r="A87" s="32">
        <f t="shared" si="8"/>
        <v>4.099999999999993</v>
      </c>
      <c r="B87" s="33">
        <f t="shared" si="6"/>
        <v>0.8822999999999979</v>
      </c>
      <c r="C87" s="33">
        <f t="shared" si="5"/>
        <v>2.4384738461538373</v>
      </c>
      <c r="D87" s="34">
        <f t="shared" si="7"/>
        <v>2.1514654744615256</v>
      </c>
    </row>
    <row r="88" spans="1:4" ht="14.25">
      <c r="A88" s="32">
        <f t="shared" si="8"/>
        <v>4.149999999999993</v>
      </c>
      <c r="B88" s="33">
        <f t="shared" si="6"/>
        <v>0.8979499999999978</v>
      </c>
      <c r="C88" s="33">
        <f t="shared" si="5"/>
        <v>2.506679615384606</v>
      </c>
      <c r="D88" s="34">
        <f t="shared" si="7"/>
        <v>2.2508729606346014</v>
      </c>
    </row>
    <row r="89" spans="1:4" ht="14.25">
      <c r="A89" s="32">
        <f aca="true" t="shared" si="9" ref="A89:A105">A88+0.05</f>
        <v>4.199999999999993</v>
      </c>
      <c r="B89" s="33">
        <f t="shared" si="6"/>
        <v>0.9135999999999977</v>
      </c>
      <c r="C89" s="33">
        <f t="shared" si="5"/>
        <v>2.5758261538461444</v>
      </c>
      <c r="D89" s="34">
        <f t="shared" si="7"/>
        <v>2.3532747741538316</v>
      </c>
    </row>
    <row r="90" spans="1:4" ht="14.25">
      <c r="A90" s="32">
        <f t="shared" si="9"/>
        <v>4.249999999999993</v>
      </c>
      <c r="B90" s="33">
        <f t="shared" si="6"/>
        <v>0.9292499999999977</v>
      </c>
      <c r="C90" s="33">
        <f t="shared" si="5"/>
        <v>2.6459134615384516</v>
      </c>
      <c r="D90" s="34">
        <f t="shared" si="7"/>
        <v>2.4587150841346</v>
      </c>
    </row>
    <row r="91" spans="1:4" ht="14.25">
      <c r="A91" s="32">
        <f t="shared" si="9"/>
        <v>4.299999999999993</v>
      </c>
      <c r="B91" s="33">
        <f t="shared" si="6"/>
        <v>0.9448999999999976</v>
      </c>
      <c r="C91" s="33">
        <f t="shared" si="5"/>
        <v>2.716941538461528</v>
      </c>
      <c r="D91" s="34">
        <f t="shared" si="7"/>
        <v>2.5672380596922912</v>
      </c>
    </row>
    <row r="92" spans="1:4" ht="14.25">
      <c r="A92" s="32">
        <f t="shared" si="9"/>
        <v>4.3499999999999925</v>
      </c>
      <c r="B92" s="33">
        <f t="shared" si="6"/>
        <v>0.9605499999999976</v>
      </c>
      <c r="C92" s="33">
        <f t="shared" si="5"/>
        <v>2.788910384615374</v>
      </c>
      <c r="D92" s="34">
        <f t="shared" si="7"/>
        <v>2.678887869942291</v>
      </c>
    </row>
    <row r="93" spans="1:4" ht="14.25">
      <c r="A93" s="32">
        <f t="shared" si="9"/>
        <v>4.399999999999992</v>
      </c>
      <c r="B93" s="33">
        <f t="shared" si="6"/>
        <v>0.9761999999999975</v>
      </c>
      <c r="C93" s="33">
        <f t="shared" si="5"/>
        <v>2.861819999999989</v>
      </c>
      <c r="D93" s="34">
        <f t="shared" si="7"/>
        <v>2.7937086839999825</v>
      </c>
    </row>
    <row r="94" spans="1:4" ht="14.25">
      <c r="A94" s="32">
        <f t="shared" si="9"/>
        <v>4.449999999999992</v>
      </c>
      <c r="B94" s="33">
        <f t="shared" si="6"/>
        <v>0.9918499999999975</v>
      </c>
      <c r="C94" s="33">
        <f t="shared" si="5"/>
        <v>2.9356703846153733</v>
      </c>
      <c r="D94" s="34">
        <f t="shared" si="7"/>
        <v>2.9117446709807506</v>
      </c>
    </row>
    <row r="95" spans="1:4" ht="14.25">
      <c r="A95" s="32">
        <f t="shared" si="9"/>
        <v>4.499999999999992</v>
      </c>
      <c r="B95" s="33">
        <f t="shared" si="6"/>
        <v>1.0074999999999974</v>
      </c>
      <c r="C95" s="33">
        <f t="shared" si="5"/>
        <v>3.0104615384615268</v>
      </c>
      <c r="D95" s="34">
        <f t="shared" si="7"/>
        <v>3.03303999999998</v>
      </c>
    </row>
    <row r="96" spans="1:4" ht="14.25">
      <c r="A96" s="32">
        <f t="shared" si="9"/>
        <v>4.549999999999992</v>
      </c>
      <c r="B96" s="33">
        <f t="shared" si="6"/>
        <v>1.007</v>
      </c>
      <c r="C96" s="33">
        <f t="shared" si="5"/>
        <v>3.086193461538449</v>
      </c>
      <c r="D96" s="34">
        <f t="shared" si="7"/>
        <v>3.107796815769218</v>
      </c>
    </row>
    <row r="97" spans="1:4" ht="14.25">
      <c r="A97" s="32">
        <f t="shared" si="9"/>
        <v>4.599999999999992</v>
      </c>
      <c r="B97" s="33">
        <f t="shared" si="6"/>
        <v>1.007</v>
      </c>
      <c r="C97" s="33">
        <f t="shared" si="5"/>
        <v>3.1628661538461413</v>
      </c>
      <c r="D97" s="34">
        <f t="shared" si="7"/>
        <v>3.185006216923064</v>
      </c>
    </row>
    <row r="98" spans="1:4" ht="14.25">
      <c r="A98" s="32">
        <f t="shared" si="9"/>
        <v>4.6499999999999915</v>
      </c>
      <c r="B98" s="33">
        <f t="shared" si="6"/>
        <v>1.007</v>
      </c>
      <c r="C98" s="33">
        <f t="shared" si="5"/>
        <v>3.163076923076923</v>
      </c>
      <c r="D98" s="34">
        <f t="shared" si="7"/>
        <v>3.185218461538461</v>
      </c>
    </row>
    <row r="99" spans="1:4" ht="14.25">
      <c r="A99" s="32">
        <f t="shared" si="9"/>
        <v>4.699999999999991</v>
      </c>
      <c r="B99" s="33">
        <f t="shared" si="6"/>
        <v>1.007</v>
      </c>
      <c r="C99" s="33">
        <f t="shared" si="5"/>
        <v>3.163076923076923</v>
      </c>
      <c r="D99" s="34">
        <f t="shared" si="7"/>
        <v>3.185218461538461</v>
      </c>
    </row>
    <row r="100" spans="1:4" ht="14.25">
      <c r="A100" s="32">
        <f t="shared" si="9"/>
        <v>4.749999999999991</v>
      </c>
      <c r="B100" s="33">
        <f t="shared" si="6"/>
        <v>1.007</v>
      </c>
      <c r="C100" s="33">
        <f t="shared" si="5"/>
        <v>3.163076923076923</v>
      </c>
      <c r="D100" s="34">
        <f t="shared" si="7"/>
        <v>3.185218461538461</v>
      </c>
    </row>
    <row r="101" spans="1:4" ht="14.25">
      <c r="A101" s="32">
        <f t="shared" si="9"/>
        <v>4.799999999999991</v>
      </c>
      <c r="B101" s="33">
        <f t="shared" si="6"/>
        <v>1.007</v>
      </c>
      <c r="C101" s="33">
        <f t="shared" si="5"/>
        <v>3.163076923076923</v>
      </c>
      <c r="D101" s="34">
        <f t="shared" si="7"/>
        <v>3.185218461538461</v>
      </c>
    </row>
    <row r="102" spans="1:4" ht="14.25">
      <c r="A102" s="32">
        <f t="shared" si="9"/>
        <v>4.849999999999991</v>
      </c>
      <c r="B102" s="33">
        <f t="shared" si="6"/>
        <v>1.007</v>
      </c>
      <c r="C102" s="33">
        <f t="shared" si="5"/>
        <v>3.163076923076923</v>
      </c>
      <c r="D102" s="34">
        <f t="shared" si="7"/>
        <v>3.185218461538461</v>
      </c>
    </row>
    <row r="103" spans="1:4" ht="14.25">
      <c r="A103" s="32">
        <f t="shared" si="9"/>
        <v>4.899999999999991</v>
      </c>
      <c r="B103" s="33">
        <f t="shared" si="6"/>
        <v>1.007</v>
      </c>
      <c r="C103" s="33">
        <f t="shared" si="5"/>
        <v>3.163076923076923</v>
      </c>
      <c r="D103" s="34">
        <f t="shared" si="7"/>
        <v>3.185218461538461</v>
      </c>
    </row>
    <row r="104" spans="1:4" ht="14.25">
      <c r="A104" s="32">
        <f t="shared" si="9"/>
        <v>4.94999999999999</v>
      </c>
      <c r="B104" s="33">
        <f t="shared" si="6"/>
        <v>1.007</v>
      </c>
      <c r="C104" s="33">
        <f t="shared" si="5"/>
        <v>3.163076923076923</v>
      </c>
      <c r="D104" s="34">
        <f t="shared" si="7"/>
        <v>3.185218461538461</v>
      </c>
    </row>
    <row r="105" spans="1:4" ht="14.25">
      <c r="A105" s="32">
        <f t="shared" si="9"/>
        <v>4.99999999999999</v>
      </c>
      <c r="B105" s="33">
        <f t="shared" si="6"/>
        <v>1.007</v>
      </c>
      <c r="C105" s="33">
        <f t="shared" si="5"/>
        <v>3.163076923076923</v>
      </c>
      <c r="D105" s="34">
        <f t="shared" si="7"/>
        <v>3.185218461538461</v>
      </c>
    </row>
    <row r="106" ht="14.25">
      <c r="A106" s="37"/>
    </row>
    <row r="107" ht="14.25">
      <c r="A107" s="37"/>
    </row>
    <row r="110" spans="1:16" ht="15">
      <c r="A110" s="38" t="s">
        <v>427</v>
      </c>
      <c r="B110" s="39"/>
      <c r="C110" s="39"/>
      <c r="D110" s="39"/>
      <c r="E110" s="39"/>
      <c r="F110" s="40"/>
      <c r="G110" s="11" t="s">
        <v>428</v>
      </c>
      <c r="H110" s="32"/>
      <c r="I110" s="32"/>
      <c r="J110" s="32"/>
      <c r="K110" s="32"/>
      <c r="L110" s="32"/>
      <c r="M110" s="32"/>
      <c r="N110" s="32"/>
      <c r="O110" s="32"/>
      <c r="P110" s="31" t="s">
        <v>429</v>
      </c>
    </row>
    <row r="111" spans="1:20" ht="14.25">
      <c r="A111" s="41" t="s">
        <v>430</v>
      </c>
      <c r="B111" s="6"/>
      <c r="C111" s="6"/>
      <c r="D111" s="6"/>
      <c r="E111" s="6"/>
      <c r="F111" s="42"/>
      <c r="G111" s="43" t="s">
        <v>430</v>
      </c>
      <c r="H111" s="6"/>
      <c r="I111" s="6"/>
      <c r="J111" s="32"/>
      <c r="K111" s="32"/>
      <c r="L111" s="32"/>
      <c r="M111" s="6"/>
      <c r="N111" s="6"/>
      <c r="O111" s="48" t="s">
        <v>431</v>
      </c>
      <c r="P111" s="38" t="s">
        <v>432</v>
      </c>
      <c r="Q111" s="39"/>
      <c r="R111" s="39" t="s">
        <v>433</v>
      </c>
      <c r="S111" s="39"/>
      <c r="T111" s="40"/>
    </row>
    <row r="112" spans="1:20" ht="15">
      <c r="A112" s="41"/>
      <c r="B112" s="6" t="s">
        <v>434</v>
      </c>
      <c r="C112" s="44" t="s">
        <v>435</v>
      </c>
      <c r="D112" s="32" t="s">
        <v>436</v>
      </c>
      <c r="E112" s="32"/>
      <c r="F112" s="42" t="s">
        <v>437</v>
      </c>
      <c r="G112" s="43"/>
      <c r="H112" s="6" t="s">
        <v>434</v>
      </c>
      <c r="I112" s="44" t="s">
        <v>435</v>
      </c>
      <c r="J112" s="6" t="s">
        <v>438</v>
      </c>
      <c r="K112" s="32" t="s">
        <v>439</v>
      </c>
      <c r="L112" s="32"/>
      <c r="M112" s="49" t="s">
        <v>440</v>
      </c>
      <c r="N112" s="49"/>
      <c r="O112" s="48"/>
      <c r="P112" s="45"/>
      <c r="Q112" s="6" t="s">
        <v>287</v>
      </c>
      <c r="R112" s="6"/>
      <c r="S112" s="6" t="s">
        <v>287</v>
      </c>
      <c r="T112" s="42" t="s">
        <v>441</v>
      </c>
    </row>
    <row r="113" spans="1:25" ht="14.25">
      <c r="A113" s="41"/>
      <c r="B113" s="6" t="s">
        <v>22</v>
      </c>
      <c r="C113" s="6" t="s">
        <v>442</v>
      </c>
      <c r="D113" s="6"/>
      <c r="E113" s="6" t="s">
        <v>287</v>
      </c>
      <c r="F113" s="42" t="s">
        <v>443</v>
      </c>
      <c r="G113" s="43"/>
      <c r="H113" s="6" t="s">
        <v>22</v>
      </c>
      <c r="I113" s="6" t="s">
        <v>442</v>
      </c>
      <c r="J113" s="6" t="s">
        <v>444</v>
      </c>
      <c r="K113" s="6"/>
      <c r="L113" s="50" t="s">
        <v>287</v>
      </c>
      <c r="M113" s="6"/>
      <c r="N113" s="6" t="s">
        <v>287</v>
      </c>
      <c r="O113" s="51" t="s">
        <v>443</v>
      </c>
      <c r="P113" s="45"/>
      <c r="Q113" s="6"/>
      <c r="R113" s="6"/>
      <c r="S113" s="6"/>
      <c r="T113" s="42"/>
      <c r="W113" s="31" t="s">
        <v>445</v>
      </c>
      <c r="X113" s="31" t="s">
        <v>446</v>
      </c>
      <c r="Y113" s="31" t="s">
        <v>447</v>
      </c>
    </row>
    <row r="114" spans="1:25" ht="14.25">
      <c r="A114" s="45">
        <v>1</v>
      </c>
      <c r="B114" s="6">
        <f>10^A114</f>
        <v>10</v>
      </c>
      <c r="C114" s="6">
        <f aca="true" t="shared" si="10" ref="C114:C145">2*PI()*B114</f>
        <v>62.83185307179586</v>
      </c>
      <c r="D114" s="6" t="e">
        <f>IMDIV((K_1*2.5*Rsense*Vout_nom)/(K_FQ*M_1*(M_2/us)*Lbst*mH),_XLL.IMPRODUKT((_XLL.KOMPLEXE(0,C114*1)),_XLL.KOMPLEXE(1,(C114/(2*PI()*fiavg*kHz)))))</f>
        <v>#NAME?</v>
      </c>
      <c r="E114" s="6" t="e">
        <f aca="true" t="shared" si="11" ref="E114:E145">20*LOG(IMABS(D114))</f>
        <v>#NAME?</v>
      </c>
      <c r="F114" s="42" t="e">
        <f>IMARGUMENT(D114)*180/(PI())</f>
        <v>#NAME?</v>
      </c>
      <c r="G114" s="46">
        <v>-2</v>
      </c>
      <c r="H114" s="47">
        <f>10^G114</f>
        <v>0.01</v>
      </c>
      <c r="I114" s="47">
        <f>2*PI()*H114</f>
        <v>0.06283185307179587</v>
      </c>
      <c r="J114" s="47">
        <f aca="true" t="shared" si="12" ref="J114:J145">(R_fb2*kOhms)/((R_fb1*MegOhm)+(R_fb2*kOhms))</f>
        <v>0.012441679626749611</v>
      </c>
      <c r="K114" s="47" t="e">
        <f>IMDIV(((M_3/us)*Vout_nom)/(M1M2/us),_XLL.KOMPLEXE(1,(I114/(2*PI()*fPWM_PSpole))))</f>
        <v>#NAME?</v>
      </c>
      <c r="L114" s="6" t="e">
        <f aca="true" t="shared" si="13" ref="L114:L145">20*LOG(IMABS(K114))</f>
        <v>#NAME?</v>
      </c>
      <c r="M114" s="6" t="e">
        <f>_XLL.IMPRODUKT(J114,K114)</f>
        <v>#NAME?</v>
      </c>
      <c r="N114" s="6" t="e">
        <f aca="true" t="shared" si="14" ref="N114:N145">20*LOG(IMABS(M114))</f>
        <v>#NAME?</v>
      </c>
      <c r="O114" s="51" t="e">
        <f aca="true" t="shared" si="15" ref="O114:O145">180/PI()*IMARGUMENT(M114)</f>
        <v>#NAME?</v>
      </c>
      <c r="P114" s="45" t="e">
        <f>_XLL.IMPRODUKT(gmv,IMDIV((_XLL.KOMPLEXE(1,I114*(Rvcomp*kOhms)*(Cvcomp*uF))),_XLL.IMPRODUKT((_XLL.KOMPLEXE(0,data!I114*((Cvcomp*uF)+(Cvcomp_p*uF)))),(_XLL.KOMPLEXE(1,I114*((Rvcomp*kOhms)*(Cvcomp*uF)*(Cvcomp_p*uF))/((Cvcomp*uF)+(Cvcomp_p*uF)))))))</f>
        <v>#NAME?</v>
      </c>
      <c r="Q114" s="6" t="e">
        <f aca="true" t="shared" si="16" ref="Q114:Q145">20*LOG(IMABS(P114))</f>
        <v>#NAME?</v>
      </c>
      <c r="R114" s="6" t="e">
        <f>_XLL.IMPRODUKT((M114),(P114))</f>
        <v>#NAME?</v>
      </c>
      <c r="S114" s="6" t="e">
        <f aca="true" t="shared" si="17" ref="S114:S145">20*LOG(IMABS(R114))</f>
        <v>#NAME?</v>
      </c>
      <c r="T114" s="42" t="e">
        <f aca="true" t="shared" si="18" ref="T114:T145">(180/PI()*IMARGUMENT(R114))+180</f>
        <v>#NAME?</v>
      </c>
      <c r="W114" s="31" t="e">
        <f>_XLL.KOMPLEXE(1,I114*('DESIGN INPUTS AND CALCULATIONS'!C263*10^3)*('DESIGN INPUTS AND CALCULATIONS'!C261*10^-6))</f>
        <v>#NAME?</v>
      </c>
      <c r="X114" s="31" t="e">
        <f>_XLL.KOMPLEXE(0,data!I114*(('DESIGN INPUTS AND CALCULATIONS'!C261*10^-6)+('DESIGN INPUTS AND CALCULATIONS'!C267*10^-6)))</f>
        <v>#NAME?</v>
      </c>
      <c r="Y114" s="31" t="e">
        <f>_XLL.KOMPLEXE(1,I114*(('DESIGN INPUTS AND CALCULATIONS'!C263*10^3)*('DESIGN INPUTS AND CALCULATIONS'!C261*10^-6)*('DESIGN INPUTS AND CALCULATIONS'!C267*10^-6))/(('DESIGN INPUTS AND CALCULATIONS'!C261*10^-6)+('DESIGN INPUTS AND CALCULATIONS'!C267*10^-6)))</f>
        <v>#NAME?</v>
      </c>
    </row>
    <row r="115" spans="1:20" ht="14.25">
      <c r="A115" s="45">
        <v>1.1</v>
      </c>
      <c r="B115" s="6">
        <f aca="true" t="shared" si="19" ref="B115:B164">10^A115</f>
        <v>12.58925411794168</v>
      </c>
      <c r="C115" s="6">
        <f t="shared" si="10"/>
        <v>79.10061650220126</v>
      </c>
      <c r="D115" s="6" t="e">
        <f>IMDIV((K_1*2.5*Rsense*Vout_nom)/(K_FQ*M_1*(M_2/us)*Lbst*mH),_XLL.IMPRODUKT((_XLL.KOMPLEXE(0,C115*1)),_XLL.KOMPLEXE(1,(C115/(2*PI()*fiavg*kHz)))))</f>
        <v>#NAME?</v>
      </c>
      <c r="E115" s="6" t="e">
        <f t="shared" si="11"/>
        <v>#NAME?</v>
      </c>
      <c r="F115" s="42" t="e">
        <f aca="true" t="shared" si="20" ref="F115:F145">180/PI()*IMARGUMENT(D115)</f>
        <v>#NAME?</v>
      </c>
      <c r="G115" s="46">
        <v>-1.9</v>
      </c>
      <c r="H115" s="47">
        <f aca="true" t="shared" si="21" ref="H115:H174">10^G115</f>
        <v>0.012589254117941664</v>
      </c>
      <c r="I115" s="47">
        <f aca="true" t="shared" si="22" ref="I115:I174">2*PI()*H115</f>
        <v>0.07910061650220117</v>
      </c>
      <c r="J115" s="47">
        <f t="shared" si="12"/>
        <v>0.012441679626749611</v>
      </c>
      <c r="K115" s="47" t="e">
        <f>IMDIV(((M_3/us)*Vout_nom)/(M1M2/us),_XLL.KOMPLEXE(1,(I115/(2*PI()*fPWM_PSpole))))</f>
        <v>#NAME?</v>
      </c>
      <c r="L115" s="6" t="e">
        <f t="shared" si="13"/>
        <v>#NAME?</v>
      </c>
      <c r="M115" s="6" t="e">
        <f>_XLL.IMPRODUKT(J115,K115)</f>
        <v>#NAME?</v>
      </c>
      <c r="N115" s="6" t="e">
        <f t="shared" si="14"/>
        <v>#NAME?</v>
      </c>
      <c r="O115" s="51" t="e">
        <f t="shared" si="15"/>
        <v>#NAME?</v>
      </c>
      <c r="P115" s="45" t="e">
        <f>_XLL.IMPRODUKT(gmv,IMDIV((_XLL.KOMPLEXE(1,I115*(Rvcomp*kOhms)*(Cvcomp*uF))),_XLL.IMPRODUKT((_XLL.KOMPLEXE(0,data!I115*((Cvcomp*uF)+(Cvcomp_p*uF)))),(_XLL.KOMPLEXE(1,I115*((Rvcomp*kOhms)*(Cvcomp*uF)*(Cvcomp_p*uF))/((Cvcomp*uF)+(Cvcomp_p*uF)))))))</f>
        <v>#NAME?</v>
      </c>
      <c r="Q115" s="6" t="e">
        <f t="shared" si="16"/>
        <v>#NAME?</v>
      </c>
      <c r="R115" s="6" t="e">
        <f>_XLL.IMPRODUKT((M115),(P115))</f>
        <v>#NAME?</v>
      </c>
      <c r="S115" s="6" t="e">
        <f t="shared" si="17"/>
        <v>#NAME?</v>
      </c>
      <c r="T115" s="42" t="e">
        <f t="shared" si="18"/>
        <v>#NAME?</v>
      </c>
    </row>
    <row r="116" spans="1:20" ht="14.25">
      <c r="A116" s="45">
        <v>1.2</v>
      </c>
      <c r="B116" s="6">
        <f t="shared" si="19"/>
        <v>15.848931924611136</v>
      </c>
      <c r="C116" s="6">
        <f t="shared" si="10"/>
        <v>99.58177620320618</v>
      </c>
      <c r="D116" s="6" t="e">
        <f>IMDIV((K_1*2.5*Rsense*Vout_nom)/(K_FQ*M_1*(M_2/us)*Lbst*mH),_XLL.IMPRODUKT((_XLL.KOMPLEXE(0,C116*1)),_XLL.KOMPLEXE(1,(C116/(2*PI()*fiavg*kHz)))))</f>
        <v>#NAME?</v>
      </c>
      <c r="E116" s="6" t="e">
        <f t="shared" si="11"/>
        <v>#NAME?</v>
      </c>
      <c r="F116" s="42" t="e">
        <f t="shared" si="20"/>
        <v>#NAME?</v>
      </c>
      <c r="G116" s="46">
        <v>-1.8</v>
      </c>
      <c r="H116" s="47">
        <f t="shared" si="21"/>
        <v>0.015848931924611124</v>
      </c>
      <c r="I116" s="47">
        <f t="shared" si="22"/>
        <v>0.0995817762032061</v>
      </c>
      <c r="J116" s="47">
        <f t="shared" si="12"/>
        <v>0.012441679626749611</v>
      </c>
      <c r="K116" s="47" t="e">
        <f>IMDIV(((M_3/us)*Vout_nom)/(M1M2/us),_XLL.KOMPLEXE(1,(I116/(2*PI()*fPWM_PSpole))))</f>
        <v>#NAME?</v>
      </c>
      <c r="L116" s="6" t="e">
        <f t="shared" si="13"/>
        <v>#NAME?</v>
      </c>
      <c r="M116" s="6" t="e">
        <f>_XLL.IMPRODUKT(J116,K116)</f>
        <v>#NAME?</v>
      </c>
      <c r="N116" s="6" t="e">
        <f t="shared" si="14"/>
        <v>#NAME?</v>
      </c>
      <c r="O116" s="51" t="e">
        <f t="shared" si="15"/>
        <v>#NAME?</v>
      </c>
      <c r="P116" s="45" t="e">
        <f>_XLL.IMPRODUKT(gmv,IMDIV((_XLL.KOMPLEXE(1,I116*(Rvcomp*kOhms)*(Cvcomp*uF))),_XLL.IMPRODUKT((_XLL.KOMPLEXE(0,data!I116*((Cvcomp*uF)+(Cvcomp_p*uF)))),(_XLL.KOMPLEXE(1,I116*((Rvcomp*kOhms)*(Cvcomp*uF)*(Cvcomp_p*uF))/((Cvcomp*uF)+(Cvcomp_p*uF)))))))</f>
        <v>#NAME?</v>
      </c>
      <c r="Q116" s="6" t="e">
        <f t="shared" si="16"/>
        <v>#NAME?</v>
      </c>
      <c r="R116" s="6" t="e">
        <f>_XLL.IMPRODUKT((M116),(P116))</f>
        <v>#NAME?</v>
      </c>
      <c r="S116" s="6" t="e">
        <f t="shared" si="17"/>
        <v>#NAME?</v>
      </c>
      <c r="T116" s="42" t="e">
        <f t="shared" si="18"/>
        <v>#NAME?</v>
      </c>
    </row>
    <row r="117" spans="1:20" ht="14.25">
      <c r="A117" s="45">
        <v>1.3</v>
      </c>
      <c r="B117" s="6">
        <f t="shared" si="19"/>
        <v>19.952623149688804</v>
      </c>
      <c r="C117" s="6">
        <f t="shared" si="10"/>
        <v>125.36602861381597</v>
      </c>
      <c r="D117" s="6" t="e">
        <f>IMDIV((K_1*2.5*Rsense*Vout_nom)/(K_FQ*M_1*(M_2/us)*Lbst*mH),_XLL.IMPRODUKT((_XLL.KOMPLEXE(0,C117*1)),_XLL.KOMPLEXE(1,(C117/(2*PI()*fiavg*kHz)))))</f>
        <v>#NAME?</v>
      </c>
      <c r="E117" s="6" t="e">
        <f t="shared" si="11"/>
        <v>#NAME?</v>
      </c>
      <c r="F117" s="42" t="e">
        <f t="shared" si="20"/>
        <v>#NAME?</v>
      </c>
      <c r="G117" s="46">
        <v>-1.7</v>
      </c>
      <c r="H117" s="47">
        <f t="shared" si="21"/>
        <v>0.019952623149688792</v>
      </c>
      <c r="I117" s="47">
        <f t="shared" si="22"/>
        <v>0.1253660286138159</v>
      </c>
      <c r="J117" s="47">
        <f t="shared" si="12"/>
        <v>0.012441679626749611</v>
      </c>
      <c r="K117" s="47" t="e">
        <f>IMDIV(((M_3/us)*Vout_nom)/(M1M2/us),_XLL.KOMPLEXE(1,(I117/(2*PI()*fPWM_PSpole))))</f>
        <v>#NAME?</v>
      </c>
      <c r="L117" s="6" t="e">
        <f t="shared" si="13"/>
        <v>#NAME?</v>
      </c>
      <c r="M117" s="6" t="e">
        <f>_XLL.IMPRODUKT(J117,K117)</f>
        <v>#NAME?</v>
      </c>
      <c r="N117" s="6" t="e">
        <f t="shared" si="14"/>
        <v>#NAME?</v>
      </c>
      <c r="O117" s="51" t="e">
        <f t="shared" si="15"/>
        <v>#NAME?</v>
      </c>
      <c r="P117" s="45" t="e">
        <f>_XLL.IMPRODUKT(gmv,IMDIV((_XLL.KOMPLEXE(1,I117*(Rvcomp*kOhms)*(Cvcomp*uF))),_XLL.IMPRODUKT((_XLL.KOMPLEXE(0,data!I117*((Cvcomp*uF)+(Cvcomp_p*uF)))),(_XLL.KOMPLEXE(1,I117*((Rvcomp*kOhms)*(Cvcomp*uF)*(Cvcomp_p*uF))/((Cvcomp*uF)+(Cvcomp_p*uF)))))))</f>
        <v>#NAME?</v>
      </c>
      <c r="Q117" s="6" t="e">
        <f t="shared" si="16"/>
        <v>#NAME?</v>
      </c>
      <c r="R117" s="6" t="e">
        <f>_XLL.IMPRODUKT((M117),(P117))</f>
        <v>#NAME?</v>
      </c>
      <c r="S117" s="6" t="e">
        <f t="shared" si="17"/>
        <v>#NAME?</v>
      </c>
      <c r="T117" s="42" t="e">
        <f t="shared" si="18"/>
        <v>#NAME?</v>
      </c>
    </row>
    <row r="118" spans="1:20" ht="14.25">
      <c r="A118" s="45">
        <v>1.4</v>
      </c>
      <c r="B118" s="6">
        <f t="shared" si="19"/>
        <v>25.1188643150958</v>
      </c>
      <c r="C118" s="6">
        <f t="shared" si="10"/>
        <v>157.82647919764753</v>
      </c>
      <c r="D118" s="6" t="e">
        <f>IMDIV((K_1*2.5*Rsense*Vout_nom)/(K_FQ*M_1*(M_2/us)*Lbst*mH),_XLL.IMPRODUKT((_XLL.KOMPLEXE(0,C118*1)),_XLL.KOMPLEXE(1,(C118/(2*PI()*fiavg*kHz)))))</f>
        <v>#NAME?</v>
      </c>
      <c r="E118" s="6" t="e">
        <f t="shared" si="11"/>
        <v>#NAME?</v>
      </c>
      <c r="F118" s="42" t="e">
        <f t="shared" si="20"/>
        <v>#NAME?</v>
      </c>
      <c r="G118" s="46">
        <v>-1.6</v>
      </c>
      <c r="H118" s="47">
        <f t="shared" si="21"/>
        <v>0.02511886431509578</v>
      </c>
      <c r="I118" s="47">
        <f t="shared" si="22"/>
        <v>0.15782647919764742</v>
      </c>
      <c r="J118" s="47">
        <f t="shared" si="12"/>
        <v>0.012441679626749611</v>
      </c>
      <c r="K118" s="47" t="e">
        <f>IMDIV(((M_3/us)*Vout_nom)/(M1M2/us),_XLL.KOMPLEXE(1,(I118/(2*PI()*fPWM_PSpole))))</f>
        <v>#NAME?</v>
      </c>
      <c r="L118" s="6" t="e">
        <f t="shared" si="13"/>
        <v>#NAME?</v>
      </c>
      <c r="M118" s="6" t="e">
        <f>_XLL.IMPRODUKT(J118,K118)</f>
        <v>#NAME?</v>
      </c>
      <c r="N118" s="6" t="e">
        <f t="shared" si="14"/>
        <v>#NAME?</v>
      </c>
      <c r="O118" s="51" t="e">
        <f t="shared" si="15"/>
        <v>#NAME?</v>
      </c>
      <c r="P118" s="45" t="e">
        <f>_XLL.IMPRODUKT(gmv,IMDIV((_XLL.KOMPLEXE(1,I118*(Rvcomp*kOhms)*(Cvcomp*uF))),_XLL.IMPRODUKT((_XLL.KOMPLEXE(0,data!I118*((Cvcomp*uF)+(Cvcomp_p*uF)))),(_XLL.KOMPLEXE(1,I118*((Rvcomp*kOhms)*(Cvcomp*uF)*(Cvcomp_p*uF))/((Cvcomp*uF)+(Cvcomp_p*uF)))))))</f>
        <v>#NAME?</v>
      </c>
      <c r="Q118" s="6" t="e">
        <f t="shared" si="16"/>
        <v>#NAME?</v>
      </c>
      <c r="R118" s="6" t="e">
        <f>_XLL.IMPRODUKT((M118),(P118))</f>
        <v>#NAME?</v>
      </c>
      <c r="S118" s="6" t="e">
        <f t="shared" si="17"/>
        <v>#NAME?</v>
      </c>
      <c r="T118" s="42" t="e">
        <f t="shared" si="18"/>
        <v>#NAME?</v>
      </c>
    </row>
    <row r="119" spans="1:20" ht="14.25">
      <c r="A119" s="45">
        <v>1.5</v>
      </c>
      <c r="B119" s="6">
        <f t="shared" si="19"/>
        <v>31.622776601683803</v>
      </c>
      <c r="C119" s="6">
        <f t="shared" si="10"/>
        <v>198.69176531592208</v>
      </c>
      <c r="D119" s="6" t="e">
        <f>IMDIV((K_1*2.5*Rsense*Vout_nom)/(K_FQ*M_1*(M_2/us)*Lbst*mH),_XLL.IMPRODUKT((_XLL.KOMPLEXE(0,C119*1)),_XLL.KOMPLEXE(1,(C119/(2*PI()*fiavg*kHz)))))</f>
        <v>#NAME?</v>
      </c>
      <c r="E119" s="6" t="e">
        <f t="shared" si="11"/>
        <v>#NAME?</v>
      </c>
      <c r="F119" s="42" t="e">
        <f t="shared" si="20"/>
        <v>#NAME?</v>
      </c>
      <c r="G119" s="46">
        <v>-1.5</v>
      </c>
      <c r="H119" s="47">
        <f t="shared" si="21"/>
        <v>0.031622776601683784</v>
      </c>
      <c r="I119" s="47">
        <f t="shared" si="22"/>
        <v>0.19869176531592195</v>
      </c>
      <c r="J119" s="47">
        <f t="shared" si="12"/>
        <v>0.012441679626749611</v>
      </c>
      <c r="K119" s="47" t="e">
        <f>IMDIV(((M_3/us)*Vout_nom)/(M1M2/us),_XLL.KOMPLEXE(1,(I119/(2*PI()*fPWM_PSpole))))</f>
        <v>#NAME?</v>
      </c>
      <c r="L119" s="6" t="e">
        <f t="shared" si="13"/>
        <v>#NAME?</v>
      </c>
      <c r="M119" s="6" t="e">
        <f>_XLL.IMPRODUKT(J119,K119)</f>
        <v>#NAME?</v>
      </c>
      <c r="N119" s="6" t="e">
        <f t="shared" si="14"/>
        <v>#NAME?</v>
      </c>
      <c r="O119" s="51" t="e">
        <f t="shared" si="15"/>
        <v>#NAME?</v>
      </c>
      <c r="P119" s="45" t="e">
        <f>_XLL.IMPRODUKT(gmv,IMDIV((_XLL.KOMPLEXE(1,I119*(Rvcomp*kOhms)*(Cvcomp*uF))),_XLL.IMPRODUKT((_XLL.KOMPLEXE(0,data!I119*((Cvcomp*uF)+(Cvcomp_p*uF)))),(_XLL.KOMPLEXE(1,I119*((Rvcomp*kOhms)*(Cvcomp*uF)*(Cvcomp_p*uF))/((Cvcomp*uF)+(Cvcomp_p*uF)))))))</f>
        <v>#NAME?</v>
      </c>
      <c r="Q119" s="6" t="e">
        <f t="shared" si="16"/>
        <v>#NAME?</v>
      </c>
      <c r="R119" s="6" t="e">
        <f>_XLL.IMPRODUKT((M119),(P119))</f>
        <v>#NAME?</v>
      </c>
      <c r="S119" s="6" t="e">
        <f t="shared" si="17"/>
        <v>#NAME?</v>
      </c>
      <c r="T119" s="42" t="e">
        <f t="shared" si="18"/>
        <v>#NAME?</v>
      </c>
    </row>
    <row r="120" spans="1:20" ht="14.25">
      <c r="A120" s="45">
        <v>1.6</v>
      </c>
      <c r="B120" s="6">
        <f t="shared" si="19"/>
        <v>39.810717055349755</v>
      </c>
      <c r="C120" s="6">
        <f t="shared" si="10"/>
        <v>250.13811247045734</v>
      </c>
      <c r="D120" s="6" t="e">
        <f>IMDIV((K_1*2.5*Rsense*Vout_nom)/(K_FQ*M_1*(M_2/us)*Lbst*mH),_XLL.IMPRODUKT((_XLL.KOMPLEXE(0,C120*1)),_XLL.KOMPLEXE(1,(C120/(2*PI()*fiavg*kHz)))))</f>
        <v>#NAME?</v>
      </c>
      <c r="E120" s="6" t="e">
        <f t="shared" si="11"/>
        <v>#NAME?</v>
      </c>
      <c r="F120" s="42" t="e">
        <f t="shared" si="20"/>
        <v>#NAME?</v>
      </c>
      <c r="G120" s="46">
        <v>-1.4</v>
      </c>
      <c r="H120" s="47">
        <f t="shared" si="21"/>
        <v>0.03981071705534973</v>
      </c>
      <c r="I120" s="47">
        <f t="shared" si="22"/>
        <v>0.25013811247045714</v>
      </c>
      <c r="J120" s="47">
        <f t="shared" si="12"/>
        <v>0.012441679626749611</v>
      </c>
      <c r="K120" s="47" t="e">
        <f>IMDIV(((M_3/us)*Vout_nom)/(M1M2/us),_XLL.KOMPLEXE(1,(I120/(2*PI()*fPWM_PSpole))))</f>
        <v>#NAME?</v>
      </c>
      <c r="L120" s="6" t="e">
        <f t="shared" si="13"/>
        <v>#NAME?</v>
      </c>
      <c r="M120" s="6" t="e">
        <f>_XLL.IMPRODUKT(J120,K120)</f>
        <v>#NAME?</v>
      </c>
      <c r="N120" s="6" t="e">
        <f t="shared" si="14"/>
        <v>#NAME?</v>
      </c>
      <c r="O120" s="51" t="e">
        <f t="shared" si="15"/>
        <v>#NAME?</v>
      </c>
      <c r="P120" s="45" t="e">
        <f>_XLL.IMPRODUKT(gmv,IMDIV((_XLL.KOMPLEXE(1,I120*(Rvcomp*kOhms)*(Cvcomp*uF))),_XLL.IMPRODUKT((_XLL.KOMPLEXE(0,data!I120*((Cvcomp*uF)+(Cvcomp_p*uF)))),(_XLL.KOMPLEXE(1,I120*((Rvcomp*kOhms)*(Cvcomp*uF)*(Cvcomp_p*uF))/((Cvcomp*uF)+(Cvcomp_p*uF)))))))</f>
        <v>#NAME?</v>
      </c>
      <c r="Q120" s="6" t="e">
        <f t="shared" si="16"/>
        <v>#NAME?</v>
      </c>
      <c r="R120" s="6" t="e">
        <f>_XLL.IMPRODUKT((M120),(P120))</f>
        <v>#NAME?</v>
      </c>
      <c r="S120" s="6" t="e">
        <f t="shared" si="17"/>
        <v>#NAME?</v>
      </c>
      <c r="T120" s="42" t="e">
        <f t="shared" si="18"/>
        <v>#NAME?</v>
      </c>
    </row>
    <row r="121" spans="1:20" ht="14.25">
      <c r="A121" s="45">
        <v>1.7</v>
      </c>
      <c r="B121" s="6">
        <f t="shared" si="19"/>
        <v>50.11872336272724</v>
      </c>
      <c r="C121" s="6">
        <f t="shared" si="10"/>
        <v>314.90522624728607</v>
      </c>
      <c r="D121" s="6" t="e">
        <f>IMDIV((K_1*2.5*Rsense*Vout_nom)/(K_FQ*M_1*(M_2/us)*Lbst*mH),_XLL.IMPRODUKT((_XLL.KOMPLEXE(0,C121*1)),_XLL.KOMPLEXE(1,(C121/(2*PI()*fiavg*kHz)))))</f>
        <v>#NAME?</v>
      </c>
      <c r="E121" s="6" t="e">
        <f t="shared" si="11"/>
        <v>#NAME?</v>
      </c>
      <c r="F121" s="42" t="e">
        <f t="shared" si="20"/>
        <v>#NAME?</v>
      </c>
      <c r="G121" s="46">
        <v>-1.3</v>
      </c>
      <c r="H121" s="47">
        <f t="shared" si="21"/>
        <v>0.050118723362727206</v>
      </c>
      <c r="I121" s="47">
        <f t="shared" si="22"/>
        <v>0.31490522624728584</v>
      </c>
      <c r="J121" s="47">
        <f t="shared" si="12"/>
        <v>0.012441679626749611</v>
      </c>
      <c r="K121" s="47" t="e">
        <f>IMDIV(((M_3/us)*Vout_nom)/(M1M2/us),_XLL.KOMPLEXE(1,(I121/(2*PI()*fPWM_PSpole))))</f>
        <v>#NAME?</v>
      </c>
      <c r="L121" s="6" t="e">
        <f t="shared" si="13"/>
        <v>#NAME?</v>
      </c>
      <c r="M121" s="6" t="e">
        <f>_XLL.IMPRODUKT(J121,K121)</f>
        <v>#NAME?</v>
      </c>
      <c r="N121" s="6" t="e">
        <f t="shared" si="14"/>
        <v>#NAME?</v>
      </c>
      <c r="O121" s="51" t="e">
        <f t="shared" si="15"/>
        <v>#NAME?</v>
      </c>
      <c r="P121" s="45" t="e">
        <f>_XLL.IMPRODUKT(gmv,IMDIV((_XLL.KOMPLEXE(1,I121*(Rvcomp*kOhms)*(Cvcomp*uF))),_XLL.IMPRODUKT((_XLL.KOMPLEXE(0,data!I121*((Cvcomp*uF)+(Cvcomp_p*uF)))),(_XLL.KOMPLEXE(1,I121*((Rvcomp*kOhms)*(Cvcomp*uF)*(Cvcomp_p*uF))/((Cvcomp*uF)+(Cvcomp_p*uF)))))))</f>
        <v>#NAME?</v>
      </c>
      <c r="Q121" s="6" t="e">
        <f t="shared" si="16"/>
        <v>#NAME?</v>
      </c>
      <c r="R121" s="6" t="e">
        <f>_XLL.IMPRODUKT((M121),(P121))</f>
        <v>#NAME?</v>
      </c>
      <c r="S121" s="6" t="e">
        <f t="shared" si="17"/>
        <v>#NAME?</v>
      </c>
      <c r="T121" s="42" t="e">
        <f t="shared" si="18"/>
        <v>#NAME?</v>
      </c>
    </row>
    <row r="122" spans="1:20" ht="14.25">
      <c r="A122" s="45">
        <v>1.8</v>
      </c>
      <c r="B122" s="6">
        <f t="shared" si="19"/>
        <v>63.095734448019364</v>
      </c>
      <c r="C122" s="6">
        <f t="shared" si="10"/>
        <v>396.44219162950014</v>
      </c>
      <c r="D122" s="6" t="e">
        <f>IMDIV((K_1*2.5*Rsense*Vout_nom)/(K_FQ*M_1*(M_2/us)*Lbst*mH),_XLL.IMPRODUKT((_XLL.KOMPLEXE(0,C122*1)),_XLL.KOMPLEXE(1,(C122/(2*PI()*fiavg*kHz)))))</f>
        <v>#NAME?</v>
      </c>
      <c r="E122" s="6" t="e">
        <f t="shared" si="11"/>
        <v>#NAME?</v>
      </c>
      <c r="F122" s="42" t="e">
        <f t="shared" si="20"/>
        <v>#NAME?</v>
      </c>
      <c r="G122" s="46">
        <v>-1.2</v>
      </c>
      <c r="H122" s="47">
        <f t="shared" si="21"/>
        <v>0.06309573444801932</v>
      </c>
      <c r="I122" s="47">
        <f t="shared" si="22"/>
        <v>0.39644219162949984</v>
      </c>
      <c r="J122" s="47">
        <f t="shared" si="12"/>
        <v>0.012441679626749611</v>
      </c>
      <c r="K122" s="47" t="e">
        <f>IMDIV(((M_3/us)*Vout_nom)/(M1M2/us),_XLL.KOMPLEXE(1,(I122/(2*PI()*fPWM_PSpole))))</f>
        <v>#NAME?</v>
      </c>
      <c r="L122" s="6" t="e">
        <f t="shared" si="13"/>
        <v>#NAME?</v>
      </c>
      <c r="M122" s="6" t="e">
        <f>_XLL.IMPRODUKT(J122,K122)</f>
        <v>#NAME?</v>
      </c>
      <c r="N122" s="6" t="e">
        <f t="shared" si="14"/>
        <v>#NAME?</v>
      </c>
      <c r="O122" s="51" t="e">
        <f t="shared" si="15"/>
        <v>#NAME?</v>
      </c>
      <c r="P122" s="45" t="e">
        <f>_XLL.IMPRODUKT(gmv,IMDIV((_XLL.KOMPLEXE(1,I122*(Rvcomp*kOhms)*(Cvcomp*uF))),_XLL.IMPRODUKT((_XLL.KOMPLEXE(0,data!I122*((Cvcomp*uF)+(Cvcomp_p*uF)))),(_XLL.KOMPLEXE(1,I122*((Rvcomp*kOhms)*(Cvcomp*uF)*(Cvcomp_p*uF))/((Cvcomp*uF)+(Cvcomp_p*uF)))))))</f>
        <v>#NAME?</v>
      </c>
      <c r="Q122" s="6" t="e">
        <f t="shared" si="16"/>
        <v>#NAME?</v>
      </c>
      <c r="R122" s="6" t="e">
        <f>_XLL.IMPRODUKT((M122),(P122))</f>
        <v>#NAME?</v>
      </c>
      <c r="S122" s="6" t="e">
        <f t="shared" si="17"/>
        <v>#NAME?</v>
      </c>
      <c r="T122" s="42" t="e">
        <f t="shared" si="18"/>
        <v>#NAME?</v>
      </c>
    </row>
    <row r="123" spans="1:20" ht="14.25">
      <c r="A123" s="45">
        <v>1.9</v>
      </c>
      <c r="B123" s="6">
        <f t="shared" si="19"/>
        <v>79.4328234724282</v>
      </c>
      <c r="C123" s="6">
        <f t="shared" si="10"/>
        <v>499.0911493497506</v>
      </c>
      <c r="D123" s="6" t="e">
        <f>IMDIV((K_1*2.5*Rsense*Vout_nom)/(K_FQ*M_1*(M_2/us)*Lbst*mH),_XLL.IMPRODUKT((_XLL.KOMPLEXE(0,C123*1)),_XLL.KOMPLEXE(1,(C123/(2*PI()*fiavg*kHz)))))</f>
        <v>#NAME?</v>
      </c>
      <c r="E123" s="6" t="e">
        <f t="shared" si="11"/>
        <v>#NAME?</v>
      </c>
      <c r="F123" s="42" t="e">
        <f t="shared" si="20"/>
        <v>#NAME?</v>
      </c>
      <c r="G123" s="46">
        <v>-1.1</v>
      </c>
      <c r="H123" s="47">
        <f t="shared" si="21"/>
        <v>0.0794328234724281</v>
      </c>
      <c r="I123" s="47">
        <f t="shared" si="22"/>
        <v>0.49909114934974996</v>
      </c>
      <c r="J123" s="47">
        <f t="shared" si="12"/>
        <v>0.012441679626749611</v>
      </c>
      <c r="K123" s="47" t="e">
        <f>IMDIV(((M_3/us)*Vout_nom)/(M1M2/us),_XLL.KOMPLEXE(1,(I123/(2*PI()*fPWM_PSpole))))</f>
        <v>#NAME?</v>
      </c>
      <c r="L123" s="6" t="e">
        <f t="shared" si="13"/>
        <v>#NAME?</v>
      </c>
      <c r="M123" s="6" t="e">
        <f>_XLL.IMPRODUKT(J123,K123)</f>
        <v>#NAME?</v>
      </c>
      <c r="N123" s="6" t="e">
        <f t="shared" si="14"/>
        <v>#NAME?</v>
      </c>
      <c r="O123" s="51" t="e">
        <f t="shared" si="15"/>
        <v>#NAME?</v>
      </c>
      <c r="P123" s="45" t="e">
        <f>_XLL.IMPRODUKT(gmv,IMDIV((_XLL.KOMPLEXE(1,I123*(Rvcomp*kOhms)*(Cvcomp*uF))),_XLL.IMPRODUKT((_XLL.KOMPLEXE(0,data!I123*((Cvcomp*uF)+(Cvcomp_p*uF)))),(_XLL.KOMPLEXE(1,I123*((Rvcomp*kOhms)*(Cvcomp*uF)*(Cvcomp_p*uF))/((Cvcomp*uF)+(Cvcomp_p*uF)))))))</f>
        <v>#NAME?</v>
      </c>
      <c r="Q123" s="6" t="e">
        <f t="shared" si="16"/>
        <v>#NAME?</v>
      </c>
      <c r="R123" s="6" t="e">
        <f>_XLL.IMPRODUKT((M123),(P123))</f>
        <v>#NAME?</v>
      </c>
      <c r="S123" s="6" t="e">
        <f t="shared" si="17"/>
        <v>#NAME?</v>
      </c>
      <c r="T123" s="42" t="e">
        <f t="shared" si="18"/>
        <v>#NAME?</v>
      </c>
    </row>
    <row r="124" spans="1:20" ht="14.25">
      <c r="A124" s="45">
        <v>2</v>
      </c>
      <c r="B124" s="6">
        <f t="shared" si="19"/>
        <v>100</v>
      </c>
      <c r="C124" s="6">
        <f t="shared" si="10"/>
        <v>628.3185307179587</v>
      </c>
      <c r="D124" s="6" t="e">
        <f>IMDIV((K_1*2.5*Rsense*Vout_nom)/(K_FQ*M_1*(M_2/us)*Lbst*mH),_XLL.IMPRODUKT((_XLL.KOMPLEXE(0,C124*1)),_XLL.KOMPLEXE(1,(C124/(2*PI()*fiavg*kHz)))))</f>
        <v>#NAME?</v>
      </c>
      <c r="E124" s="6" t="e">
        <f t="shared" si="11"/>
        <v>#NAME?</v>
      </c>
      <c r="F124" s="42" t="e">
        <f t="shared" si="20"/>
        <v>#NAME?</v>
      </c>
      <c r="G124" s="46">
        <v>-1</v>
      </c>
      <c r="H124" s="47">
        <f t="shared" si="21"/>
        <v>0.1</v>
      </c>
      <c r="I124" s="47">
        <f t="shared" si="22"/>
        <v>0.6283185307179586</v>
      </c>
      <c r="J124" s="47">
        <f t="shared" si="12"/>
        <v>0.012441679626749611</v>
      </c>
      <c r="K124" s="47" t="e">
        <f>IMDIV(((M_3/us)*Vout_nom)/(M1M2/us),_XLL.KOMPLEXE(1,(I124/(2*PI()*fPWM_PSpole))))</f>
        <v>#NAME?</v>
      </c>
      <c r="L124" s="6" t="e">
        <f t="shared" si="13"/>
        <v>#NAME?</v>
      </c>
      <c r="M124" s="6" t="e">
        <f>_XLL.IMPRODUKT(J124,K124)</f>
        <v>#NAME?</v>
      </c>
      <c r="N124" s="6" t="e">
        <f t="shared" si="14"/>
        <v>#NAME?</v>
      </c>
      <c r="O124" s="51" t="e">
        <f t="shared" si="15"/>
        <v>#NAME?</v>
      </c>
      <c r="P124" s="45" t="e">
        <f>_XLL.IMPRODUKT(gmv,IMDIV((_XLL.KOMPLEXE(1,I124*(Rvcomp*kOhms)*(Cvcomp*uF))),_XLL.IMPRODUKT((_XLL.KOMPLEXE(0,data!I124*((Cvcomp*uF)+(Cvcomp_p*uF)))),(_XLL.KOMPLEXE(1,I124*((Rvcomp*kOhms)*(Cvcomp*uF)*(Cvcomp_p*uF))/((Cvcomp*uF)+(Cvcomp_p*uF)))))))</f>
        <v>#NAME?</v>
      </c>
      <c r="Q124" s="6" t="e">
        <f t="shared" si="16"/>
        <v>#NAME?</v>
      </c>
      <c r="R124" s="6" t="e">
        <f>_XLL.IMPRODUKT((M124),(P124))</f>
        <v>#NAME?</v>
      </c>
      <c r="S124" s="6" t="e">
        <f t="shared" si="17"/>
        <v>#NAME?</v>
      </c>
      <c r="T124" s="42" t="e">
        <f t="shared" si="18"/>
        <v>#NAME?</v>
      </c>
    </row>
    <row r="125" spans="1:20" ht="14.25">
      <c r="A125" s="45">
        <v>2.1</v>
      </c>
      <c r="B125" s="6">
        <f t="shared" si="19"/>
        <v>125.89254117941677</v>
      </c>
      <c r="C125" s="6">
        <f t="shared" si="10"/>
        <v>791.0061650220124</v>
      </c>
      <c r="D125" s="6" t="e">
        <f>IMDIV((K_1*2.5*Rsense*Vout_nom)/(K_FQ*M_1*(M_2/us)*Lbst*mH),_XLL.IMPRODUKT((_XLL.KOMPLEXE(0,C125*1)),_XLL.KOMPLEXE(1,(C125/(2*PI()*fiavg*kHz)))))</f>
        <v>#NAME?</v>
      </c>
      <c r="E125" s="6" t="e">
        <f t="shared" si="11"/>
        <v>#NAME?</v>
      </c>
      <c r="F125" s="42" t="e">
        <f t="shared" si="20"/>
        <v>#NAME?</v>
      </c>
      <c r="G125" s="46">
        <v>-0.9</v>
      </c>
      <c r="H125" s="47">
        <f t="shared" si="21"/>
        <v>0.12589254117941667</v>
      </c>
      <c r="I125" s="47">
        <f t="shared" si="22"/>
        <v>0.7910061650220118</v>
      </c>
      <c r="J125" s="47">
        <f t="shared" si="12"/>
        <v>0.012441679626749611</v>
      </c>
      <c r="K125" s="47" t="e">
        <f>IMDIV(((M_3/us)*Vout_nom)/(M1M2/us),_XLL.KOMPLEXE(1,(I125/(2*PI()*fPWM_PSpole))))</f>
        <v>#NAME?</v>
      </c>
      <c r="L125" s="6" t="e">
        <f t="shared" si="13"/>
        <v>#NAME?</v>
      </c>
      <c r="M125" s="6" t="e">
        <f>_XLL.IMPRODUKT(J125,K125)</f>
        <v>#NAME?</v>
      </c>
      <c r="N125" s="6" t="e">
        <f t="shared" si="14"/>
        <v>#NAME?</v>
      </c>
      <c r="O125" s="51" t="e">
        <f t="shared" si="15"/>
        <v>#NAME?</v>
      </c>
      <c r="P125" s="45" t="e">
        <f>_XLL.IMPRODUKT(gmv,IMDIV((_XLL.KOMPLEXE(1,I125*(Rvcomp*kOhms)*(Cvcomp*uF))),_XLL.IMPRODUKT((_XLL.KOMPLEXE(0,data!I125*((Cvcomp*uF)+(Cvcomp_p*uF)))),(_XLL.KOMPLEXE(1,I125*((Rvcomp*kOhms)*(Cvcomp*uF)*(Cvcomp_p*uF))/((Cvcomp*uF)+(Cvcomp_p*uF)))))))</f>
        <v>#NAME?</v>
      </c>
      <c r="Q125" s="6" t="e">
        <f t="shared" si="16"/>
        <v>#NAME?</v>
      </c>
      <c r="R125" s="6" t="e">
        <f>_XLL.IMPRODUKT((M125),(P125))</f>
        <v>#NAME?</v>
      </c>
      <c r="S125" s="6" t="e">
        <f t="shared" si="17"/>
        <v>#NAME?</v>
      </c>
      <c r="T125" s="42" t="e">
        <f t="shared" si="18"/>
        <v>#NAME?</v>
      </c>
    </row>
    <row r="126" spans="1:20" ht="14.25">
      <c r="A126" s="45">
        <v>2.2</v>
      </c>
      <c r="B126" s="6">
        <f t="shared" si="19"/>
        <v>158.48931924611153</v>
      </c>
      <c r="C126" s="6">
        <f t="shared" si="10"/>
        <v>995.8177620320628</v>
      </c>
      <c r="D126" s="6" t="e">
        <f>IMDIV((K_1*2.5*Rsense*Vout_nom)/(K_FQ*M_1*(M_2/us)*Lbst*mH),_XLL.IMPRODUKT((_XLL.KOMPLEXE(0,C126*1)),_XLL.KOMPLEXE(1,(C126/(2*PI()*fiavg*kHz)))))</f>
        <v>#NAME?</v>
      </c>
      <c r="E126" s="6" t="e">
        <f t="shared" si="11"/>
        <v>#NAME?</v>
      </c>
      <c r="F126" s="42" t="e">
        <f t="shared" si="20"/>
        <v>#NAME?</v>
      </c>
      <c r="G126" s="46">
        <v>-0.8</v>
      </c>
      <c r="H126" s="47">
        <f t="shared" si="21"/>
        <v>0.15848931924611132</v>
      </c>
      <c r="I126" s="47">
        <f t="shared" si="22"/>
        <v>0.9958177620320614</v>
      </c>
      <c r="J126" s="47">
        <f t="shared" si="12"/>
        <v>0.012441679626749611</v>
      </c>
      <c r="K126" s="47" t="e">
        <f>IMDIV(((M_3/us)*Vout_nom)/(M1M2/us),_XLL.KOMPLEXE(1,(I126/(2*PI()*fPWM_PSpole))))</f>
        <v>#NAME?</v>
      </c>
      <c r="L126" s="6" t="e">
        <f t="shared" si="13"/>
        <v>#NAME?</v>
      </c>
      <c r="M126" s="6" t="e">
        <f>_XLL.IMPRODUKT(J126,K126)</f>
        <v>#NAME?</v>
      </c>
      <c r="N126" s="6" t="e">
        <f t="shared" si="14"/>
        <v>#NAME?</v>
      </c>
      <c r="O126" s="51" t="e">
        <f t="shared" si="15"/>
        <v>#NAME?</v>
      </c>
      <c r="P126" s="45" t="e">
        <f>_XLL.IMPRODUKT(gmv,IMDIV((_XLL.KOMPLEXE(1,I126*(Rvcomp*kOhms)*(Cvcomp*uF))),_XLL.IMPRODUKT((_XLL.KOMPLEXE(0,data!I126*((Cvcomp*uF)+(Cvcomp_p*uF)))),(_XLL.KOMPLEXE(1,I126*((Rvcomp*kOhms)*(Cvcomp*uF)*(Cvcomp_p*uF))/((Cvcomp*uF)+(Cvcomp_p*uF)))))))</f>
        <v>#NAME?</v>
      </c>
      <c r="Q126" s="6" t="e">
        <f t="shared" si="16"/>
        <v>#NAME?</v>
      </c>
      <c r="R126" s="6" t="e">
        <f>_XLL.IMPRODUKT((M126),(P126))</f>
        <v>#NAME?</v>
      </c>
      <c r="S126" s="6" t="e">
        <f t="shared" si="17"/>
        <v>#NAME?</v>
      </c>
      <c r="T126" s="42" t="e">
        <f t="shared" si="18"/>
        <v>#NAME?</v>
      </c>
    </row>
    <row r="127" spans="1:20" ht="14.25">
      <c r="A127" s="45">
        <v>2.3</v>
      </c>
      <c r="B127" s="6">
        <f t="shared" si="19"/>
        <v>199.52623149688802</v>
      </c>
      <c r="C127" s="6">
        <f t="shared" si="10"/>
        <v>1253.6602861381596</v>
      </c>
      <c r="D127" s="6" t="e">
        <f>IMDIV((K_1*2.5*Rsense*Vout_nom)/(K_FQ*M_1*(M_2/us)*Lbst*mH),_XLL.IMPRODUKT((_XLL.KOMPLEXE(0,C127*1)),_XLL.KOMPLEXE(1,(C127/(2*PI()*fiavg*kHz)))))</f>
        <v>#NAME?</v>
      </c>
      <c r="E127" s="6" t="e">
        <f t="shared" si="11"/>
        <v>#NAME?</v>
      </c>
      <c r="F127" s="42" t="e">
        <f t="shared" si="20"/>
        <v>#NAME?</v>
      </c>
      <c r="G127" s="46">
        <v>-0.7</v>
      </c>
      <c r="H127" s="47">
        <f t="shared" si="21"/>
        <v>0.19952623149688795</v>
      </c>
      <c r="I127" s="47">
        <f t="shared" si="22"/>
        <v>1.2536602861381592</v>
      </c>
      <c r="J127" s="47">
        <f t="shared" si="12"/>
        <v>0.012441679626749611</v>
      </c>
      <c r="K127" s="47" t="e">
        <f>IMDIV(((M_3/us)*Vout_nom)/(M1M2/us),_XLL.KOMPLEXE(1,(I127/(2*PI()*fPWM_PSpole))))</f>
        <v>#NAME?</v>
      </c>
      <c r="L127" s="6" t="e">
        <f t="shared" si="13"/>
        <v>#NAME?</v>
      </c>
      <c r="M127" s="6" t="e">
        <f>_XLL.IMPRODUKT(J127,K127)</f>
        <v>#NAME?</v>
      </c>
      <c r="N127" s="6" t="e">
        <f t="shared" si="14"/>
        <v>#NAME?</v>
      </c>
      <c r="O127" s="51" t="e">
        <f t="shared" si="15"/>
        <v>#NAME?</v>
      </c>
      <c r="P127" s="45" t="e">
        <f>_XLL.IMPRODUKT(gmv,IMDIV((_XLL.KOMPLEXE(1,I127*(Rvcomp*kOhms)*(Cvcomp*uF))),_XLL.IMPRODUKT((_XLL.KOMPLEXE(0,data!I127*((Cvcomp*uF)+(Cvcomp_p*uF)))),(_XLL.KOMPLEXE(1,I127*((Rvcomp*kOhms)*(Cvcomp*uF)*(Cvcomp_p*uF))/((Cvcomp*uF)+(Cvcomp_p*uF)))))))</f>
        <v>#NAME?</v>
      </c>
      <c r="Q127" s="6" t="e">
        <f t="shared" si="16"/>
        <v>#NAME?</v>
      </c>
      <c r="R127" s="6" t="e">
        <f>_XLL.IMPRODUKT((M127),(P127))</f>
        <v>#NAME?</v>
      </c>
      <c r="S127" s="6" t="e">
        <f t="shared" si="17"/>
        <v>#NAME?</v>
      </c>
      <c r="T127" s="42" t="e">
        <f t="shared" si="18"/>
        <v>#NAME?</v>
      </c>
    </row>
    <row r="128" spans="1:20" ht="14.25">
      <c r="A128" s="45">
        <v>2.4</v>
      </c>
      <c r="B128" s="6">
        <f t="shared" si="19"/>
        <v>251.18864315095806</v>
      </c>
      <c r="C128" s="6">
        <f t="shared" si="10"/>
        <v>1578.2647919764759</v>
      </c>
      <c r="D128" s="6" t="e">
        <f>IMDIV((K_1*2.5*Rsense*Vout_nom)/(K_FQ*M_1*(M_2/us)*Lbst*mH),_XLL.IMPRODUKT((_XLL.KOMPLEXE(0,C128*1)),_XLL.KOMPLEXE(1,(C128/(2*PI()*fiavg*kHz)))))</f>
        <v>#NAME?</v>
      </c>
      <c r="E128" s="6" t="e">
        <f t="shared" si="11"/>
        <v>#NAME?</v>
      </c>
      <c r="F128" s="42" t="e">
        <f t="shared" si="20"/>
        <v>#NAME?</v>
      </c>
      <c r="G128" s="46">
        <v>-0.6</v>
      </c>
      <c r="H128" s="47">
        <f t="shared" si="21"/>
        <v>0.251188643150958</v>
      </c>
      <c r="I128" s="47">
        <f t="shared" si="22"/>
        <v>1.5782647919764756</v>
      </c>
      <c r="J128" s="47">
        <f t="shared" si="12"/>
        <v>0.012441679626749611</v>
      </c>
      <c r="K128" s="47" t="e">
        <f>IMDIV(((M_3/us)*Vout_nom)/(M1M2/us),_XLL.KOMPLEXE(1,(I128/(2*PI()*fPWM_PSpole))))</f>
        <v>#NAME?</v>
      </c>
      <c r="L128" s="6" t="e">
        <f t="shared" si="13"/>
        <v>#NAME?</v>
      </c>
      <c r="M128" s="6" t="e">
        <f>_XLL.IMPRODUKT(J128,K128)</f>
        <v>#NAME?</v>
      </c>
      <c r="N128" s="6" t="e">
        <f t="shared" si="14"/>
        <v>#NAME?</v>
      </c>
      <c r="O128" s="51" t="e">
        <f t="shared" si="15"/>
        <v>#NAME?</v>
      </c>
      <c r="P128" s="45" t="e">
        <f>_XLL.IMPRODUKT(gmv,IMDIV((_XLL.KOMPLEXE(1,I128*(Rvcomp*kOhms)*(Cvcomp*uF))),_XLL.IMPRODUKT((_XLL.KOMPLEXE(0,data!I128*((Cvcomp*uF)+(Cvcomp_p*uF)))),(_XLL.KOMPLEXE(1,I128*((Rvcomp*kOhms)*(Cvcomp*uF)*(Cvcomp_p*uF))/((Cvcomp*uF)+(Cvcomp_p*uF)))))))</f>
        <v>#NAME?</v>
      </c>
      <c r="Q128" s="6" t="e">
        <f t="shared" si="16"/>
        <v>#NAME?</v>
      </c>
      <c r="R128" s="6" t="e">
        <f>_XLL.IMPRODUKT((M128),(P128))</f>
        <v>#NAME?</v>
      </c>
      <c r="S128" s="6" t="e">
        <f t="shared" si="17"/>
        <v>#NAME?</v>
      </c>
      <c r="T128" s="42" t="e">
        <f t="shared" si="18"/>
        <v>#NAME?</v>
      </c>
    </row>
    <row r="129" spans="1:20" ht="14.25">
      <c r="A129" s="45">
        <v>2.5</v>
      </c>
      <c r="B129" s="6">
        <f t="shared" si="19"/>
        <v>316.22776601683825</v>
      </c>
      <c r="C129" s="6">
        <f t="shared" si="10"/>
        <v>1986.917653159222</v>
      </c>
      <c r="D129" s="6" t="e">
        <f>IMDIV((K_1*2.5*Rsense*Vout_nom)/(K_FQ*M_1*(M_2/us)*Lbst*mH),_XLL.IMPRODUKT((_XLL.KOMPLEXE(0,C129*1)),_XLL.KOMPLEXE(1,(C129/(2*PI()*fiavg*kHz)))))</f>
        <v>#NAME?</v>
      </c>
      <c r="E129" s="6" t="e">
        <f t="shared" si="11"/>
        <v>#NAME?</v>
      </c>
      <c r="F129" s="42" t="e">
        <f t="shared" si="20"/>
        <v>#NAME?</v>
      </c>
      <c r="G129" s="46">
        <v>-0.5</v>
      </c>
      <c r="H129" s="47">
        <f t="shared" si="21"/>
        <v>0.31622776601683794</v>
      </c>
      <c r="I129" s="47">
        <f t="shared" si="22"/>
        <v>1.9869176531592203</v>
      </c>
      <c r="J129" s="47">
        <f t="shared" si="12"/>
        <v>0.012441679626749611</v>
      </c>
      <c r="K129" s="47" t="e">
        <f>IMDIV(((M_3/us)*Vout_nom)/(M1M2/us),_XLL.KOMPLEXE(1,(I129/(2*PI()*fPWM_PSpole))))</f>
        <v>#NAME?</v>
      </c>
      <c r="L129" s="6" t="e">
        <f t="shared" si="13"/>
        <v>#NAME?</v>
      </c>
      <c r="M129" s="6" t="e">
        <f>_XLL.IMPRODUKT(J129,K129)</f>
        <v>#NAME?</v>
      </c>
      <c r="N129" s="6" t="e">
        <f t="shared" si="14"/>
        <v>#NAME?</v>
      </c>
      <c r="O129" s="51" t="e">
        <f t="shared" si="15"/>
        <v>#NAME?</v>
      </c>
      <c r="P129" s="45" t="e">
        <f>_XLL.IMPRODUKT(gmv,IMDIV((_XLL.KOMPLEXE(1,I129*(Rvcomp*kOhms)*(Cvcomp*uF))),_XLL.IMPRODUKT((_XLL.KOMPLEXE(0,data!I129*((Cvcomp*uF)+(Cvcomp_p*uF)))),(_XLL.KOMPLEXE(1,I129*((Rvcomp*kOhms)*(Cvcomp*uF)*(Cvcomp_p*uF))/((Cvcomp*uF)+(Cvcomp_p*uF)))))))</f>
        <v>#NAME?</v>
      </c>
      <c r="Q129" s="6" t="e">
        <f t="shared" si="16"/>
        <v>#NAME?</v>
      </c>
      <c r="R129" s="6" t="e">
        <f>_XLL.IMPRODUKT((M129),(P129))</f>
        <v>#NAME?</v>
      </c>
      <c r="S129" s="6" t="e">
        <f t="shared" si="17"/>
        <v>#NAME?</v>
      </c>
      <c r="T129" s="42" t="e">
        <f t="shared" si="18"/>
        <v>#NAME?</v>
      </c>
    </row>
    <row r="130" spans="1:20" ht="14.25">
      <c r="A130" s="45">
        <v>2.6</v>
      </c>
      <c r="B130" s="6">
        <f t="shared" si="19"/>
        <v>398.1071705534976</v>
      </c>
      <c r="C130" s="6">
        <f t="shared" si="10"/>
        <v>2501.3811247045737</v>
      </c>
      <c r="D130" s="6" t="e">
        <f>IMDIV((K_1*2.5*Rsense*Vout_nom)/(K_FQ*M_1*(M_2/us)*Lbst*mH),_XLL.IMPRODUKT((_XLL.KOMPLEXE(0,C130*1)),_XLL.KOMPLEXE(1,(C130/(2*PI()*fiavg*kHz)))))</f>
        <v>#NAME?</v>
      </c>
      <c r="E130" s="6" t="e">
        <f t="shared" si="11"/>
        <v>#NAME?</v>
      </c>
      <c r="F130" s="42" t="e">
        <f t="shared" si="20"/>
        <v>#NAME?</v>
      </c>
      <c r="G130" s="46">
        <v>-0.4</v>
      </c>
      <c r="H130" s="47">
        <f t="shared" si="21"/>
        <v>0.3981071705534972</v>
      </c>
      <c r="I130" s="47">
        <f t="shared" si="22"/>
        <v>2.5013811247045714</v>
      </c>
      <c r="J130" s="47">
        <f t="shared" si="12"/>
        <v>0.012441679626749611</v>
      </c>
      <c r="K130" s="47" t="e">
        <f>IMDIV(((M_3/us)*Vout_nom)/(M1M2/us),_XLL.KOMPLEXE(1,(I130/(2*PI()*fPWM_PSpole))))</f>
        <v>#NAME?</v>
      </c>
      <c r="L130" s="6" t="e">
        <f t="shared" si="13"/>
        <v>#NAME?</v>
      </c>
      <c r="M130" s="6" t="e">
        <f>_XLL.IMPRODUKT(J130,K130)</f>
        <v>#NAME?</v>
      </c>
      <c r="N130" s="6" t="e">
        <f t="shared" si="14"/>
        <v>#NAME?</v>
      </c>
      <c r="O130" s="51" t="e">
        <f t="shared" si="15"/>
        <v>#NAME?</v>
      </c>
      <c r="P130" s="45" t="e">
        <f>_XLL.IMPRODUKT(gmv,IMDIV((_XLL.KOMPLEXE(1,I130*(Rvcomp*kOhms)*(Cvcomp*uF))),_XLL.IMPRODUKT((_XLL.KOMPLEXE(0,data!I130*((Cvcomp*uF)+(Cvcomp_p*uF)))),(_XLL.KOMPLEXE(1,I130*((Rvcomp*kOhms)*(Cvcomp*uF)*(Cvcomp_p*uF))/((Cvcomp*uF)+(Cvcomp_p*uF)))))))</f>
        <v>#NAME?</v>
      </c>
      <c r="Q130" s="6" t="e">
        <f t="shared" si="16"/>
        <v>#NAME?</v>
      </c>
      <c r="R130" s="6" t="e">
        <f>_XLL.IMPRODUKT((M130),(P130))</f>
        <v>#NAME?</v>
      </c>
      <c r="S130" s="6" t="e">
        <f t="shared" si="17"/>
        <v>#NAME?</v>
      </c>
      <c r="T130" s="42" t="e">
        <f t="shared" si="18"/>
        <v>#NAME?</v>
      </c>
    </row>
    <row r="131" spans="1:20" ht="14.25">
      <c r="A131" s="45">
        <v>2.7</v>
      </c>
      <c r="B131" s="6">
        <f t="shared" si="19"/>
        <v>501.1872336272727</v>
      </c>
      <c r="C131" s="6">
        <f t="shared" si="10"/>
        <v>3149.0522624728624</v>
      </c>
      <c r="D131" s="6" t="e">
        <f>IMDIV((K_1*2.5*Rsense*Vout_nom)/(K_FQ*M_1*(M_2/us)*Lbst*mH),_XLL.IMPRODUKT((_XLL.KOMPLEXE(0,C131*1)),_XLL.KOMPLEXE(1,(C131/(2*PI()*fiavg*kHz)))))</f>
        <v>#NAME?</v>
      </c>
      <c r="E131" s="6" t="e">
        <f t="shared" si="11"/>
        <v>#NAME?</v>
      </c>
      <c r="F131" s="42" t="e">
        <f t="shared" si="20"/>
        <v>#NAME?</v>
      </c>
      <c r="G131" s="46">
        <v>-0.3</v>
      </c>
      <c r="H131" s="47">
        <f t="shared" si="21"/>
        <v>0.5011872336272722</v>
      </c>
      <c r="I131" s="47">
        <f t="shared" si="22"/>
        <v>3.1490522624728596</v>
      </c>
      <c r="J131" s="47">
        <f t="shared" si="12"/>
        <v>0.012441679626749611</v>
      </c>
      <c r="K131" s="47" t="e">
        <f>IMDIV(((M_3/us)*Vout_nom)/(M1M2/us),_XLL.KOMPLEXE(1,(I131/(2*PI()*fPWM_PSpole))))</f>
        <v>#NAME?</v>
      </c>
      <c r="L131" s="6" t="e">
        <f t="shared" si="13"/>
        <v>#NAME?</v>
      </c>
      <c r="M131" s="6" t="e">
        <f>_XLL.IMPRODUKT(J131,K131)</f>
        <v>#NAME?</v>
      </c>
      <c r="N131" s="6" t="e">
        <f t="shared" si="14"/>
        <v>#NAME?</v>
      </c>
      <c r="O131" s="51" t="e">
        <f t="shared" si="15"/>
        <v>#NAME?</v>
      </c>
      <c r="P131" s="45" t="e">
        <f>_XLL.IMPRODUKT(gmv,IMDIV((_XLL.KOMPLEXE(1,I131*(Rvcomp*kOhms)*(Cvcomp*uF))),_XLL.IMPRODUKT((_XLL.KOMPLEXE(0,data!I131*((Cvcomp*uF)+(Cvcomp_p*uF)))),(_XLL.KOMPLEXE(1,I131*((Rvcomp*kOhms)*(Cvcomp*uF)*(Cvcomp_p*uF))/((Cvcomp*uF)+(Cvcomp_p*uF)))))))</f>
        <v>#NAME?</v>
      </c>
      <c r="Q131" s="6" t="e">
        <f t="shared" si="16"/>
        <v>#NAME?</v>
      </c>
      <c r="R131" s="6" t="e">
        <f>_XLL.IMPRODUKT((M131),(P131))</f>
        <v>#NAME?</v>
      </c>
      <c r="S131" s="6" t="e">
        <f t="shared" si="17"/>
        <v>#NAME?</v>
      </c>
      <c r="T131" s="42" t="e">
        <f t="shared" si="18"/>
        <v>#NAME?</v>
      </c>
    </row>
    <row r="132" spans="1:20" ht="14.25">
      <c r="A132" s="45">
        <v>2.8</v>
      </c>
      <c r="B132" s="6">
        <f t="shared" si="19"/>
        <v>630.9573444801932</v>
      </c>
      <c r="C132" s="6">
        <f t="shared" si="10"/>
        <v>3964.421916294999</v>
      </c>
      <c r="D132" s="6" t="e">
        <f>IMDIV((K_1*2.5*Rsense*Vout_nom)/(K_FQ*M_1*(M_2/us)*Lbst*mH),_XLL.IMPRODUKT((_XLL.KOMPLEXE(0,C132*1)),_XLL.KOMPLEXE(1,(C132/(2*PI()*fiavg*kHz)))))</f>
        <v>#NAME?</v>
      </c>
      <c r="E132" s="6" t="e">
        <f t="shared" si="11"/>
        <v>#NAME?</v>
      </c>
      <c r="F132" s="42" t="e">
        <f t="shared" si="20"/>
        <v>#NAME?</v>
      </c>
      <c r="G132" s="46">
        <v>-0.2</v>
      </c>
      <c r="H132" s="47">
        <f t="shared" si="21"/>
        <v>0.6309573444801932</v>
      </c>
      <c r="I132" s="47">
        <f t="shared" si="22"/>
        <v>3.964421916294999</v>
      </c>
      <c r="J132" s="47">
        <f t="shared" si="12"/>
        <v>0.012441679626749611</v>
      </c>
      <c r="K132" s="47" t="e">
        <f>IMDIV(((M_3/us)*Vout_nom)/(M1M2/us),_XLL.KOMPLEXE(1,(I132/(2*PI()*fPWM_PSpole))))</f>
        <v>#NAME?</v>
      </c>
      <c r="L132" s="6" t="e">
        <f t="shared" si="13"/>
        <v>#NAME?</v>
      </c>
      <c r="M132" s="6" t="e">
        <f>_XLL.IMPRODUKT(J132,K132)</f>
        <v>#NAME?</v>
      </c>
      <c r="N132" s="6" t="e">
        <f t="shared" si="14"/>
        <v>#NAME?</v>
      </c>
      <c r="O132" s="51" t="e">
        <f t="shared" si="15"/>
        <v>#NAME?</v>
      </c>
      <c r="P132" s="45" t="e">
        <f>_XLL.IMPRODUKT(gmv,IMDIV((_XLL.KOMPLEXE(1,I132*(Rvcomp*kOhms)*(Cvcomp*uF))),_XLL.IMPRODUKT((_XLL.KOMPLEXE(0,data!I132*((Cvcomp*uF)+(Cvcomp_p*uF)))),(_XLL.KOMPLEXE(1,I132*((Rvcomp*kOhms)*(Cvcomp*uF)*(Cvcomp_p*uF))/((Cvcomp*uF)+(Cvcomp_p*uF)))))))</f>
        <v>#NAME?</v>
      </c>
      <c r="Q132" s="6" t="e">
        <f t="shared" si="16"/>
        <v>#NAME?</v>
      </c>
      <c r="R132" s="6" t="e">
        <f>_XLL.IMPRODUKT((M132),(P132))</f>
        <v>#NAME?</v>
      </c>
      <c r="S132" s="6" t="e">
        <f t="shared" si="17"/>
        <v>#NAME?</v>
      </c>
      <c r="T132" s="42" t="e">
        <f t="shared" si="18"/>
        <v>#NAME?</v>
      </c>
    </row>
    <row r="133" spans="1:20" ht="14.25">
      <c r="A133" s="45">
        <v>2.9</v>
      </c>
      <c r="B133" s="6">
        <f t="shared" si="19"/>
        <v>794.3282347242821</v>
      </c>
      <c r="C133" s="6">
        <f t="shared" si="10"/>
        <v>4990.911493497507</v>
      </c>
      <c r="D133" s="6" t="e">
        <f>IMDIV((K_1*2.5*Rsense*Vout_nom)/(K_FQ*M_1*(M_2/us)*Lbst*mH),_XLL.IMPRODUKT((_XLL.KOMPLEXE(0,C133*1)),_XLL.KOMPLEXE(1,(C133/(2*PI()*fiavg*kHz)))))</f>
        <v>#NAME?</v>
      </c>
      <c r="E133" s="6" t="e">
        <f t="shared" si="11"/>
        <v>#NAME?</v>
      </c>
      <c r="F133" s="42" t="e">
        <f t="shared" si="20"/>
        <v>#NAME?</v>
      </c>
      <c r="G133" s="46">
        <v>-0.1</v>
      </c>
      <c r="H133" s="47">
        <f t="shared" si="21"/>
        <v>0.7943282347242815</v>
      </c>
      <c r="I133" s="47">
        <f t="shared" si="22"/>
        <v>4.990911493497503</v>
      </c>
      <c r="J133" s="47">
        <f t="shared" si="12"/>
        <v>0.012441679626749611</v>
      </c>
      <c r="K133" s="47" t="e">
        <f>IMDIV(((M_3/us)*Vout_nom)/(M1M2/us),_XLL.KOMPLEXE(1,(I133/(2*PI()*fPWM_PSpole))))</f>
        <v>#NAME?</v>
      </c>
      <c r="L133" s="6" t="e">
        <f t="shared" si="13"/>
        <v>#NAME?</v>
      </c>
      <c r="M133" s="6" t="e">
        <f>_XLL.IMPRODUKT(J133,K133)</f>
        <v>#NAME?</v>
      </c>
      <c r="N133" s="6" t="e">
        <f t="shared" si="14"/>
        <v>#NAME?</v>
      </c>
      <c r="O133" s="51" t="e">
        <f t="shared" si="15"/>
        <v>#NAME?</v>
      </c>
      <c r="P133" s="45" t="e">
        <f>_XLL.IMPRODUKT(gmv,IMDIV((_XLL.KOMPLEXE(1,I133*(Rvcomp*kOhms)*(Cvcomp*uF))),_XLL.IMPRODUKT((_XLL.KOMPLEXE(0,data!I133*((Cvcomp*uF)+(Cvcomp_p*uF)))),(_XLL.KOMPLEXE(1,I133*((Rvcomp*kOhms)*(Cvcomp*uF)*(Cvcomp_p*uF))/((Cvcomp*uF)+(Cvcomp_p*uF)))))))</f>
        <v>#NAME?</v>
      </c>
      <c r="Q133" s="6" t="e">
        <f t="shared" si="16"/>
        <v>#NAME?</v>
      </c>
      <c r="R133" s="6" t="e">
        <f>_XLL.IMPRODUKT((M133),(P133))</f>
        <v>#NAME?</v>
      </c>
      <c r="S133" s="6" t="e">
        <f t="shared" si="17"/>
        <v>#NAME?</v>
      </c>
      <c r="T133" s="42" t="e">
        <f t="shared" si="18"/>
        <v>#NAME?</v>
      </c>
    </row>
    <row r="134" spans="1:20" ht="14.25">
      <c r="A134" s="45">
        <v>3</v>
      </c>
      <c r="B134" s="6">
        <f t="shared" si="19"/>
        <v>1000</v>
      </c>
      <c r="C134" s="6">
        <f t="shared" si="10"/>
        <v>6283.185307179586</v>
      </c>
      <c r="D134" s="6" t="e">
        <f>IMDIV((K_1*2.5*Rsense*Vout_nom)/(K_FQ*M_1*(M_2/us)*Lbst*mH),_XLL.IMPRODUKT((_XLL.KOMPLEXE(0,C134*1)),_XLL.KOMPLEXE(1,(C134/(2*PI()*fiavg*kHz)))))</f>
        <v>#NAME?</v>
      </c>
      <c r="E134" s="6" t="e">
        <f t="shared" si="11"/>
        <v>#NAME?</v>
      </c>
      <c r="F134" s="42" t="e">
        <f t="shared" si="20"/>
        <v>#NAME?</v>
      </c>
      <c r="G134" s="46">
        <v>0</v>
      </c>
      <c r="H134" s="47">
        <f t="shared" si="21"/>
        <v>1</v>
      </c>
      <c r="I134" s="47">
        <f t="shared" si="22"/>
        <v>6.283185307179586</v>
      </c>
      <c r="J134" s="47">
        <f t="shared" si="12"/>
        <v>0.012441679626749611</v>
      </c>
      <c r="K134" s="47" t="e">
        <f>IMDIV(((M_3/us)*Vout_nom)/(M1M2/us),_XLL.KOMPLEXE(1,(I134/(2*PI()*fPWM_PSpole))))</f>
        <v>#NAME?</v>
      </c>
      <c r="L134" s="6" t="e">
        <f t="shared" si="13"/>
        <v>#NAME?</v>
      </c>
      <c r="M134" s="6" t="e">
        <f>_XLL.IMPRODUKT(J134,K134)</f>
        <v>#NAME?</v>
      </c>
      <c r="N134" s="6" t="e">
        <f t="shared" si="14"/>
        <v>#NAME?</v>
      </c>
      <c r="O134" s="51" t="e">
        <f t="shared" si="15"/>
        <v>#NAME?</v>
      </c>
      <c r="P134" s="45" t="e">
        <f>_XLL.IMPRODUKT(gmv,IMDIV((_XLL.KOMPLEXE(1,I134*(Rvcomp*kOhms)*(Cvcomp*uF))),_XLL.IMPRODUKT((_XLL.KOMPLEXE(0,data!I134*((Cvcomp*uF)+(Cvcomp_p*uF)))),(_XLL.KOMPLEXE(1,I134*((Rvcomp*kOhms)*(Cvcomp*uF)*(Cvcomp_p*uF))/((Cvcomp*uF)+(Cvcomp_p*uF)))))))</f>
        <v>#NAME?</v>
      </c>
      <c r="Q134" s="6" t="e">
        <f t="shared" si="16"/>
        <v>#NAME?</v>
      </c>
      <c r="R134" s="6" t="e">
        <f>_XLL.IMPRODUKT((M134),(P134))</f>
        <v>#NAME?</v>
      </c>
      <c r="S134" s="6" t="e">
        <f t="shared" si="17"/>
        <v>#NAME?</v>
      </c>
      <c r="T134" s="42" t="e">
        <f t="shared" si="18"/>
        <v>#NAME?</v>
      </c>
    </row>
    <row r="135" spans="1:20" ht="14.25">
      <c r="A135" s="45">
        <v>3.1</v>
      </c>
      <c r="B135" s="6">
        <f t="shared" si="19"/>
        <v>1258.925411794168</v>
      </c>
      <c r="C135" s="6">
        <f t="shared" si="10"/>
        <v>7910.0616502201265</v>
      </c>
      <c r="D135" s="6" t="e">
        <f>IMDIV((K_1*2.5*Rsense*Vout_nom)/(K_FQ*M_1*(M_2/us)*Lbst*mH),_XLL.IMPRODUKT((_XLL.KOMPLEXE(0,C135*1)),_XLL.KOMPLEXE(1,(C135/(2*PI()*fiavg*kHz)))))</f>
        <v>#NAME?</v>
      </c>
      <c r="E135" s="6" t="e">
        <f t="shared" si="11"/>
        <v>#NAME?</v>
      </c>
      <c r="F135" s="42" t="e">
        <f t="shared" si="20"/>
        <v>#NAME?</v>
      </c>
      <c r="G135" s="46">
        <v>0.1</v>
      </c>
      <c r="H135" s="47">
        <f t="shared" si="21"/>
        <v>1.2589254117941673</v>
      </c>
      <c r="I135" s="47">
        <f t="shared" si="22"/>
        <v>7.910061650220122</v>
      </c>
      <c r="J135" s="47">
        <f t="shared" si="12"/>
        <v>0.012441679626749611</v>
      </c>
      <c r="K135" s="47" t="e">
        <f>IMDIV(((M_3/us)*Vout_nom)/(M1M2/us),_XLL.KOMPLEXE(1,(I135/(2*PI()*fPWM_PSpole))))</f>
        <v>#NAME?</v>
      </c>
      <c r="L135" s="6" t="e">
        <f t="shared" si="13"/>
        <v>#NAME?</v>
      </c>
      <c r="M135" s="6" t="e">
        <f>_XLL.IMPRODUKT(J135,K135)</f>
        <v>#NAME?</v>
      </c>
      <c r="N135" s="6" t="e">
        <f t="shared" si="14"/>
        <v>#NAME?</v>
      </c>
      <c r="O135" s="51" t="e">
        <f t="shared" si="15"/>
        <v>#NAME?</v>
      </c>
      <c r="P135" s="45" t="e">
        <f>_XLL.IMPRODUKT(gmv,IMDIV((_XLL.KOMPLEXE(1,I135*(Rvcomp*kOhms)*(Cvcomp*uF))),_XLL.IMPRODUKT((_XLL.KOMPLEXE(0,data!I135*((Cvcomp*uF)+(Cvcomp_p*uF)))),(_XLL.KOMPLEXE(1,I135*((Rvcomp*kOhms)*(Cvcomp*uF)*(Cvcomp_p*uF))/((Cvcomp*uF)+(Cvcomp_p*uF)))))))</f>
        <v>#NAME?</v>
      </c>
      <c r="Q135" s="6" t="e">
        <f t="shared" si="16"/>
        <v>#NAME?</v>
      </c>
      <c r="R135" s="6" t="e">
        <f>_XLL.IMPRODUKT((M135),(P135))</f>
        <v>#NAME?</v>
      </c>
      <c r="S135" s="6" t="e">
        <f t="shared" si="17"/>
        <v>#NAME?</v>
      </c>
      <c r="T135" s="42" t="e">
        <f t="shared" si="18"/>
        <v>#NAME?</v>
      </c>
    </row>
    <row r="136" spans="1:20" ht="14.25">
      <c r="A136" s="45">
        <v>3.2</v>
      </c>
      <c r="B136" s="6">
        <f t="shared" si="19"/>
        <v>1584.8931924611156</v>
      </c>
      <c r="C136" s="6">
        <f t="shared" si="10"/>
        <v>9958.17762032063</v>
      </c>
      <c r="D136" s="6" t="e">
        <f>IMDIV((K_1*2.5*Rsense*Vout_nom)/(K_FQ*M_1*(M_2/us)*Lbst*mH),_XLL.IMPRODUKT((_XLL.KOMPLEXE(0,C136*1)),_XLL.KOMPLEXE(1,(C136/(2*PI()*fiavg*kHz)))))</f>
        <v>#NAME?</v>
      </c>
      <c r="E136" s="6" t="e">
        <f t="shared" si="11"/>
        <v>#NAME?</v>
      </c>
      <c r="F136" s="42" t="e">
        <f t="shared" si="20"/>
        <v>#NAME?</v>
      </c>
      <c r="G136" s="46">
        <v>0.2</v>
      </c>
      <c r="H136" s="47">
        <f t="shared" si="21"/>
        <v>1.5848931924611136</v>
      </c>
      <c r="I136" s="47">
        <f t="shared" si="22"/>
        <v>9.958177620320617</v>
      </c>
      <c r="J136" s="47">
        <f t="shared" si="12"/>
        <v>0.012441679626749611</v>
      </c>
      <c r="K136" s="47" t="e">
        <f>IMDIV(((M_3/us)*Vout_nom)/(M1M2/us),_XLL.KOMPLEXE(1,(I136/(2*PI()*fPWM_PSpole))))</f>
        <v>#NAME?</v>
      </c>
      <c r="L136" s="6" t="e">
        <f t="shared" si="13"/>
        <v>#NAME?</v>
      </c>
      <c r="M136" s="6" t="e">
        <f>_XLL.IMPRODUKT(J136,K136)</f>
        <v>#NAME?</v>
      </c>
      <c r="N136" s="6" t="e">
        <f t="shared" si="14"/>
        <v>#NAME?</v>
      </c>
      <c r="O136" s="51" t="e">
        <f t="shared" si="15"/>
        <v>#NAME?</v>
      </c>
      <c r="P136" s="45" t="e">
        <f>_XLL.IMPRODUKT(gmv,IMDIV((_XLL.KOMPLEXE(1,I136*(Rvcomp*kOhms)*(Cvcomp*uF))),_XLL.IMPRODUKT((_XLL.KOMPLEXE(0,data!I136*((Cvcomp*uF)+(Cvcomp_p*uF)))),(_XLL.KOMPLEXE(1,I136*((Rvcomp*kOhms)*(Cvcomp*uF)*(Cvcomp_p*uF))/((Cvcomp*uF)+(Cvcomp_p*uF)))))))</f>
        <v>#NAME?</v>
      </c>
      <c r="Q136" s="6" t="e">
        <f t="shared" si="16"/>
        <v>#NAME?</v>
      </c>
      <c r="R136" s="6" t="e">
        <f>_XLL.IMPRODUKT((M136),(P136))</f>
        <v>#NAME?</v>
      </c>
      <c r="S136" s="6" t="e">
        <f t="shared" si="17"/>
        <v>#NAME?</v>
      </c>
      <c r="T136" s="42" t="e">
        <f t="shared" si="18"/>
        <v>#NAME?</v>
      </c>
    </row>
    <row r="137" spans="1:20" ht="14.25">
      <c r="A137" s="45">
        <v>3.3</v>
      </c>
      <c r="B137" s="6">
        <f t="shared" si="19"/>
        <v>1995.2623149688804</v>
      </c>
      <c r="C137" s="6">
        <f t="shared" si="10"/>
        <v>12536.602861381598</v>
      </c>
      <c r="D137" s="6" t="e">
        <f>IMDIV((K_1*2.5*Rsense*Vout_nom)/(K_FQ*M_1*(M_2/us)*Lbst*mH),_XLL.IMPRODUKT((_XLL.KOMPLEXE(0,C137*1)),_XLL.KOMPLEXE(1,(C137/(2*PI()*fiavg*kHz)))))</f>
        <v>#NAME?</v>
      </c>
      <c r="E137" s="6" t="e">
        <f t="shared" si="11"/>
        <v>#NAME?</v>
      </c>
      <c r="F137" s="42" t="e">
        <f t="shared" si="20"/>
        <v>#NAME?</v>
      </c>
      <c r="G137" s="46">
        <v>0.3</v>
      </c>
      <c r="H137" s="47">
        <f t="shared" si="21"/>
        <v>1.9952623149688797</v>
      </c>
      <c r="I137" s="47">
        <f t="shared" si="22"/>
        <v>12.536602861381592</v>
      </c>
      <c r="J137" s="47">
        <f t="shared" si="12"/>
        <v>0.012441679626749611</v>
      </c>
      <c r="K137" s="47" t="e">
        <f>IMDIV(((M_3/us)*Vout_nom)/(M1M2/us),_XLL.KOMPLEXE(1,(I137/(2*PI()*fPWM_PSpole))))</f>
        <v>#NAME?</v>
      </c>
      <c r="L137" s="6" t="e">
        <f t="shared" si="13"/>
        <v>#NAME?</v>
      </c>
      <c r="M137" s="6" t="e">
        <f>_XLL.IMPRODUKT(J137,K137)</f>
        <v>#NAME?</v>
      </c>
      <c r="N137" s="6" t="e">
        <f t="shared" si="14"/>
        <v>#NAME?</v>
      </c>
      <c r="O137" s="51" t="e">
        <f t="shared" si="15"/>
        <v>#NAME?</v>
      </c>
      <c r="P137" s="45" t="e">
        <f>_XLL.IMPRODUKT(gmv,IMDIV((_XLL.KOMPLEXE(1,I137*(Rvcomp*kOhms)*(Cvcomp*uF))),_XLL.IMPRODUKT((_XLL.KOMPLEXE(0,data!I137*((Cvcomp*uF)+(Cvcomp_p*uF)))),(_XLL.KOMPLEXE(1,I137*((Rvcomp*kOhms)*(Cvcomp*uF)*(Cvcomp_p*uF))/((Cvcomp*uF)+(Cvcomp_p*uF)))))))</f>
        <v>#NAME?</v>
      </c>
      <c r="Q137" s="6" t="e">
        <f t="shared" si="16"/>
        <v>#NAME?</v>
      </c>
      <c r="R137" s="6" t="e">
        <f>_XLL.IMPRODUKT((M137),(P137))</f>
        <v>#NAME?</v>
      </c>
      <c r="S137" s="6" t="e">
        <f t="shared" si="17"/>
        <v>#NAME?</v>
      </c>
      <c r="T137" s="42" t="e">
        <f t="shared" si="18"/>
        <v>#NAME?</v>
      </c>
    </row>
    <row r="138" spans="1:20" ht="14.25">
      <c r="A138" s="45">
        <v>3.4</v>
      </c>
      <c r="B138" s="6">
        <f t="shared" si="19"/>
        <v>2511.886431509581</v>
      </c>
      <c r="C138" s="6">
        <f t="shared" si="10"/>
        <v>15782.647919764762</v>
      </c>
      <c r="D138" s="6" t="e">
        <f>IMDIV((K_1*2.5*Rsense*Vout_nom)/(K_FQ*M_1*(M_2/us)*Lbst*mH),_XLL.IMPRODUKT((_XLL.KOMPLEXE(0,C138*1)),_XLL.KOMPLEXE(1,(C138/(2*PI()*fiavg*kHz)))))</f>
        <v>#NAME?</v>
      </c>
      <c r="E138" s="6" t="e">
        <f t="shared" si="11"/>
        <v>#NAME?</v>
      </c>
      <c r="F138" s="42" t="e">
        <f t="shared" si="20"/>
        <v>#NAME?</v>
      </c>
      <c r="G138" s="46">
        <v>0.4</v>
      </c>
      <c r="H138" s="47">
        <f t="shared" si="21"/>
        <v>2.5118864315095806</v>
      </c>
      <c r="I138" s="47">
        <f t="shared" si="22"/>
        <v>15.78264791976476</v>
      </c>
      <c r="J138" s="47">
        <f t="shared" si="12"/>
        <v>0.012441679626749611</v>
      </c>
      <c r="K138" s="47" t="e">
        <f>IMDIV(((M_3/us)*Vout_nom)/(M1M2/us),_XLL.KOMPLEXE(1,(I138/(2*PI()*fPWM_PSpole))))</f>
        <v>#NAME?</v>
      </c>
      <c r="L138" s="6" t="e">
        <f t="shared" si="13"/>
        <v>#NAME?</v>
      </c>
      <c r="M138" s="6" t="e">
        <f>_XLL.IMPRODUKT(J138,K138)</f>
        <v>#NAME?</v>
      </c>
      <c r="N138" s="6" t="e">
        <f t="shared" si="14"/>
        <v>#NAME?</v>
      </c>
      <c r="O138" s="51" t="e">
        <f t="shared" si="15"/>
        <v>#NAME?</v>
      </c>
      <c r="P138" s="45" t="e">
        <f>_XLL.IMPRODUKT(gmv,IMDIV((_XLL.KOMPLEXE(1,I138*(Rvcomp*kOhms)*(Cvcomp*uF))),_XLL.IMPRODUKT((_XLL.KOMPLEXE(0,data!I138*((Cvcomp*uF)+(Cvcomp_p*uF)))),(_XLL.KOMPLEXE(1,I138*((Rvcomp*kOhms)*(Cvcomp*uF)*(Cvcomp_p*uF))/((Cvcomp*uF)+(Cvcomp_p*uF)))))))</f>
        <v>#NAME?</v>
      </c>
      <c r="Q138" s="6" t="e">
        <f t="shared" si="16"/>
        <v>#NAME?</v>
      </c>
      <c r="R138" s="6" t="e">
        <f>_XLL.IMPRODUKT((M138),(P138))</f>
        <v>#NAME?</v>
      </c>
      <c r="S138" s="6" t="e">
        <f t="shared" si="17"/>
        <v>#NAME?</v>
      </c>
      <c r="T138" s="42" t="e">
        <f t="shared" si="18"/>
        <v>#NAME?</v>
      </c>
    </row>
    <row r="139" spans="1:20" ht="14.25">
      <c r="A139" s="45">
        <v>3.5</v>
      </c>
      <c r="B139" s="6">
        <f t="shared" si="19"/>
        <v>3162.2776601683804</v>
      </c>
      <c r="C139" s="6">
        <f t="shared" si="10"/>
        <v>19869.17653159221</v>
      </c>
      <c r="D139" s="6" t="e">
        <f>IMDIV((K_1*2.5*Rsense*Vout_nom)/(K_FQ*M_1*(M_2/us)*Lbst*mH),_XLL.IMPRODUKT((_XLL.KOMPLEXE(0,C139*1)),_XLL.KOMPLEXE(1,(C139/(2*PI()*fiavg*kHz)))))</f>
        <v>#NAME?</v>
      </c>
      <c r="E139" s="6" t="e">
        <f t="shared" si="11"/>
        <v>#NAME?</v>
      </c>
      <c r="F139" s="42" t="e">
        <f t="shared" si="20"/>
        <v>#NAME?</v>
      </c>
      <c r="G139" s="46">
        <v>0.5</v>
      </c>
      <c r="H139" s="47">
        <f t="shared" si="21"/>
        <v>3.1622776601683795</v>
      </c>
      <c r="I139" s="47">
        <f t="shared" si="22"/>
        <v>19.869176531592203</v>
      </c>
      <c r="J139" s="47">
        <f t="shared" si="12"/>
        <v>0.012441679626749611</v>
      </c>
      <c r="K139" s="47" t="e">
        <f>IMDIV(((M_3/us)*Vout_nom)/(M1M2/us),_XLL.KOMPLEXE(1,(I139/(2*PI()*fPWM_PSpole))))</f>
        <v>#NAME?</v>
      </c>
      <c r="L139" s="6" t="e">
        <f t="shared" si="13"/>
        <v>#NAME?</v>
      </c>
      <c r="M139" s="6" t="e">
        <f>_XLL.IMPRODUKT(J139,K139)</f>
        <v>#NAME?</v>
      </c>
      <c r="N139" s="6" t="e">
        <f t="shared" si="14"/>
        <v>#NAME?</v>
      </c>
      <c r="O139" s="51" t="e">
        <f t="shared" si="15"/>
        <v>#NAME?</v>
      </c>
      <c r="P139" s="45" t="e">
        <f>_XLL.IMPRODUKT(gmv,IMDIV((_XLL.KOMPLEXE(1,I139*(Rvcomp*kOhms)*(Cvcomp*uF))),_XLL.IMPRODUKT((_XLL.KOMPLEXE(0,data!I139*((Cvcomp*uF)+(Cvcomp_p*uF)))),(_XLL.KOMPLEXE(1,I139*((Rvcomp*kOhms)*(Cvcomp*uF)*(Cvcomp_p*uF))/((Cvcomp*uF)+(Cvcomp_p*uF)))))))</f>
        <v>#NAME?</v>
      </c>
      <c r="Q139" s="6" t="e">
        <f t="shared" si="16"/>
        <v>#NAME?</v>
      </c>
      <c r="R139" s="6" t="e">
        <f>_XLL.IMPRODUKT((M139),(P139))</f>
        <v>#NAME?</v>
      </c>
      <c r="S139" s="6" t="e">
        <f t="shared" si="17"/>
        <v>#NAME?</v>
      </c>
      <c r="T139" s="42" t="e">
        <f t="shared" si="18"/>
        <v>#NAME?</v>
      </c>
    </row>
    <row r="140" spans="1:20" ht="14.25">
      <c r="A140" s="45">
        <v>3.6</v>
      </c>
      <c r="B140" s="6">
        <f t="shared" si="19"/>
        <v>3981.071705534977</v>
      </c>
      <c r="C140" s="6">
        <f t="shared" si="10"/>
        <v>25013.81124704574</v>
      </c>
      <c r="D140" s="6" t="e">
        <f>IMDIV((K_1*2.5*Rsense*Vout_nom)/(K_FQ*M_1*(M_2/us)*Lbst*mH),_XLL.IMPRODUKT((_XLL.KOMPLEXE(0,C140*1)),_XLL.KOMPLEXE(1,(C140/(2*PI()*fiavg*kHz)))))</f>
        <v>#NAME?</v>
      </c>
      <c r="E140" s="6" t="e">
        <f t="shared" si="11"/>
        <v>#NAME?</v>
      </c>
      <c r="F140" s="42" t="e">
        <f t="shared" si="20"/>
        <v>#NAME?</v>
      </c>
      <c r="G140" s="46">
        <v>0.6</v>
      </c>
      <c r="H140" s="47">
        <f t="shared" si="21"/>
        <v>3.9810717055349727</v>
      </c>
      <c r="I140" s="47">
        <f t="shared" si="22"/>
        <v>25.013811247045716</v>
      </c>
      <c r="J140" s="47">
        <f t="shared" si="12"/>
        <v>0.012441679626749611</v>
      </c>
      <c r="K140" s="47" t="e">
        <f>IMDIV(((M_3/us)*Vout_nom)/(M1M2/us),_XLL.KOMPLEXE(1,(I140/(2*PI()*fPWM_PSpole))))</f>
        <v>#NAME?</v>
      </c>
      <c r="L140" s="6" t="e">
        <f t="shared" si="13"/>
        <v>#NAME?</v>
      </c>
      <c r="M140" s="6" t="e">
        <f>_XLL.IMPRODUKT(J140,K140)</f>
        <v>#NAME?</v>
      </c>
      <c r="N140" s="6" t="e">
        <f t="shared" si="14"/>
        <v>#NAME?</v>
      </c>
      <c r="O140" s="51" t="e">
        <f t="shared" si="15"/>
        <v>#NAME?</v>
      </c>
      <c r="P140" s="45" t="e">
        <f>_XLL.IMPRODUKT(gmv,IMDIV((_XLL.KOMPLEXE(1,I140*(Rvcomp*kOhms)*(Cvcomp*uF))),_XLL.IMPRODUKT((_XLL.KOMPLEXE(0,data!I140*((Cvcomp*uF)+(Cvcomp_p*uF)))),(_XLL.KOMPLEXE(1,I140*((Rvcomp*kOhms)*(Cvcomp*uF)*(Cvcomp_p*uF))/((Cvcomp*uF)+(Cvcomp_p*uF)))))))</f>
        <v>#NAME?</v>
      </c>
      <c r="Q140" s="6" t="e">
        <f t="shared" si="16"/>
        <v>#NAME?</v>
      </c>
      <c r="R140" s="6" t="e">
        <f>_XLL.IMPRODUKT((M140),(P140))</f>
        <v>#NAME?</v>
      </c>
      <c r="S140" s="6" t="e">
        <f t="shared" si="17"/>
        <v>#NAME?</v>
      </c>
      <c r="T140" s="42" t="e">
        <f t="shared" si="18"/>
        <v>#NAME?</v>
      </c>
    </row>
    <row r="141" spans="1:20" ht="14.25">
      <c r="A141" s="45">
        <v>3.7</v>
      </c>
      <c r="B141" s="6">
        <f t="shared" si="19"/>
        <v>5011.872336272732</v>
      </c>
      <c r="C141" s="6">
        <f t="shared" si="10"/>
        <v>31490.52262472866</v>
      </c>
      <c r="D141" s="6" t="e">
        <f>IMDIV((K_1*2.5*Rsense*Vout_nom)/(K_FQ*M_1*(M_2/us)*Lbst*mH),_XLL.IMPRODUKT((_XLL.KOMPLEXE(0,C141*1)),_XLL.KOMPLEXE(1,(C141/(2*PI()*fiavg*kHz)))))</f>
        <v>#NAME?</v>
      </c>
      <c r="E141" s="6" t="e">
        <f t="shared" si="11"/>
        <v>#NAME?</v>
      </c>
      <c r="F141" s="42" t="e">
        <f t="shared" si="20"/>
        <v>#NAME?</v>
      </c>
      <c r="G141" s="46">
        <v>0.7</v>
      </c>
      <c r="H141" s="47">
        <f t="shared" si="21"/>
        <v>5.011872336272723</v>
      </c>
      <c r="I141" s="47">
        <f t="shared" si="22"/>
        <v>31.490522624728598</v>
      </c>
      <c r="J141" s="47">
        <f t="shared" si="12"/>
        <v>0.012441679626749611</v>
      </c>
      <c r="K141" s="47" t="e">
        <f>IMDIV(((M_3/us)*Vout_nom)/(M1M2/us),_XLL.KOMPLEXE(1,(I141/(2*PI()*fPWM_PSpole))))</f>
        <v>#NAME?</v>
      </c>
      <c r="L141" s="6" t="e">
        <f t="shared" si="13"/>
        <v>#NAME?</v>
      </c>
      <c r="M141" s="6" t="e">
        <f>_XLL.IMPRODUKT(J141,K141)</f>
        <v>#NAME?</v>
      </c>
      <c r="N141" s="6" t="e">
        <f t="shared" si="14"/>
        <v>#NAME?</v>
      </c>
      <c r="O141" s="51" t="e">
        <f t="shared" si="15"/>
        <v>#NAME?</v>
      </c>
      <c r="P141" s="45" t="e">
        <f>_XLL.IMPRODUKT(gmv,IMDIV((_XLL.KOMPLEXE(1,I141*(Rvcomp*kOhms)*(Cvcomp*uF))),_XLL.IMPRODUKT((_XLL.KOMPLEXE(0,data!I141*((Cvcomp*uF)+(Cvcomp_p*uF)))),(_XLL.KOMPLEXE(1,I141*((Rvcomp*kOhms)*(Cvcomp*uF)*(Cvcomp_p*uF))/((Cvcomp*uF)+(Cvcomp_p*uF)))))))</f>
        <v>#NAME?</v>
      </c>
      <c r="Q141" s="6" t="e">
        <f t="shared" si="16"/>
        <v>#NAME?</v>
      </c>
      <c r="R141" s="6" t="e">
        <f>_XLL.IMPRODUKT((M141),(P141))</f>
        <v>#NAME?</v>
      </c>
      <c r="S141" s="6" t="e">
        <f t="shared" si="17"/>
        <v>#NAME?</v>
      </c>
      <c r="T141" s="42" t="e">
        <f t="shared" si="18"/>
        <v>#NAME?</v>
      </c>
    </row>
    <row r="142" spans="1:20" ht="14.25">
      <c r="A142" s="45">
        <v>3.8</v>
      </c>
      <c r="B142" s="6">
        <f t="shared" si="19"/>
        <v>6309.573444801938</v>
      </c>
      <c r="C142" s="6">
        <f t="shared" si="10"/>
        <v>39644.21916295003</v>
      </c>
      <c r="D142" s="6" t="e">
        <f>IMDIV((K_1*2.5*Rsense*Vout_nom)/(K_FQ*M_1*(M_2/us)*Lbst*mH),_XLL.IMPRODUKT((_XLL.KOMPLEXE(0,C142*1)),_XLL.KOMPLEXE(1,(C142/(2*PI()*fiavg*kHz)))))</f>
        <v>#NAME?</v>
      </c>
      <c r="E142" s="6" t="e">
        <f t="shared" si="11"/>
        <v>#NAME?</v>
      </c>
      <c r="F142" s="42" t="e">
        <f t="shared" si="20"/>
        <v>#NAME?</v>
      </c>
      <c r="G142" s="46">
        <v>0.8</v>
      </c>
      <c r="H142" s="47">
        <f t="shared" si="21"/>
        <v>6.309573444801934</v>
      </c>
      <c r="I142" s="47">
        <f t="shared" si="22"/>
        <v>39.64421916295</v>
      </c>
      <c r="J142" s="47">
        <f t="shared" si="12"/>
        <v>0.012441679626749611</v>
      </c>
      <c r="K142" s="47" t="e">
        <f>IMDIV(((M_3/us)*Vout_nom)/(M1M2/us),_XLL.KOMPLEXE(1,(I142/(2*PI()*fPWM_PSpole))))</f>
        <v>#NAME?</v>
      </c>
      <c r="L142" s="6" t="e">
        <f t="shared" si="13"/>
        <v>#NAME?</v>
      </c>
      <c r="M142" s="6" t="e">
        <f>_XLL.IMPRODUKT(J142,K142)</f>
        <v>#NAME?</v>
      </c>
      <c r="N142" s="6" t="e">
        <f t="shared" si="14"/>
        <v>#NAME?</v>
      </c>
      <c r="O142" s="51" t="e">
        <f t="shared" si="15"/>
        <v>#NAME?</v>
      </c>
      <c r="P142" s="45" t="e">
        <f>_XLL.IMPRODUKT(gmv,IMDIV((_XLL.KOMPLEXE(1,I142*(Rvcomp*kOhms)*(Cvcomp*uF))),_XLL.IMPRODUKT((_XLL.KOMPLEXE(0,data!I142*((Cvcomp*uF)+(Cvcomp_p*uF)))),(_XLL.KOMPLEXE(1,I142*((Rvcomp*kOhms)*(Cvcomp*uF)*(Cvcomp_p*uF))/((Cvcomp*uF)+(Cvcomp_p*uF)))))))</f>
        <v>#NAME?</v>
      </c>
      <c r="Q142" s="6" t="e">
        <f t="shared" si="16"/>
        <v>#NAME?</v>
      </c>
      <c r="R142" s="6" t="e">
        <f>_XLL.IMPRODUKT((M142),(P142))</f>
        <v>#NAME?</v>
      </c>
      <c r="S142" s="6" t="e">
        <f t="shared" si="17"/>
        <v>#NAME?</v>
      </c>
      <c r="T142" s="42" t="e">
        <f t="shared" si="18"/>
        <v>#NAME?</v>
      </c>
    </row>
    <row r="143" spans="1:20" ht="14.25">
      <c r="A143" s="45">
        <v>3.9</v>
      </c>
      <c r="B143" s="6">
        <f t="shared" si="19"/>
        <v>7943.282347242815</v>
      </c>
      <c r="C143" s="6">
        <f t="shared" si="10"/>
        <v>49909.114934975034</v>
      </c>
      <c r="D143" s="6" t="e">
        <f>IMDIV((K_1*2.5*Rsense*Vout_nom)/(K_FQ*M_1*(M_2/us)*Lbst*mH),_XLL.IMPRODUKT((_XLL.KOMPLEXE(0,C143*1)),_XLL.KOMPLEXE(1,(C143/(2*PI()*fiavg*kHz)))))</f>
        <v>#NAME?</v>
      </c>
      <c r="E143" s="6" t="e">
        <f t="shared" si="11"/>
        <v>#NAME?</v>
      </c>
      <c r="F143" s="42" t="e">
        <f t="shared" si="20"/>
        <v>#NAME?</v>
      </c>
      <c r="G143" s="46">
        <v>0.9</v>
      </c>
      <c r="H143" s="47">
        <f t="shared" si="21"/>
        <v>7.943282347242818</v>
      </c>
      <c r="I143" s="47">
        <f t="shared" si="22"/>
        <v>49.90911493497505</v>
      </c>
      <c r="J143" s="47">
        <f t="shared" si="12"/>
        <v>0.012441679626749611</v>
      </c>
      <c r="K143" s="47" t="e">
        <f>IMDIV(((M_3/us)*Vout_nom)/(M1M2/us),_XLL.KOMPLEXE(1,(I143/(2*PI()*fPWM_PSpole))))</f>
        <v>#NAME?</v>
      </c>
      <c r="L143" s="6" t="e">
        <f t="shared" si="13"/>
        <v>#NAME?</v>
      </c>
      <c r="M143" s="6" t="e">
        <f>_XLL.IMPRODUKT(J143,K143)</f>
        <v>#NAME?</v>
      </c>
      <c r="N143" s="6" t="e">
        <f t="shared" si="14"/>
        <v>#NAME?</v>
      </c>
      <c r="O143" s="51" t="e">
        <f t="shared" si="15"/>
        <v>#NAME?</v>
      </c>
      <c r="P143" s="45" t="e">
        <f>_XLL.IMPRODUKT(gmv,IMDIV((_XLL.KOMPLEXE(1,I143*(Rvcomp*kOhms)*(Cvcomp*uF))),_XLL.IMPRODUKT((_XLL.KOMPLEXE(0,data!I143*((Cvcomp*uF)+(Cvcomp_p*uF)))),(_XLL.KOMPLEXE(1,I143*((Rvcomp*kOhms)*(Cvcomp*uF)*(Cvcomp_p*uF))/((Cvcomp*uF)+(Cvcomp_p*uF)))))))</f>
        <v>#NAME?</v>
      </c>
      <c r="Q143" s="6" t="e">
        <f t="shared" si="16"/>
        <v>#NAME?</v>
      </c>
      <c r="R143" s="6" t="e">
        <f>_XLL.IMPRODUKT((M143),(P143))</f>
        <v>#NAME?</v>
      </c>
      <c r="S143" s="6" t="e">
        <f t="shared" si="17"/>
        <v>#NAME?</v>
      </c>
      <c r="T143" s="42" t="e">
        <f t="shared" si="18"/>
        <v>#NAME?</v>
      </c>
    </row>
    <row r="144" spans="1:20" ht="14.25">
      <c r="A144" s="45">
        <v>4</v>
      </c>
      <c r="B144" s="6">
        <f t="shared" si="19"/>
        <v>10000</v>
      </c>
      <c r="C144" s="6">
        <f t="shared" si="10"/>
        <v>62831.853071795864</v>
      </c>
      <c r="D144" s="6" t="e">
        <f>IMDIV((K_1*2.5*Rsense*Vout_nom)/(K_FQ*M_1*(M_2/us)*Lbst*mH),_XLL.IMPRODUKT((_XLL.KOMPLEXE(0,C144*1)),_XLL.KOMPLEXE(1,(C144/(2*PI()*fiavg*kHz)))))</f>
        <v>#NAME?</v>
      </c>
      <c r="E144" s="6" t="e">
        <f t="shared" si="11"/>
        <v>#NAME?</v>
      </c>
      <c r="F144" s="42" t="e">
        <f t="shared" si="20"/>
        <v>#NAME?</v>
      </c>
      <c r="G144" s="52">
        <v>1</v>
      </c>
      <c r="H144" s="53">
        <f t="shared" si="21"/>
        <v>10</v>
      </c>
      <c r="I144" s="53">
        <f t="shared" si="22"/>
        <v>62.83185307179586</v>
      </c>
      <c r="J144" s="47">
        <f t="shared" si="12"/>
        <v>0.012441679626749611</v>
      </c>
      <c r="K144" s="47" t="e">
        <f>IMDIV(((M_3/us)*Vout_nom)/(M1M2/us),_XLL.KOMPLEXE(1,(I144/(2*PI()*fPWM_PSpole))))</f>
        <v>#NAME?</v>
      </c>
      <c r="L144" s="50" t="e">
        <f t="shared" si="13"/>
        <v>#NAME?</v>
      </c>
      <c r="M144" s="50" t="e">
        <f>_XLL.IMPRODUKT(J144,K144)</f>
        <v>#NAME?</v>
      </c>
      <c r="N144" s="50" t="e">
        <f t="shared" si="14"/>
        <v>#NAME?</v>
      </c>
      <c r="O144" s="51" t="e">
        <f t="shared" si="15"/>
        <v>#NAME?</v>
      </c>
      <c r="P144" s="45" t="e">
        <f>_XLL.IMPRODUKT(gmv,IMDIV((_XLL.KOMPLEXE(1,I144*(Rvcomp*kOhms)*(Cvcomp*uF))),_XLL.IMPRODUKT((_XLL.KOMPLEXE(0,data!I144*((Cvcomp*uF)+(Cvcomp_p*uF)))),(_XLL.KOMPLEXE(1,I144*((Rvcomp*kOhms)*(Cvcomp*uF)*(Cvcomp_p*uF))/((Cvcomp*uF)+(Cvcomp_p*uF)))))))</f>
        <v>#NAME?</v>
      </c>
      <c r="Q144" s="6" t="e">
        <f t="shared" si="16"/>
        <v>#NAME?</v>
      </c>
      <c r="R144" s="6" t="e">
        <f>_XLL.IMPRODUKT((M144),(P144))</f>
        <v>#NAME?</v>
      </c>
      <c r="S144" s="6" t="e">
        <f t="shared" si="17"/>
        <v>#NAME?</v>
      </c>
      <c r="T144" s="42" t="e">
        <f t="shared" si="18"/>
        <v>#NAME?</v>
      </c>
    </row>
    <row r="145" spans="1:20" ht="14.25">
      <c r="A145" s="45">
        <v>4.1</v>
      </c>
      <c r="B145" s="6">
        <f t="shared" si="19"/>
        <v>12589.254117941671</v>
      </c>
      <c r="C145" s="6">
        <f t="shared" si="10"/>
        <v>79100.61650220121</v>
      </c>
      <c r="D145" s="6" t="e">
        <f>IMDIV((K_1*2.5*Rsense*Vout_nom)/(K_FQ*M_1*(M_2/us)*Lbst*mH),_XLL.IMPRODUKT((_XLL.KOMPLEXE(0,C145*1)),_XLL.KOMPLEXE(1,(C145/(2*PI()*fiavg*kHz)))))</f>
        <v>#NAME?</v>
      </c>
      <c r="E145" s="6" t="e">
        <f t="shared" si="11"/>
        <v>#NAME?</v>
      </c>
      <c r="F145" s="42" t="e">
        <f t="shared" si="20"/>
        <v>#NAME?</v>
      </c>
      <c r="G145" s="46">
        <v>1.1</v>
      </c>
      <c r="H145" s="47">
        <f t="shared" si="21"/>
        <v>12.58925411794168</v>
      </c>
      <c r="I145" s="47">
        <f t="shared" si="22"/>
        <v>79.10061650220126</v>
      </c>
      <c r="J145" s="47">
        <f t="shared" si="12"/>
        <v>0.012441679626749611</v>
      </c>
      <c r="K145" s="47" t="e">
        <f>IMDIV(((M_3/us)*Vout_nom)/(M1M2/us),_XLL.KOMPLEXE(1,(I145/(2*PI()*fPWM_PSpole))))</f>
        <v>#NAME?</v>
      </c>
      <c r="L145" s="6" t="e">
        <f t="shared" si="13"/>
        <v>#NAME?</v>
      </c>
      <c r="M145" s="6" t="e">
        <f>_XLL.IMPRODUKT(J145,K145)</f>
        <v>#NAME?</v>
      </c>
      <c r="N145" s="6" t="e">
        <f t="shared" si="14"/>
        <v>#NAME?</v>
      </c>
      <c r="O145" s="51" t="e">
        <f t="shared" si="15"/>
        <v>#NAME?</v>
      </c>
      <c r="P145" s="45" t="e">
        <f>_XLL.IMPRODUKT(gmv,IMDIV((_XLL.KOMPLEXE(1,I145*(Rvcomp*kOhms)*(Cvcomp*uF))),_XLL.IMPRODUKT((_XLL.KOMPLEXE(0,data!I145*((Cvcomp*uF)+(Cvcomp_p*uF)))),(_XLL.KOMPLEXE(1,I145*((Rvcomp*kOhms)*(Cvcomp*uF)*(Cvcomp_p*uF))/((Cvcomp*uF)+(Cvcomp_p*uF)))))))</f>
        <v>#NAME?</v>
      </c>
      <c r="Q145" s="6" t="e">
        <f t="shared" si="16"/>
        <v>#NAME?</v>
      </c>
      <c r="R145" s="6" t="e">
        <f>_XLL.IMPRODUKT((M145),(P145))</f>
        <v>#NAME?</v>
      </c>
      <c r="S145" s="6" t="e">
        <f t="shared" si="17"/>
        <v>#NAME?</v>
      </c>
      <c r="T145" s="42" t="e">
        <f t="shared" si="18"/>
        <v>#NAME?</v>
      </c>
    </row>
    <row r="146" spans="1:20" ht="14.25">
      <c r="A146" s="45">
        <v>4.2</v>
      </c>
      <c r="B146" s="6">
        <f t="shared" si="19"/>
        <v>15848.931924611146</v>
      </c>
      <c r="C146" s="6">
        <f aca="true" t="shared" si="23" ref="C146:C164">2*PI()*B146</f>
        <v>99581.77620320623</v>
      </c>
      <c r="D146" s="6" t="e">
        <f>IMDIV((K_1*2.5*Rsense*Vout_nom)/(K_FQ*M_1*(M_2/us)*Lbst*mH),_XLL.IMPRODUKT((_XLL.KOMPLEXE(0,C146*1)),_XLL.KOMPLEXE(1,(C146/(2*PI()*fiavg*kHz)))))</f>
        <v>#NAME?</v>
      </c>
      <c r="E146" s="6" t="e">
        <f aca="true" t="shared" si="24" ref="E146:E164">20*LOG(IMABS(D146))</f>
        <v>#NAME?</v>
      </c>
      <c r="F146" s="42" t="e">
        <f aca="true" t="shared" si="25" ref="F146:F164">180/PI()*IMARGUMENT(D146)</f>
        <v>#NAME?</v>
      </c>
      <c r="G146" s="46">
        <v>1.2</v>
      </c>
      <c r="H146" s="47">
        <f t="shared" si="21"/>
        <v>15.848931924611136</v>
      </c>
      <c r="I146" s="47">
        <f t="shared" si="22"/>
        <v>99.58177620320618</v>
      </c>
      <c r="J146" s="47">
        <f aca="true" t="shared" si="26" ref="J146:J174">(R_fb2*kOhms)/((R_fb1*MegOhm)+(R_fb2*kOhms))</f>
        <v>0.012441679626749611</v>
      </c>
      <c r="K146" s="47" t="e">
        <f>IMDIV(((M_3/us)*Vout_nom)/(M1M2/us),_XLL.KOMPLEXE(1,(I146/(2*PI()*fPWM_PSpole))))</f>
        <v>#NAME?</v>
      </c>
      <c r="L146" s="6" t="e">
        <f aca="true" t="shared" si="27" ref="L146:L174">20*LOG(IMABS(K146))</f>
        <v>#NAME?</v>
      </c>
      <c r="M146" s="6" t="e">
        <f>_XLL.IMPRODUKT(J146,K146)</f>
        <v>#NAME?</v>
      </c>
      <c r="N146" s="6" t="e">
        <f aca="true" t="shared" si="28" ref="N146:N174">20*LOG(IMABS(M146))</f>
        <v>#NAME?</v>
      </c>
      <c r="O146" s="51" t="e">
        <f aca="true" t="shared" si="29" ref="O146:O174">180/PI()*IMARGUMENT(M146)</f>
        <v>#NAME?</v>
      </c>
      <c r="P146" s="45" t="e">
        <f>_XLL.IMPRODUKT(gmv,IMDIV((_XLL.KOMPLEXE(1,I146*(Rvcomp*kOhms)*(Cvcomp*uF))),_XLL.IMPRODUKT((_XLL.KOMPLEXE(0,data!I146*((Cvcomp*uF)+(Cvcomp_p*uF)))),(_XLL.KOMPLEXE(1,I146*((Rvcomp*kOhms)*(Cvcomp*uF)*(Cvcomp_p*uF))/((Cvcomp*uF)+(Cvcomp_p*uF)))))))</f>
        <v>#NAME?</v>
      </c>
      <c r="Q146" s="6" t="e">
        <f aca="true" t="shared" si="30" ref="Q146:Q174">20*LOG(IMABS(P146))</f>
        <v>#NAME?</v>
      </c>
      <c r="R146" s="6" t="e">
        <f>_XLL.IMPRODUKT((M146),(P146))</f>
        <v>#NAME?</v>
      </c>
      <c r="S146" s="6" t="e">
        <f aca="true" t="shared" si="31" ref="S146:S174">20*LOG(IMABS(R146))</f>
        <v>#NAME?</v>
      </c>
      <c r="T146" s="42" t="e">
        <f aca="true" t="shared" si="32" ref="T146:T174">(180/PI()*IMARGUMENT(R146))+180</f>
        <v>#NAME?</v>
      </c>
    </row>
    <row r="147" spans="1:20" ht="14.25">
      <c r="A147" s="45">
        <v>4.3</v>
      </c>
      <c r="B147" s="6">
        <f t="shared" si="19"/>
        <v>19952.623149688792</v>
      </c>
      <c r="C147" s="6">
        <f t="shared" si="23"/>
        <v>125366.0286138159</v>
      </c>
      <c r="D147" s="6" t="e">
        <f>IMDIV((K_1*2.5*Rsense*Vout_nom)/(K_FQ*M_1*(M_2/us)*Lbst*mH),_XLL.IMPRODUKT((_XLL.KOMPLEXE(0,C147*1)),_XLL.KOMPLEXE(1,(C147/(2*PI()*fiavg*kHz)))))</f>
        <v>#NAME?</v>
      </c>
      <c r="E147" s="6" t="e">
        <f t="shared" si="24"/>
        <v>#NAME?</v>
      </c>
      <c r="F147" s="42" t="e">
        <f t="shared" si="25"/>
        <v>#NAME?</v>
      </c>
      <c r="G147" s="46">
        <v>1.3</v>
      </c>
      <c r="H147" s="47">
        <f t="shared" si="21"/>
        <v>19.952623149688804</v>
      </c>
      <c r="I147" s="47">
        <f t="shared" si="22"/>
        <v>125.36602861381597</v>
      </c>
      <c r="J147" s="47">
        <f t="shared" si="26"/>
        <v>0.012441679626749611</v>
      </c>
      <c r="K147" s="47" t="e">
        <f>IMDIV(((M_3/us)*Vout_nom)/(M1M2/us),_XLL.KOMPLEXE(1,(I147/(2*PI()*fPWM_PSpole))))</f>
        <v>#NAME?</v>
      </c>
      <c r="L147" s="6" t="e">
        <f t="shared" si="27"/>
        <v>#NAME?</v>
      </c>
      <c r="M147" s="6" t="e">
        <f>_XLL.IMPRODUKT(J147,K147)</f>
        <v>#NAME?</v>
      </c>
      <c r="N147" s="6" t="e">
        <f t="shared" si="28"/>
        <v>#NAME?</v>
      </c>
      <c r="O147" s="51" t="e">
        <f t="shared" si="29"/>
        <v>#NAME?</v>
      </c>
      <c r="P147" s="45" t="e">
        <f>_XLL.IMPRODUKT(gmv,IMDIV((_XLL.KOMPLEXE(1,I147*(Rvcomp*kOhms)*(Cvcomp*uF))),_XLL.IMPRODUKT((_XLL.KOMPLEXE(0,data!I147*((Cvcomp*uF)+(Cvcomp_p*uF)))),(_XLL.KOMPLEXE(1,I147*((Rvcomp*kOhms)*(Cvcomp*uF)*(Cvcomp_p*uF))/((Cvcomp*uF)+(Cvcomp_p*uF)))))))</f>
        <v>#NAME?</v>
      </c>
      <c r="Q147" s="6" t="e">
        <f t="shared" si="30"/>
        <v>#NAME?</v>
      </c>
      <c r="R147" s="6" t="e">
        <f>_XLL.IMPRODUKT((M147),(P147))</f>
        <v>#NAME?</v>
      </c>
      <c r="S147" s="6" t="e">
        <f t="shared" si="31"/>
        <v>#NAME?</v>
      </c>
      <c r="T147" s="42" t="e">
        <f t="shared" si="32"/>
        <v>#NAME?</v>
      </c>
    </row>
    <row r="148" spans="1:20" ht="14.25">
      <c r="A148" s="45">
        <v>4.4</v>
      </c>
      <c r="B148" s="6">
        <f t="shared" si="19"/>
        <v>25118.86431509586</v>
      </c>
      <c r="C148" s="6">
        <f t="shared" si="23"/>
        <v>157826.47919764792</v>
      </c>
      <c r="D148" s="6" t="e">
        <f>IMDIV((K_1*2.5*Rsense*Vout_nom)/(K_FQ*M_1*(M_2/us)*Lbst*mH),_XLL.IMPRODUKT((_XLL.KOMPLEXE(0,C148*1)),_XLL.KOMPLEXE(1,(C148/(2*PI()*fiavg*kHz)))))</f>
        <v>#NAME?</v>
      </c>
      <c r="E148" s="6" t="e">
        <f t="shared" si="24"/>
        <v>#NAME?</v>
      </c>
      <c r="F148" s="42" t="e">
        <f t="shared" si="25"/>
        <v>#NAME?</v>
      </c>
      <c r="G148" s="46">
        <v>1.4</v>
      </c>
      <c r="H148" s="47">
        <f t="shared" si="21"/>
        <v>25.1188643150958</v>
      </c>
      <c r="I148" s="47">
        <f t="shared" si="22"/>
        <v>157.82647919764753</v>
      </c>
      <c r="J148" s="47">
        <f t="shared" si="26"/>
        <v>0.012441679626749611</v>
      </c>
      <c r="K148" s="47" t="e">
        <f>IMDIV(((M_3/us)*Vout_nom)/(M1M2/us),_XLL.KOMPLEXE(1,(I148/(2*PI()*fPWM_PSpole))))</f>
        <v>#NAME?</v>
      </c>
      <c r="L148" s="6" t="e">
        <f t="shared" si="27"/>
        <v>#NAME?</v>
      </c>
      <c r="M148" s="6" t="e">
        <f>_XLL.IMPRODUKT(J148,K148)</f>
        <v>#NAME?</v>
      </c>
      <c r="N148" s="6" t="e">
        <f t="shared" si="28"/>
        <v>#NAME?</v>
      </c>
      <c r="O148" s="51" t="e">
        <f t="shared" si="29"/>
        <v>#NAME?</v>
      </c>
      <c r="P148" s="45" t="e">
        <f>_XLL.IMPRODUKT(gmv,IMDIV((_XLL.KOMPLEXE(1,I148*(Rvcomp*kOhms)*(Cvcomp*uF))),_XLL.IMPRODUKT((_XLL.KOMPLEXE(0,data!I148*((Cvcomp*uF)+(Cvcomp_p*uF)))),(_XLL.KOMPLEXE(1,I148*((Rvcomp*kOhms)*(Cvcomp*uF)*(Cvcomp_p*uF))/((Cvcomp*uF)+(Cvcomp_p*uF)))))))</f>
        <v>#NAME?</v>
      </c>
      <c r="Q148" s="6" t="e">
        <f t="shared" si="30"/>
        <v>#NAME?</v>
      </c>
      <c r="R148" s="6" t="e">
        <f>_XLL.IMPRODUKT((M148),(P148))</f>
        <v>#NAME?</v>
      </c>
      <c r="S148" s="6" t="e">
        <f t="shared" si="31"/>
        <v>#NAME?</v>
      </c>
      <c r="T148" s="42" t="e">
        <f t="shared" si="32"/>
        <v>#NAME?</v>
      </c>
    </row>
    <row r="149" spans="1:20" ht="14.25">
      <c r="A149" s="45">
        <v>4.5</v>
      </c>
      <c r="B149" s="6">
        <f t="shared" si="19"/>
        <v>31622.77660168384</v>
      </c>
      <c r="C149" s="6">
        <f t="shared" si="23"/>
        <v>198691.7653159223</v>
      </c>
      <c r="D149" s="6" t="e">
        <f>IMDIV((K_1*2.5*Rsense*Vout_nom)/(K_FQ*M_1*(M_2/us)*Lbst*mH),_XLL.IMPRODUKT((_XLL.KOMPLEXE(0,C149*1)),_XLL.KOMPLEXE(1,(C149/(2*PI()*fiavg*kHz)))))</f>
        <v>#NAME?</v>
      </c>
      <c r="E149" s="6" t="e">
        <f t="shared" si="24"/>
        <v>#NAME?</v>
      </c>
      <c r="F149" s="42" t="e">
        <f t="shared" si="25"/>
        <v>#NAME?</v>
      </c>
      <c r="G149" s="46">
        <v>1.5</v>
      </c>
      <c r="H149" s="47">
        <f t="shared" si="21"/>
        <v>31.622776601683803</v>
      </c>
      <c r="I149" s="47">
        <f t="shared" si="22"/>
        <v>198.69176531592208</v>
      </c>
      <c r="J149" s="47">
        <f t="shared" si="26"/>
        <v>0.012441679626749611</v>
      </c>
      <c r="K149" s="47" t="e">
        <f>IMDIV(((M_3/us)*Vout_nom)/(M1M2/us),_XLL.KOMPLEXE(1,(I149/(2*PI()*fPWM_PSpole))))</f>
        <v>#NAME?</v>
      </c>
      <c r="L149" s="6" t="e">
        <f t="shared" si="27"/>
        <v>#NAME?</v>
      </c>
      <c r="M149" s="6" t="e">
        <f>_XLL.IMPRODUKT(J149,K149)</f>
        <v>#NAME?</v>
      </c>
      <c r="N149" s="6" t="e">
        <f t="shared" si="28"/>
        <v>#NAME?</v>
      </c>
      <c r="O149" s="51" t="e">
        <f t="shared" si="29"/>
        <v>#NAME?</v>
      </c>
      <c r="P149" s="45" t="e">
        <f>_XLL.IMPRODUKT(gmv,IMDIV((_XLL.KOMPLEXE(1,I149*(Rvcomp*kOhms)*(Cvcomp*uF))),_XLL.IMPRODUKT((_XLL.KOMPLEXE(0,data!I149*((Cvcomp*uF)+(Cvcomp_p*uF)))),(_XLL.KOMPLEXE(1,I149*((Rvcomp*kOhms)*(Cvcomp*uF)*(Cvcomp_p*uF))/((Cvcomp*uF)+(Cvcomp_p*uF)))))))</f>
        <v>#NAME?</v>
      </c>
      <c r="Q149" s="6" t="e">
        <f t="shared" si="30"/>
        <v>#NAME?</v>
      </c>
      <c r="R149" s="6" t="e">
        <f>_XLL.IMPRODUKT((M149),(P149))</f>
        <v>#NAME?</v>
      </c>
      <c r="S149" s="6" t="e">
        <f t="shared" si="31"/>
        <v>#NAME?</v>
      </c>
      <c r="T149" s="42" t="e">
        <f t="shared" si="32"/>
        <v>#NAME?</v>
      </c>
    </row>
    <row r="150" spans="1:20" ht="14.25">
      <c r="A150" s="45">
        <v>4.6</v>
      </c>
      <c r="B150" s="6">
        <f t="shared" si="19"/>
        <v>39810.71705534974</v>
      </c>
      <c r="C150" s="6">
        <f t="shared" si="23"/>
        <v>250138.11247045727</v>
      </c>
      <c r="D150" s="6" t="e">
        <f>IMDIV((K_1*2.5*Rsense*Vout_nom)/(K_FQ*M_1*(M_2/us)*Lbst*mH),_XLL.IMPRODUKT((_XLL.KOMPLEXE(0,C150*1)),_XLL.KOMPLEXE(1,(C150/(2*PI()*fiavg*kHz)))))</f>
        <v>#NAME?</v>
      </c>
      <c r="E150" s="6" t="e">
        <f t="shared" si="24"/>
        <v>#NAME?</v>
      </c>
      <c r="F150" s="42" t="e">
        <f t="shared" si="25"/>
        <v>#NAME?</v>
      </c>
      <c r="G150" s="46">
        <v>1.6</v>
      </c>
      <c r="H150" s="47">
        <f t="shared" si="21"/>
        <v>39.810717055349755</v>
      </c>
      <c r="I150" s="47">
        <f t="shared" si="22"/>
        <v>250.13811247045734</v>
      </c>
      <c r="J150" s="47">
        <f t="shared" si="26"/>
        <v>0.012441679626749611</v>
      </c>
      <c r="K150" s="47" t="e">
        <f>IMDIV(((M_3/us)*Vout_nom)/(M1M2/us),_XLL.KOMPLEXE(1,(I150/(2*PI()*fPWM_PSpole))))</f>
        <v>#NAME?</v>
      </c>
      <c r="L150" s="6" t="e">
        <f t="shared" si="27"/>
        <v>#NAME?</v>
      </c>
      <c r="M150" s="6" t="e">
        <f>_XLL.IMPRODUKT(J150,K150)</f>
        <v>#NAME?</v>
      </c>
      <c r="N150" s="6" t="e">
        <f t="shared" si="28"/>
        <v>#NAME?</v>
      </c>
      <c r="O150" s="51" t="e">
        <f t="shared" si="29"/>
        <v>#NAME?</v>
      </c>
      <c r="P150" s="45" t="e">
        <f>_XLL.IMPRODUKT(gmv,IMDIV((_XLL.KOMPLEXE(1,I150*(Rvcomp*kOhms)*(Cvcomp*uF))),_XLL.IMPRODUKT((_XLL.KOMPLEXE(0,data!I150*((Cvcomp*uF)+(Cvcomp_p*uF)))),(_XLL.KOMPLEXE(1,I150*((Rvcomp*kOhms)*(Cvcomp*uF)*(Cvcomp_p*uF))/((Cvcomp*uF)+(Cvcomp_p*uF)))))))</f>
        <v>#NAME?</v>
      </c>
      <c r="Q150" s="6" t="e">
        <f t="shared" si="30"/>
        <v>#NAME?</v>
      </c>
      <c r="R150" s="6" t="e">
        <f>_XLL.IMPRODUKT((M150),(P150))</f>
        <v>#NAME?</v>
      </c>
      <c r="S150" s="6" t="e">
        <f t="shared" si="31"/>
        <v>#NAME?</v>
      </c>
      <c r="T150" s="42" t="e">
        <f t="shared" si="32"/>
        <v>#NAME?</v>
      </c>
    </row>
    <row r="151" spans="1:20" ht="14.25">
      <c r="A151" s="45">
        <v>4.7</v>
      </c>
      <c r="B151" s="6">
        <f t="shared" si="19"/>
        <v>50118.723362727294</v>
      </c>
      <c r="C151" s="6">
        <f t="shared" si="23"/>
        <v>314905.2262472864</v>
      </c>
      <c r="D151" s="6" t="e">
        <f>IMDIV((K_1*2.5*Rsense*Vout_nom)/(K_FQ*M_1*(M_2/us)*Lbst*mH),_XLL.IMPRODUKT((_XLL.KOMPLEXE(0,C151*1)),_XLL.KOMPLEXE(1,(C151/(2*PI()*fiavg*kHz)))))</f>
        <v>#NAME?</v>
      </c>
      <c r="E151" s="6" t="e">
        <f t="shared" si="24"/>
        <v>#NAME?</v>
      </c>
      <c r="F151" s="42" t="e">
        <f t="shared" si="25"/>
        <v>#NAME?</v>
      </c>
      <c r="G151" s="46">
        <v>1.7</v>
      </c>
      <c r="H151" s="47">
        <f t="shared" si="21"/>
        <v>50.11872336272724</v>
      </c>
      <c r="I151" s="47">
        <f t="shared" si="22"/>
        <v>314.90522624728607</v>
      </c>
      <c r="J151" s="47">
        <f t="shared" si="26"/>
        <v>0.012441679626749611</v>
      </c>
      <c r="K151" s="47" t="e">
        <f>IMDIV(((M_3/us)*Vout_nom)/(M1M2/us),_XLL.KOMPLEXE(1,(I151/(2*PI()*fPWM_PSpole))))</f>
        <v>#NAME?</v>
      </c>
      <c r="L151" s="6" t="e">
        <f t="shared" si="27"/>
        <v>#NAME?</v>
      </c>
      <c r="M151" s="6" t="e">
        <f>_XLL.IMPRODUKT(J151,K151)</f>
        <v>#NAME?</v>
      </c>
      <c r="N151" s="6" t="e">
        <f t="shared" si="28"/>
        <v>#NAME?</v>
      </c>
      <c r="O151" s="51" t="e">
        <f t="shared" si="29"/>
        <v>#NAME?</v>
      </c>
      <c r="P151" s="45" t="e">
        <f>_XLL.IMPRODUKT(gmv,IMDIV((_XLL.KOMPLEXE(1,I151*(Rvcomp*kOhms)*(Cvcomp*uF))),_XLL.IMPRODUKT((_XLL.KOMPLEXE(0,data!I151*((Cvcomp*uF)+(Cvcomp_p*uF)))),(_XLL.KOMPLEXE(1,I151*((Rvcomp*kOhms)*(Cvcomp*uF)*(Cvcomp_p*uF))/((Cvcomp*uF)+(Cvcomp_p*uF)))))))</f>
        <v>#NAME?</v>
      </c>
      <c r="Q151" s="6" t="e">
        <f t="shared" si="30"/>
        <v>#NAME?</v>
      </c>
      <c r="R151" s="6" t="e">
        <f>_XLL.IMPRODUKT((M151),(P151))</f>
        <v>#NAME?</v>
      </c>
      <c r="S151" s="6" t="e">
        <f t="shared" si="31"/>
        <v>#NAME?</v>
      </c>
      <c r="T151" s="42" t="e">
        <f t="shared" si="32"/>
        <v>#NAME?</v>
      </c>
    </row>
    <row r="152" spans="1:20" ht="14.25">
      <c r="A152" s="45">
        <v>4.8</v>
      </c>
      <c r="B152" s="6">
        <f t="shared" si="19"/>
        <v>63095.73444801934</v>
      </c>
      <c r="C152" s="6">
        <f t="shared" si="23"/>
        <v>396442.1916295</v>
      </c>
      <c r="D152" s="6" t="e">
        <f>IMDIV((K_1*2.5*Rsense*Vout_nom)/(K_FQ*M_1*(M_2/us)*Lbst*mH),_XLL.IMPRODUKT((_XLL.KOMPLEXE(0,C152*1)),_XLL.KOMPLEXE(1,(C152/(2*PI()*fiavg*kHz)))))</f>
        <v>#NAME?</v>
      </c>
      <c r="E152" s="6" t="e">
        <f t="shared" si="24"/>
        <v>#NAME?</v>
      </c>
      <c r="F152" s="42" t="e">
        <f t="shared" si="25"/>
        <v>#NAME?</v>
      </c>
      <c r="G152" s="46">
        <v>1.8</v>
      </c>
      <c r="H152" s="47">
        <f t="shared" si="21"/>
        <v>63.095734448019364</v>
      </c>
      <c r="I152" s="47">
        <f t="shared" si="22"/>
        <v>396.44219162950014</v>
      </c>
      <c r="J152" s="47">
        <f t="shared" si="26"/>
        <v>0.012441679626749611</v>
      </c>
      <c r="K152" s="47" t="e">
        <f>IMDIV(((M_3/us)*Vout_nom)/(M1M2/us),_XLL.KOMPLEXE(1,(I152/(2*PI()*fPWM_PSpole))))</f>
        <v>#NAME?</v>
      </c>
      <c r="L152" s="6" t="e">
        <f t="shared" si="27"/>
        <v>#NAME?</v>
      </c>
      <c r="M152" s="6" t="e">
        <f>_XLL.IMPRODUKT(J152,K152)</f>
        <v>#NAME?</v>
      </c>
      <c r="N152" s="6" t="e">
        <f t="shared" si="28"/>
        <v>#NAME?</v>
      </c>
      <c r="O152" s="51" t="e">
        <f t="shared" si="29"/>
        <v>#NAME?</v>
      </c>
      <c r="P152" s="45" t="e">
        <f>_XLL.IMPRODUKT(gmv,IMDIV((_XLL.KOMPLEXE(1,I152*(Rvcomp*kOhms)*(Cvcomp*uF))),_XLL.IMPRODUKT((_XLL.KOMPLEXE(0,data!I152*((Cvcomp*uF)+(Cvcomp_p*uF)))),(_XLL.KOMPLEXE(1,I152*((Rvcomp*kOhms)*(Cvcomp*uF)*(Cvcomp_p*uF))/((Cvcomp*uF)+(Cvcomp_p*uF)))))))</f>
        <v>#NAME?</v>
      </c>
      <c r="Q152" s="6" t="e">
        <f t="shared" si="30"/>
        <v>#NAME?</v>
      </c>
      <c r="R152" s="6" t="e">
        <f>_XLL.IMPRODUKT((M152),(P152))</f>
        <v>#NAME?</v>
      </c>
      <c r="S152" s="6" t="e">
        <f t="shared" si="31"/>
        <v>#NAME?</v>
      </c>
      <c r="T152" s="42" t="e">
        <f t="shared" si="32"/>
        <v>#NAME?</v>
      </c>
    </row>
    <row r="153" spans="1:20" ht="14.25">
      <c r="A153" s="45">
        <v>4.9</v>
      </c>
      <c r="B153" s="6">
        <f t="shared" si="19"/>
        <v>79432.82347242824</v>
      </c>
      <c r="C153" s="6">
        <f t="shared" si="23"/>
        <v>499091.14934975083</v>
      </c>
      <c r="D153" s="6" t="e">
        <f>IMDIV((K_1*2.5*Rsense*Vout_nom)/(K_FQ*M_1*(M_2/us)*Lbst*mH),_XLL.IMPRODUKT((_XLL.KOMPLEXE(0,C153*1)),_XLL.KOMPLEXE(1,(C153/(2*PI()*fiavg*kHz)))))</f>
        <v>#NAME?</v>
      </c>
      <c r="E153" s="6" t="e">
        <f t="shared" si="24"/>
        <v>#NAME?</v>
      </c>
      <c r="F153" s="42" t="e">
        <f t="shared" si="25"/>
        <v>#NAME?</v>
      </c>
      <c r="G153" s="46">
        <v>1.9</v>
      </c>
      <c r="H153" s="47">
        <f t="shared" si="21"/>
        <v>79.4328234724282</v>
      </c>
      <c r="I153" s="47">
        <f t="shared" si="22"/>
        <v>499.0911493497506</v>
      </c>
      <c r="J153" s="47">
        <f t="shared" si="26"/>
        <v>0.012441679626749611</v>
      </c>
      <c r="K153" s="47" t="e">
        <f>IMDIV(((M_3/us)*Vout_nom)/(M1M2/us),_XLL.KOMPLEXE(1,(I153/(2*PI()*fPWM_PSpole))))</f>
        <v>#NAME?</v>
      </c>
      <c r="L153" s="6" t="e">
        <f t="shared" si="27"/>
        <v>#NAME?</v>
      </c>
      <c r="M153" s="6" t="e">
        <f>_XLL.IMPRODUKT(J153,K153)</f>
        <v>#NAME?</v>
      </c>
      <c r="N153" s="6" t="e">
        <f t="shared" si="28"/>
        <v>#NAME?</v>
      </c>
      <c r="O153" s="51" t="e">
        <f t="shared" si="29"/>
        <v>#NAME?</v>
      </c>
      <c r="P153" s="45" t="e">
        <f>_XLL.IMPRODUKT(gmv,IMDIV((_XLL.KOMPLEXE(1,I153*(Rvcomp*kOhms)*(Cvcomp*uF))),_XLL.IMPRODUKT((_XLL.KOMPLEXE(0,data!I153*((Cvcomp*uF)+(Cvcomp_p*uF)))),(_XLL.KOMPLEXE(1,I153*((Rvcomp*kOhms)*(Cvcomp*uF)*(Cvcomp_p*uF))/((Cvcomp*uF)+(Cvcomp_p*uF)))))))</f>
        <v>#NAME?</v>
      </c>
      <c r="Q153" s="6" t="e">
        <f t="shared" si="30"/>
        <v>#NAME?</v>
      </c>
      <c r="R153" s="6" t="e">
        <f>_XLL.IMPRODUKT((M153),(P153))</f>
        <v>#NAME?</v>
      </c>
      <c r="S153" s="6" t="e">
        <f t="shared" si="31"/>
        <v>#NAME?</v>
      </c>
      <c r="T153" s="42" t="e">
        <f t="shared" si="32"/>
        <v>#NAME?</v>
      </c>
    </row>
    <row r="154" spans="1:20" ht="14.25">
      <c r="A154" s="45">
        <v>5</v>
      </c>
      <c r="B154" s="6">
        <f t="shared" si="19"/>
        <v>100000</v>
      </c>
      <c r="C154" s="6">
        <f t="shared" si="23"/>
        <v>628318.5307179586</v>
      </c>
      <c r="D154" s="6" t="e">
        <f>IMDIV((K_1*2.5*Rsense*Vout_nom)/(K_FQ*M_1*(M_2/us)*Lbst*mH),_XLL.IMPRODUKT((_XLL.KOMPLEXE(0,C154*1)),_XLL.KOMPLEXE(1,(C154/(2*PI()*fiavg*kHz)))))</f>
        <v>#NAME?</v>
      </c>
      <c r="E154" s="6" t="e">
        <f t="shared" si="24"/>
        <v>#NAME?</v>
      </c>
      <c r="F154" s="42" t="e">
        <f t="shared" si="25"/>
        <v>#NAME?</v>
      </c>
      <c r="G154" s="46">
        <v>2</v>
      </c>
      <c r="H154" s="47">
        <f t="shared" si="21"/>
        <v>100</v>
      </c>
      <c r="I154" s="47">
        <f t="shared" si="22"/>
        <v>628.3185307179587</v>
      </c>
      <c r="J154" s="47">
        <f t="shared" si="26"/>
        <v>0.012441679626749611</v>
      </c>
      <c r="K154" s="47" t="e">
        <f>IMDIV(((M_3/us)*Vout_nom)/(M1M2/us),_XLL.KOMPLEXE(1,(I154/(2*PI()*fPWM_PSpole))))</f>
        <v>#NAME?</v>
      </c>
      <c r="L154" s="6" t="e">
        <f t="shared" si="27"/>
        <v>#NAME?</v>
      </c>
      <c r="M154" s="6" t="e">
        <f>_XLL.IMPRODUKT(J154,K154)</f>
        <v>#NAME?</v>
      </c>
      <c r="N154" s="6" t="e">
        <f t="shared" si="28"/>
        <v>#NAME?</v>
      </c>
      <c r="O154" s="51" t="e">
        <f t="shared" si="29"/>
        <v>#NAME?</v>
      </c>
      <c r="P154" s="45" t="e">
        <f>_XLL.IMPRODUKT(gmv,IMDIV((_XLL.KOMPLEXE(1,I154*(Rvcomp*kOhms)*(Cvcomp*uF))),_XLL.IMPRODUKT((_XLL.KOMPLEXE(0,data!I154*((Cvcomp*uF)+(Cvcomp_p*uF)))),(_XLL.KOMPLEXE(1,I154*((Rvcomp*kOhms)*(Cvcomp*uF)*(Cvcomp_p*uF))/((Cvcomp*uF)+(Cvcomp_p*uF)))))))</f>
        <v>#NAME?</v>
      </c>
      <c r="Q154" s="6" t="e">
        <f t="shared" si="30"/>
        <v>#NAME?</v>
      </c>
      <c r="R154" s="6" t="e">
        <f>_XLL.IMPRODUKT((M154),(P154))</f>
        <v>#NAME?</v>
      </c>
      <c r="S154" s="6" t="e">
        <f t="shared" si="31"/>
        <v>#NAME?</v>
      </c>
      <c r="T154" s="42" t="e">
        <f t="shared" si="32"/>
        <v>#NAME?</v>
      </c>
    </row>
    <row r="155" spans="1:20" ht="14.25">
      <c r="A155" s="45">
        <v>5.1</v>
      </c>
      <c r="B155" s="6">
        <f t="shared" si="19"/>
        <v>125892.54117941685</v>
      </c>
      <c r="C155" s="6">
        <f t="shared" si="23"/>
        <v>791006.1650220129</v>
      </c>
      <c r="D155" s="6" t="e">
        <f>IMDIV((K_1*2.5*Rsense*Vout_nom)/(K_FQ*M_1*(M_2/us)*Lbst*mH),_XLL.IMPRODUKT((_XLL.KOMPLEXE(0,C155*1)),_XLL.KOMPLEXE(1,(C155/(2*PI()*fiavg*kHz)))))</f>
        <v>#NAME?</v>
      </c>
      <c r="E155" s="6" t="e">
        <f t="shared" si="24"/>
        <v>#NAME?</v>
      </c>
      <c r="F155" s="42" t="e">
        <f t="shared" si="25"/>
        <v>#NAME?</v>
      </c>
      <c r="G155" s="46">
        <v>2.1</v>
      </c>
      <c r="H155" s="47">
        <f t="shared" si="21"/>
        <v>125.89254117941677</v>
      </c>
      <c r="I155" s="47">
        <f t="shared" si="22"/>
        <v>791.0061650220124</v>
      </c>
      <c r="J155" s="47">
        <f t="shared" si="26"/>
        <v>0.012441679626749611</v>
      </c>
      <c r="K155" s="47" t="e">
        <f>IMDIV(((M_3/us)*Vout_nom)/(M1M2/us),_XLL.KOMPLEXE(1,(I155/(2*PI()*fPWM_PSpole))))</f>
        <v>#NAME?</v>
      </c>
      <c r="L155" s="6" t="e">
        <f t="shared" si="27"/>
        <v>#NAME?</v>
      </c>
      <c r="M155" s="6" t="e">
        <f>_XLL.IMPRODUKT(J155,K155)</f>
        <v>#NAME?</v>
      </c>
      <c r="N155" s="6" t="e">
        <f t="shared" si="28"/>
        <v>#NAME?</v>
      </c>
      <c r="O155" s="51" t="e">
        <f t="shared" si="29"/>
        <v>#NAME?</v>
      </c>
      <c r="P155" s="45" t="e">
        <f>_XLL.IMPRODUKT(gmv,IMDIV((_XLL.KOMPLEXE(1,I155*(Rvcomp*kOhms)*(Cvcomp*uF))),_XLL.IMPRODUKT((_XLL.KOMPLEXE(0,data!I155*((Cvcomp*uF)+(Cvcomp_p*uF)))),(_XLL.KOMPLEXE(1,I155*((Rvcomp*kOhms)*(Cvcomp*uF)*(Cvcomp_p*uF))/((Cvcomp*uF)+(Cvcomp_p*uF)))))))</f>
        <v>#NAME?</v>
      </c>
      <c r="Q155" s="6" t="e">
        <f t="shared" si="30"/>
        <v>#NAME?</v>
      </c>
      <c r="R155" s="6" t="e">
        <f>_XLL.IMPRODUKT((M155),(P155))</f>
        <v>#NAME?</v>
      </c>
      <c r="S155" s="6" t="e">
        <f t="shared" si="31"/>
        <v>#NAME?</v>
      </c>
      <c r="T155" s="42" t="e">
        <f t="shared" si="32"/>
        <v>#NAME?</v>
      </c>
    </row>
    <row r="156" spans="1:20" ht="14.25">
      <c r="A156" s="45">
        <v>5.2</v>
      </c>
      <c r="B156" s="6">
        <f t="shared" si="19"/>
        <v>158489.31924611164</v>
      </c>
      <c r="C156" s="6">
        <f t="shared" si="23"/>
        <v>995817.7620320634</v>
      </c>
      <c r="D156" s="6" t="e">
        <f>IMDIV((K_1*2.5*Rsense*Vout_nom)/(K_FQ*M_1*(M_2/us)*Lbst*mH),_XLL.IMPRODUKT((_XLL.KOMPLEXE(0,C156*1)),_XLL.KOMPLEXE(1,(C156/(2*PI()*fiavg*kHz)))))</f>
        <v>#NAME?</v>
      </c>
      <c r="E156" s="6" t="e">
        <f t="shared" si="24"/>
        <v>#NAME?</v>
      </c>
      <c r="F156" s="42" t="e">
        <f t="shared" si="25"/>
        <v>#NAME?</v>
      </c>
      <c r="G156" s="46">
        <v>2.2</v>
      </c>
      <c r="H156" s="47">
        <f t="shared" si="21"/>
        <v>158.48931924611153</v>
      </c>
      <c r="I156" s="47">
        <f t="shared" si="22"/>
        <v>995.8177620320628</v>
      </c>
      <c r="J156" s="47">
        <f t="shared" si="26"/>
        <v>0.012441679626749611</v>
      </c>
      <c r="K156" s="47" t="e">
        <f>IMDIV(((M_3/us)*Vout_nom)/(M1M2/us),_XLL.KOMPLEXE(1,(I156/(2*PI()*fPWM_PSpole))))</f>
        <v>#NAME?</v>
      </c>
      <c r="L156" s="6" t="e">
        <f t="shared" si="27"/>
        <v>#NAME?</v>
      </c>
      <c r="M156" s="6" t="e">
        <f>_XLL.IMPRODUKT(J156,K156)</f>
        <v>#NAME?</v>
      </c>
      <c r="N156" s="6" t="e">
        <f t="shared" si="28"/>
        <v>#NAME?</v>
      </c>
      <c r="O156" s="51" t="e">
        <f t="shared" si="29"/>
        <v>#NAME?</v>
      </c>
      <c r="P156" s="45" t="e">
        <f>_XLL.IMPRODUKT(gmv,IMDIV((_XLL.KOMPLEXE(1,I156*(Rvcomp*kOhms)*(Cvcomp*uF))),_XLL.IMPRODUKT((_XLL.KOMPLEXE(0,data!I156*((Cvcomp*uF)+(Cvcomp_p*uF)))),(_XLL.KOMPLEXE(1,I156*((Rvcomp*kOhms)*(Cvcomp*uF)*(Cvcomp_p*uF))/((Cvcomp*uF)+(Cvcomp_p*uF)))))))</f>
        <v>#NAME?</v>
      </c>
      <c r="Q156" s="6" t="e">
        <f t="shared" si="30"/>
        <v>#NAME?</v>
      </c>
      <c r="R156" s="6" t="e">
        <f>_XLL.IMPRODUKT((M156),(P156))</f>
        <v>#NAME?</v>
      </c>
      <c r="S156" s="6" t="e">
        <f t="shared" si="31"/>
        <v>#NAME?</v>
      </c>
      <c r="T156" s="42" t="e">
        <f t="shared" si="32"/>
        <v>#NAME?</v>
      </c>
    </row>
    <row r="157" spans="1:20" ht="14.25">
      <c r="A157" s="45">
        <v>5.3</v>
      </c>
      <c r="B157" s="6">
        <f t="shared" si="19"/>
        <v>199526.23149688813</v>
      </c>
      <c r="C157" s="6">
        <f t="shared" si="23"/>
        <v>1253660.2861381602</v>
      </c>
      <c r="D157" s="6" t="e">
        <f>IMDIV((K_1*2.5*Rsense*Vout_nom)/(K_FQ*M_1*(M_2/us)*Lbst*mH),_XLL.IMPRODUKT((_XLL.KOMPLEXE(0,C157*1)),_XLL.KOMPLEXE(1,(C157/(2*PI()*fiavg*kHz)))))</f>
        <v>#NAME?</v>
      </c>
      <c r="E157" s="6" t="e">
        <f t="shared" si="24"/>
        <v>#NAME?</v>
      </c>
      <c r="F157" s="42" t="e">
        <f t="shared" si="25"/>
        <v>#NAME?</v>
      </c>
      <c r="G157" s="46">
        <v>2.3</v>
      </c>
      <c r="H157" s="47">
        <f t="shared" si="21"/>
        <v>199.52623149688802</v>
      </c>
      <c r="I157" s="47">
        <f t="shared" si="22"/>
        <v>1253.6602861381596</v>
      </c>
      <c r="J157" s="47">
        <f t="shared" si="26"/>
        <v>0.012441679626749611</v>
      </c>
      <c r="K157" s="47" t="e">
        <f>IMDIV(((M_3/us)*Vout_nom)/(M1M2/us),_XLL.KOMPLEXE(1,(I157/(2*PI()*fPWM_PSpole))))</f>
        <v>#NAME?</v>
      </c>
      <c r="L157" s="6" t="e">
        <f t="shared" si="27"/>
        <v>#NAME?</v>
      </c>
      <c r="M157" s="6" t="e">
        <f>_XLL.IMPRODUKT(J157,K157)</f>
        <v>#NAME?</v>
      </c>
      <c r="N157" s="6" t="e">
        <f t="shared" si="28"/>
        <v>#NAME?</v>
      </c>
      <c r="O157" s="51" t="e">
        <f t="shared" si="29"/>
        <v>#NAME?</v>
      </c>
      <c r="P157" s="45" t="e">
        <f>_XLL.IMPRODUKT(gmv,IMDIV((_XLL.KOMPLEXE(1,I157*(Rvcomp*kOhms)*(Cvcomp*uF))),_XLL.IMPRODUKT((_XLL.KOMPLEXE(0,data!I157*((Cvcomp*uF)+(Cvcomp_p*uF)))),(_XLL.KOMPLEXE(1,I157*((Rvcomp*kOhms)*(Cvcomp*uF)*(Cvcomp_p*uF))/((Cvcomp*uF)+(Cvcomp_p*uF)))))))</f>
        <v>#NAME?</v>
      </c>
      <c r="Q157" s="6" t="e">
        <f t="shared" si="30"/>
        <v>#NAME?</v>
      </c>
      <c r="R157" s="6" t="e">
        <f>_XLL.IMPRODUKT((M157),(P157))</f>
        <v>#NAME?</v>
      </c>
      <c r="S157" s="6" t="e">
        <f t="shared" si="31"/>
        <v>#NAME?</v>
      </c>
      <c r="T157" s="42" t="e">
        <f t="shared" si="32"/>
        <v>#NAME?</v>
      </c>
    </row>
    <row r="158" spans="1:20" ht="14.25">
      <c r="A158" s="45">
        <v>5.4</v>
      </c>
      <c r="B158" s="6">
        <f t="shared" si="19"/>
        <v>251188.64315095844</v>
      </c>
      <c r="C158" s="6">
        <f t="shared" si="23"/>
        <v>1578264.7919764782</v>
      </c>
      <c r="D158" s="6" t="e">
        <f>IMDIV((K_1*2.5*Rsense*Vout_nom)/(K_FQ*M_1*(M_2/us)*Lbst*mH),_XLL.IMPRODUKT((_XLL.KOMPLEXE(0,C158*1)),_XLL.KOMPLEXE(1,(C158/(2*PI()*fiavg*kHz)))))</f>
        <v>#NAME?</v>
      </c>
      <c r="E158" s="6" t="e">
        <f t="shared" si="24"/>
        <v>#NAME?</v>
      </c>
      <c r="F158" s="42" t="e">
        <f t="shared" si="25"/>
        <v>#NAME?</v>
      </c>
      <c r="G158" s="46">
        <v>2.4</v>
      </c>
      <c r="H158" s="47">
        <f t="shared" si="21"/>
        <v>251.18864315095806</v>
      </c>
      <c r="I158" s="47">
        <f t="shared" si="22"/>
        <v>1578.2647919764759</v>
      </c>
      <c r="J158" s="47">
        <f t="shared" si="26"/>
        <v>0.012441679626749611</v>
      </c>
      <c r="K158" s="47" t="e">
        <f>IMDIV(((M_3/us)*Vout_nom)/(M1M2/us),_XLL.KOMPLEXE(1,(I158/(2*PI()*fPWM_PSpole))))</f>
        <v>#NAME?</v>
      </c>
      <c r="L158" s="6" t="e">
        <f t="shared" si="27"/>
        <v>#NAME?</v>
      </c>
      <c r="M158" s="6" t="e">
        <f>_XLL.IMPRODUKT(J158,K158)</f>
        <v>#NAME?</v>
      </c>
      <c r="N158" s="6" t="e">
        <f t="shared" si="28"/>
        <v>#NAME?</v>
      </c>
      <c r="O158" s="51" t="e">
        <f t="shared" si="29"/>
        <v>#NAME?</v>
      </c>
      <c r="P158" s="45" t="e">
        <f>_XLL.IMPRODUKT(gmv,IMDIV((_XLL.KOMPLEXE(1,I158*(Rvcomp*kOhms)*(Cvcomp*uF))),_XLL.IMPRODUKT((_XLL.KOMPLEXE(0,data!I158*((Cvcomp*uF)+(Cvcomp_p*uF)))),(_XLL.KOMPLEXE(1,I158*((Rvcomp*kOhms)*(Cvcomp*uF)*(Cvcomp_p*uF))/((Cvcomp*uF)+(Cvcomp_p*uF)))))))</f>
        <v>#NAME?</v>
      </c>
      <c r="Q158" s="6" t="e">
        <f t="shared" si="30"/>
        <v>#NAME?</v>
      </c>
      <c r="R158" s="6" t="e">
        <f>_XLL.IMPRODUKT((M158),(P158))</f>
        <v>#NAME?</v>
      </c>
      <c r="S158" s="6" t="e">
        <f t="shared" si="31"/>
        <v>#NAME?</v>
      </c>
      <c r="T158" s="42" t="e">
        <f t="shared" si="32"/>
        <v>#NAME?</v>
      </c>
    </row>
    <row r="159" spans="1:20" ht="14.25">
      <c r="A159" s="45">
        <v>5.5</v>
      </c>
      <c r="B159" s="6">
        <f t="shared" si="19"/>
        <v>316227.7660168382</v>
      </c>
      <c r="C159" s="6">
        <f t="shared" si="23"/>
        <v>1986917.6531592219</v>
      </c>
      <c r="D159" s="6" t="e">
        <f>IMDIV((K_1*2.5*Rsense*Vout_nom)/(K_FQ*M_1*(M_2/us)*Lbst*mH),_XLL.IMPRODUKT((_XLL.KOMPLEXE(0,C159*1)),_XLL.KOMPLEXE(1,(C159/(2*PI()*fiavg*kHz)))))</f>
        <v>#NAME?</v>
      </c>
      <c r="E159" s="6" t="e">
        <f t="shared" si="24"/>
        <v>#NAME?</v>
      </c>
      <c r="F159" s="42" t="e">
        <f t="shared" si="25"/>
        <v>#NAME?</v>
      </c>
      <c r="G159" s="46">
        <v>2.5</v>
      </c>
      <c r="H159" s="47">
        <f t="shared" si="21"/>
        <v>316.22776601683825</v>
      </c>
      <c r="I159" s="47">
        <f t="shared" si="22"/>
        <v>1986.917653159222</v>
      </c>
      <c r="J159" s="47">
        <f t="shared" si="26"/>
        <v>0.012441679626749611</v>
      </c>
      <c r="K159" s="47" t="e">
        <f>IMDIV(((M_3/us)*Vout_nom)/(M1M2/us),_XLL.KOMPLEXE(1,(I159/(2*PI()*fPWM_PSpole))))</f>
        <v>#NAME?</v>
      </c>
      <c r="L159" s="6" t="e">
        <f t="shared" si="27"/>
        <v>#NAME?</v>
      </c>
      <c r="M159" s="6" t="e">
        <f>_XLL.IMPRODUKT(J159,K159)</f>
        <v>#NAME?</v>
      </c>
      <c r="N159" s="6" t="e">
        <f t="shared" si="28"/>
        <v>#NAME?</v>
      </c>
      <c r="O159" s="51" t="e">
        <f t="shared" si="29"/>
        <v>#NAME?</v>
      </c>
      <c r="P159" s="45" t="e">
        <f>_XLL.IMPRODUKT(gmv,IMDIV((_XLL.KOMPLEXE(1,I159*(Rvcomp*kOhms)*(Cvcomp*uF))),_XLL.IMPRODUKT((_XLL.KOMPLEXE(0,data!I159*((Cvcomp*uF)+(Cvcomp_p*uF)))),(_XLL.KOMPLEXE(1,I159*((Rvcomp*kOhms)*(Cvcomp*uF)*(Cvcomp_p*uF))/((Cvcomp*uF)+(Cvcomp_p*uF)))))))</f>
        <v>#NAME?</v>
      </c>
      <c r="Q159" s="6" t="e">
        <f t="shared" si="30"/>
        <v>#NAME?</v>
      </c>
      <c r="R159" s="6" t="e">
        <f>_XLL.IMPRODUKT((M159),(P159))</f>
        <v>#NAME?</v>
      </c>
      <c r="S159" s="6" t="e">
        <f t="shared" si="31"/>
        <v>#NAME?</v>
      </c>
      <c r="T159" s="42" t="e">
        <f t="shared" si="32"/>
        <v>#NAME?</v>
      </c>
    </row>
    <row r="160" spans="1:20" ht="14.25">
      <c r="A160" s="45">
        <v>5.6</v>
      </c>
      <c r="B160" s="6">
        <f t="shared" si="19"/>
        <v>398107.17055349716</v>
      </c>
      <c r="C160" s="6">
        <f t="shared" si="23"/>
        <v>2501381.124704571</v>
      </c>
      <c r="D160" s="6" t="e">
        <f>IMDIV((K_1*2.5*Rsense*Vout_nom)/(K_FQ*M_1*(M_2/us)*Lbst*mH),_XLL.IMPRODUKT((_XLL.KOMPLEXE(0,C160*1)),_XLL.KOMPLEXE(1,(C160/(2*PI()*fiavg*kHz)))))</f>
        <v>#NAME?</v>
      </c>
      <c r="E160" s="6" t="e">
        <f t="shared" si="24"/>
        <v>#NAME?</v>
      </c>
      <c r="F160" s="42" t="e">
        <f t="shared" si="25"/>
        <v>#NAME?</v>
      </c>
      <c r="G160" s="46">
        <v>2.6</v>
      </c>
      <c r="H160" s="47">
        <f t="shared" si="21"/>
        <v>398.1071705534976</v>
      </c>
      <c r="I160" s="47">
        <f t="shared" si="22"/>
        <v>2501.3811247045737</v>
      </c>
      <c r="J160" s="47">
        <f t="shared" si="26"/>
        <v>0.012441679626749611</v>
      </c>
      <c r="K160" s="47" t="e">
        <f>IMDIV(((M_3/us)*Vout_nom)/(M1M2/us),_XLL.KOMPLEXE(1,(I160/(2*PI()*fPWM_PSpole))))</f>
        <v>#NAME?</v>
      </c>
      <c r="L160" s="6" t="e">
        <f t="shared" si="27"/>
        <v>#NAME?</v>
      </c>
      <c r="M160" s="6" t="e">
        <f>_XLL.IMPRODUKT(J160,K160)</f>
        <v>#NAME?</v>
      </c>
      <c r="N160" s="6" t="e">
        <f t="shared" si="28"/>
        <v>#NAME?</v>
      </c>
      <c r="O160" s="51" t="e">
        <f t="shared" si="29"/>
        <v>#NAME?</v>
      </c>
      <c r="P160" s="45" t="e">
        <f>_XLL.IMPRODUKT(gmv,IMDIV((_XLL.KOMPLEXE(1,I160*(Rvcomp*kOhms)*(Cvcomp*uF))),_XLL.IMPRODUKT((_XLL.KOMPLEXE(0,data!I160*((Cvcomp*uF)+(Cvcomp_p*uF)))),(_XLL.KOMPLEXE(1,I160*((Rvcomp*kOhms)*(Cvcomp*uF)*(Cvcomp_p*uF))/((Cvcomp*uF)+(Cvcomp_p*uF)))))))</f>
        <v>#NAME?</v>
      </c>
      <c r="Q160" s="6" t="e">
        <f t="shared" si="30"/>
        <v>#NAME?</v>
      </c>
      <c r="R160" s="6" t="e">
        <f>_XLL.IMPRODUKT((M160),(P160))</f>
        <v>#NAME?</v>
      </c>
      <c r="S160" s="6" t="e">
        <f t="shared" si="31"/>
        <v>#NAME?</v>
      </c>
      <c r="T160" s="42" t="e">
        <f t="shared" si="32"/>
        <v>#NAME?</v>
      </c>
    </row>
    <row r="161" spans="1:20" ht="14.25">
      <c r="A161" s="45">
        <v>5.7</v>
      </c>
      <c r="B161" s="6">
        <f t="shared" si="19"/>
        <v>501187.23362727347</v>
      </c>
      <c r="C161" s="6">
        <f t="shared" si="23"/>
        <v>3149052.2624728675</v>
      </c>
      <c r="D161" s="6" t="e">
        <f>IMDIV((K_1*2.5*Rsense*Vout_nom)/(K_FQ*M_1*(M_2/us)*Lbst*mH),_XLL.IMPRODUKT((_XLL.KOMPLEXE(0,C161*1)),_XLL.KOMPLEXE(1,(C161/(2*PI()*fiavg*kHz)))))</f>
        <v>#NAME?</v>
      </c>
      <c r="E161" s="6" t="e">
        <f t="shared" si="24"/>
        <v>#NAME?</v>
      </c>
      <c r="F161" s="42" t="e">
        <f t="shared" si="25"/>
        <v>#NAME?</v>
      </c>
      <c r="G161" s="46">
        <v>2.7</v>
      </c>
      <c r="H161" s="47">
        <f t="shared" si="21"/>
        <v>501.1872336272727</v>
      </c>
      <c r="I161" s="47">
        <f t="shared" si="22"/>
        <v>3149.0522624728624</v>
      </c>
      <c r="J161" s="47">
        <f t="shared" si="26"/>
        <v>0.012441679626749611</v>
      </c>
      <c r="K161" s="47" t="e">
        <f>IMDIV(((M_3/us)*Vout_nom)/(M1M2/us),_XLL.KOMPLEXE(1,(I161/(2*PI()*fPWM_PSpole))))</f>
        <v>#NAME?</v>
      </c>
      <c r="L161" s="6" t="e">
        <f t="shared" si="27"/>
        <v>#NAME?</v>
      </c>
      <c r="M161" s="6" t="e">
        <f>_XLL.IMPRODUKT(J161,K161)</f>
        <v>#NAME?</v>
      </c>
      <c r="N161" s="6" t="e">
        <f t="shared" si="28"/>
        <v>#NAME?</v>
      </c>
      <c r="O161" s="51" t="e">
        <f t="shared" si="29"/>
        <v>#NAME?</v>
      </c>
      <c r="P161" s="45" t="e">
        <f>_XLL.IMPRODUKT(gmv,IMDIV((_XLL.KOMPLEXE(1,I161*(Rvcomp*kOhms)*(Cvcomp*uF))),_XLL.IMPRODUKT((_XLL.KOMPLEXE(0,data!I161*((Cvcomp*uF)+(Cvcomp_p*uF)))),(_XLL.KOMPLEXE(1,I161*((Rvcomp*kOhms)*(Cvcomp*uF)*(Cvcomp_p*uF))/((Cvcomp*uF)+(Cvcomp_p*uF)))))))</f>
        <v>#NAME?</v>
      </c>
      <c r="Q161" s="6" t="e">
        <f t="shared" si="30"/>
        <v>#NAME?</v>
      </c>
      <c r="R161" s="6" t="e">
        <f>_XLL.IMPRODUKT((M161),(P161))</f>
        <v>#NAME?</v>
      </c>
      <c r="S161" s="6" t="e">
        <f t="shared" si="31"/>
        <v>#NAME?</v>
      </c>
      <c r="T161" s="42" t="e">
        <f t="shared" si="32"/>
        <v>#NAME?</v>
      </c>
    </row>
    <row r="162" spans="1:20" ht="14.25">
      <c r="A162" s="45">
        <v>5.8</v>
      </c>
      <c r="B162" s="6">
        <f t="shared" si="19"/>
        <v>630957.3444801942</v>
      </c>
      <c r="C162" s="6">
        <f t="shared" si="23"/>
        <v>3964421.9162950045</v>
      </c>
      <c r="D162" s="6" t="e">
        <f>IMDIV((K_1*2.5*Rsense*Vout_nom)/(K_FQ*M_1*(M_2/us)*Lbst*mH),_XLL.IMPRODUKT((_XLL.KOMPLEXE(0,C162*1)),_XLL.KOMPLEXE(1,(C162/(2*PI()*fiavg*kHz)))))</f>
        <v>#NAME?</v>
      </c>
      <c r="E162" s="6" t="e">
        <f t="shared" si="24"/>
        <v>#NAME?</v>
      </c>
      <c r="F162" s="42" t="e">
        <f t="shared" si="25"/>
        <v>#NAME?</v>
      </c>
      <c r="G162" s="46">
        <v>2.8</v>
      </c>
      <c r="H162" s="47">
        <f t="shared" si="21"/>
        <v>630.9573444801932</v>
      </c>
      <c r="I162" s="47">
        <f t="shared" si="22"/>
        <v>3964.421916294999</v>
      </c>
      <c r="J162" s="47">
        <f t="shared" si="26"/>
        <v>0.012441679626749611</v>
      </c>
      <c r="K162" s="47" t="e">
        <f>IMDIV(((M_3/us)*Vout_nom)/(M1M2/us),_XLL.KOMPLEXE(1,(I162/(2*PI()*fPWM_PSpole))))</f>
        <v>#NAME?</v>
      </c>
      <c r="L162" s="6" t="e">
        <f t="shared" si="27"/>
        <v>#NAME?</v>
      </c>
      <c r="M162" s="6" t="e">
        <f>_XLL.IMPRODUKT(J162,K162)</f>
        <v>#NAME?</v>
      </c>
      <c r="N162" s="6" t="e">
        <f t="shared" si="28"/>
        <v>#NAME?</v>
      </c>
      <c r="O162" s="51" t="e">
        <f t="shared" si="29"/>
        <v>#NAME?</v>
      </c>
      <c r="P162" s="45" t="e">
        <f>_XLL.IMPRODUKT(gmv,IMDIV((_XLL.KOMPLEXE(1,I162*(Rvcomp*kOhms)*(Cvcomp*uF))),_XLL.IMPRODUKT((_XLL.KOMPLEXE(0,data!I162*((Cvcomp*uF)+(Cvcomp_p*uF)))),(_XLL.KOMPLEXE(1,I162*((Rvcomp*kOhms)*(Cvcomp*uF)*(Cvcomp_p*uF))/((Cvcomp*uF)+(Cvcomp_p*uF)))))))</f>
        <v>#NAME?</v>
      </c>
      <c r="Q162" s="6" t="e">
        <f t="shared" si="30"/>
        <v>#NAME?</v>
      </c>
      <c r="R162" s="6" t="e">
        <f>_XLL.IMPRODUKT((M162),(P162))</f>
        <v>#NAME?</v>
      </c>
      <c r="S162" s="6" t="e">
        <f t="shared" si="31"/>
        <v>#NAME?</v>
      </c>
      <c r="T162" s="42" t="e">
        <f t="shared" si="32"/>
        <v>#NAME?</v>
      </c>
    </row>
    <row r="163" spans="1:20" ht="14.25">
      <c r="A163" s="45">
        <v>5.9</v>
      </c>
      <c r="B163" s="6">
        <f t="shared" si="19"/>
        <v>794328.2347242833</v>
      </c>
      <c r="C163" s="6">
        <f t="shared" si="23"/>
        <v>4990911.493497515</v>
      </c>
      <c r="D163" s="6" t="e">
        <f>IMDIV((K_1*2.5*Rsense*Vout_nom)/(K_FQ*M_1*(M_2/us)*Lbst*mH),_XLL.IMPRODUKT((_XLL.KOMPLEXE(0,C163*1)),_XLL.KOMPLEXE(1,(C163/(2*PI()*fiavg*kHz)))))</f>
        <v>#NAME?</v>
      </c>
      <c r="E163" s="6" t="e">
        <f t="shared" si="24"/>
        <v>#NAME?</v>
      </c>
      <c r="F163" s="42" t="e">
        <f t="shared" si="25"/>
        <v>#NAME?</v>
      </c>
      <c r="G163" s="46">
        <v>2.9</v>
      </c>
      <c r="H163" s="47">
        <f t="shared" si="21"/>
        <v>794.3282347242821</v>
      </c>
      <c r="I163" s="47">
        <f t="shared" si="22"/>
        <v>4990.911493497507</v>
      </c>
      <c r="J163" s="47">
        <f t="shared" si="26"/>
        <v>0.012441679626749611</v>
      </c>
      <c r="K163" s="47" t="e">
        <f>IMDIV(((M_3/us)*Vout_nom)/(M1M2/us),_XLL.KOMPLEXE(1,(I163/(2*PI()*fPWM_PSpole))))</f>
        <v>#NAME?</v>
      </c>
      <c r="L163" s="6" t="e">
        <f t="shared" si="27"/>
        <v>#NAME?</v>
      </c>
      <c r="M163" s="6" t="e">
        <f>_XLL.IMPRODUKT(J163,K163)</f>
        <v>#NAME?</v>
      </c>
      <c r="N163" s="6" t="e">
        <f t="shared" si="28"/>
        <v>#NAME?</v>
      </c>
      <c r="O163" s="51" t="e">
        <f t="shared" si="29"/>
        <v>#NAME?</v>
      </c>
      <c r="P163" s="45" t="e">
        <f>_XLL.IMPRODUKT(gmv,IMDIV((_XLL.KOMPLEXE(1,I163*(Rvcomp*kOhms)*(Cvcomp*uF))),_XLL.IMPRODUKT((_XLL.KOMPLEXE(0,data!I163*((Cvcomp*uF)+(Cvcomp_p*uF)))),(_XLL.KOMPLEXE(1,I163*((Rvcomp*kOhms)*(Cvcomp*uF)*(Cvcomp_p*uF))/((Cvcomp*uF)+(Cvcomp_p*uF)))))))</f>
        <v>#NAME?</v>
      </c>
      <c r="Q163" s="6" t="e">
        <f t="shared" si="30"/>
        <v>#NAME?</v>
      </c>
      <c r="R163" s="6" t="e">
        <f>_XLL.IMPRODUKT((M163),(P163))</f>
        <v>#NAME?</v>
      </c>
      <c r="S163" s="6" t="e">
        <f t="shared" si="31"/>
        <v>#NAME?</v>
      </c>
      <c r="T163" s="42" t="e">
        <f t="shared" si="32"/>
        <v>#NAME?</v>
      </c>
    </row>
    <row r="164" spans="1:20" ht="15">
      <c r="A164" s="54">
        <v>6</v>
      </c>
      <c r="B164" s="55">
        <f t="shared" si="19"/>
        <v>1000000</v>
      </c>
      <c r="C164" s="55">
        <f t="shared" si="23"/>
        <v>6283185.307179586</v>
      </c>
      <c r="D164" s="55" t="e">
        <f>IMDIV((K_1*2.5*Rsense*Vout_nom)/(K_FQ*M_1*(M_2/us)*Lbst*mH),_XLL.IMPRODUKT((_XLL.KOMPLEXE(0,C164*1)),_XLL.KOMPLEXE(1,(C164/(2*PI()*fiavg*kHz)))))</f>
        <v>#NAME?</v>
      </c>
      <c r="E164" s="55" t="e">
        <f t="shared" si="24"/>
        <v>#NAME?</v>
      </c>
      <c r="F164" s="56" t="e">
        <f t="shared" si="25"/>
        <v>#NAME?</v>
      </c>
      <c r="G164" s="46">
        <v>3</v>
      </c>
      <c r="H164" s="47">
        <f t="shared" si="21"/>
        <v>1000</v>
      </c>
      <c r="I164" s="47">
        <f t="shared" si="22"/>
        <v>6283.185307179586</v>
      </c>
      <c r="J164" s="47">
        <f t="shared" si="26"/>
        <v>0.012441679626749611</v>
      </c>
      <c r="K164" s="47" t="e">
        <f>IMDIV(((M_3/us)*Vout_nom)/(M1M2/us),_XLL.KOMPLEXE(1,(I164/(2*PI()*fPWM_PSpole))))</f>
        <v>#NAME?</v>
      </c>
      <c r="L164" s="6" t="e">
        <f t="shared" si="27"/>
        <v>#NAME?</v>
      </c>
      <c r="M164" s="6" t="e">
        <f>_XLL.IMPRODUKT(J164,K164)</f>
        <v>#NAME?</v>
      </c>
      <c r="N164" s="6" t="e">
        <f t="shared" si="28"/>
        <v>#NAME?</v>
      </c>
      <c r="O164" s="51" t="e">
        <f t="shared" si="29"/>
        <v>#NAME?</v>
      </c>
      <c r="P164" s="45" t="e">
        <f>_XLL.IMPRODUKT(gmv,IMDIV((_XLL.KOMPLEXE(1,I164*(Rvcomp*kOhms)*(Cvcomp*uF))),_XLL.IMPRODUKT((_XLL.KOMPLEXE(0,data!I164*((Cvcomp*uF)+(Cvcomp_p*uF)))),(_XLL.KOMPLEXE(1,I164*((Rvcomp*kOhms)*(Cvcomp*uF)*(Cvcomp_p*uF))/((Cvcomp*uF)+(Cvcomp_p*uF)))))))</f>
        <v>#NAME?</v>
      </c>
      <c r="Q164" s="6" t="e">
        <f t="shared" si="30"/>
        <v>#NAME?</v>
      </c>
      <c r="R164" s="6" t="e">
        <f>_XLL.IMPRODUKT((M164),(P164))</f>
        <v>#NAME?</v>
      </c>
      <c r="S164" s="6" t="e">
        <f t="shared" si="31"/>
        <v>#NAME?</v>
      </c>
      <c r="T164" s="42" t="e">
        <f t="shared" si="32"/>
        <v>#NAME?</v>
      </c>
    </row>
    <row r="165" spans="7:20" ht="14.25">
      <c r="G165" s="6">
        <v>3.1</v>
      </c>
      <c r="H165" s="47">
        <f t="shared" si="21"/>
        <v>1258.925411794168</v>
      </c>
      <c r="I165" s="47">
        <f t="shared" si="22"/>
        <v>7910.0616502201265</v>
      </c>
      <c r="J165" s="47">
        <f t="shared" si="26"/>
        <v>0.012441679626749611</v>
      </c>
      <c r="K165" s="47" t="e">
        <f>IMDIV(((M_3/us)*Vout_nom)/(M1M2/us),_XLL.KOMPLEXE(1,(I165/(2*PI()*fPWM_PSpole))))</f>
        <v>#NAME?</v>
      </c>
      <c r="L165" s="6" t="e">
        <f t="shared" si="27"/>
        <v>#NAME?</v>
      </c>
      <c r="M165" s="6" t="e">
        <f>_XLL.IMPRODUKT(J165,K165)</f>
        <v>#NAME?</v>
      </c>
      <c r="N165" s="6" t="e">
        <f t="shared" si="28"/>
        <v>#NAME?</v>
      </c>
      <c r="O165" s="51" t="e">
        <f t="shared" si="29"/>
        <v>#NAME?</v>
      </c>
      <c r="P165" s="45" t="e">
        <f>_XLL.IMPRODUKT(gmv,IMDIV((_XLL.KOMPLEXE(1,I165*(Rvcomp*kOhms)*(Cvcomp*uF))),_XLL.IMPRODUKT((_XLL.KOMPLEXE(0,data!I165*((Cvcomp*uF)+(Cvcomp_p*uF)))),(_XLL.KOMPLEXE(1,I165*((Rvcomp*kOhms)*(Cvcomp*uF)*(Cvcomp_p*uF))/((Cvcomp*uF)+(Cvcomp_p*uF)))))))</f>
        <v>#NAME?</v>
      </c>
      <c r="Q165" s="6" t="e">
        <f t="shared" si="30"/>
        <v>#NAME?</v>
      </c>
      <c r="R165" s="6" t="e">
        <f>_XLL.IMPRODUKT((M165),(P165))</f>
        <v>#NAME?</v>
      </c>
      <c r="S165" s="6" t="e">
        <f t="shared" si="31"/>
        <v>#NAME?</v>
      </c>
      <c r="T165" s="42" t="e">
        <f t="shared" si="32"/>
        <v>#NAME?</v>
      </c>
    </row>
    <row r="166" spans="7:20" ht="14.25">
      <c r="G166" s="6">
        <v>3.2</v>
      </c>
      <c r="H166" s="47">
        <f t="shared" si="21"/>
        <v>1584.8931924611156</v>
      </c>
      <c r="I166" s="47">
        <f t="shared" si="22"/>
        <v>9958.17762032063</v>
      </c>
      <c r="J166" s="47">
        <f t="shared" si="26"/>
        <v>0.012441679626749611</v>
      </c>
      <c r="K166" s="47" t="e">
        <f>IMDIV(((M_3/us)*Vout_nom)/(M1M2/us),_XLL.KOMPLEXE(1,(I166/(2*PI()*fPWM_PSpole))))</f>
        <v>#NAME?</v>
      </c>
      <c r="L166" s="6" t="e">
        <f t="shared" si="27"/>
        <v>#NAME?</v>
      </c>
      <c r="M166" s="6" t="e">
        <f>_XLL.IMPRODUKT(J166,K166)</f>
        <v>#NAME?</v>
      </c>
      <c r="N166" s="6" t="e">
        <f t="shared" si="28"/>
        <v>#NAME?</v>
      </c>
      <c r="O166" s="51" t="e">
        <f t="shared" si="29"/>
        <v>#NAME?</v>
      </c>
      <c r="P166" s="45" t="e">
        <f>_XLL.IMPRODUKT(gmv,IMDIV((_XLL.KOMPLEXE(1,I166*(Rvcomp*kOhms)*(Cvcomp*uF))),_XLL.IMPRODUKT((_XLL.KOMPLEXE(0,data!I166*((Cvcomp*uF)+(Cvcomp_p*uF)))),(_XLL.KOMPLEXE(1,I166*((Rvcomp*kOhms)*(Cvcomp*uF)*(Cvcomp_p*uF))/((Cvcomp*uF)+(Cvcomp_p*uF)))))))</f>
        <v>#NAME?</v>
      </c>
      <c r="Q166" s="6" t="e">
        <f t="shared" si="30"/>
        <v>#NAME?</v>
      </c>
      <c r="R166" s="6" t="e">
        <f>_XLL.IMPRODUKT((M166),(P166))</f>
        <v>#NAME?</v>
      </c>
      <c r="S166" s="6" t="e">
        <f t="shared" si="31"/>
        <v>#NAME?</v>
      </c>
      <c r="T166" s="42" t="e">
        <f t="shared" si="32"/>
        <v>#NAME?</v>
      </c>
    </row>
    <row r="167" spans="1:20" ht="14.25">
      <c r="A167" s="37"/>
      <c r="B167" s="37"/>
      <c r="C167" s="37"/>
      <c r="D167" s="37"/>
      <c r="G167" s="6">
        <v>3.3</v>
      </c>
      <c r="H167" s="47">
        <f t="shared" si="21"/>
        <v>1995.2623149688804</v>
      </c>
      <c r="I167" s="47">
        <f t="shared" si="22"/>
        <v>12536.602861381598</v>
      </c>
      <c r="J167" s="47">
        <f t="shared" si="26"/>
        <v>0.012441679626749611</v>
      </c>
      <c r="K167" s="47" t="e">
        <f>IMDIV(((M_3/us)*Vout_nom)/(M1M2/us),_XLL.KOMPLEXE(1,(I167/(2*PI()*fPWM_PSpole))))</f>
        <v>#NAME?</v>
      </c>
      <c r="L167" s="6" t="e">
        <f t="shared" si="27"/>
        <v>#NAME?</v>
      </c>
      <c r="M167" s="6" t="e">
        <f>_XLL.IMPRODUKT(J167,K167)</f>
        <v>#NAME?</v>
      </c>
      <c r="N167" s="6" t="e">
        <f t="shared" si="28"/>
        <v>#NAME?</v>
      </c>
      <c r="O167" s="51" t="e">
        <f t="shared" si="29"/>
        <v>#NAME?</v>
      </c>
      <c r="P167" s="45" t="e">
        <f>_XLL.IMPRODUKT(gmv,IMDIV((_XLL.KOMPLEXE(1,I167*(Rvcomp*kOhms)*(Cvcomp*uF))),_XLL.IMPRODUKT((_XLL.KOMPLEXE(0,data!I167*((Cvcomp*uF)+(Cvcomp_p*uF)))),(_XLL.KOMPLEXE(1,I167*((Rvcomp*kOhms)*(Cvcomp*uF)*(Cvcomp_p*uF))/((Cvcomp*uF)+(Cvcomp_p*uF)))))))</f>
        <v>#NAME?</v>
      </c>
      <c r="Q167" s="6" t="e">
        <f t="shared" si="30"/>
        <v>#NAME?</v>
      </c>
      <c r="R167" s="6" t="e">
        <f>_XLL.IMPRODUKT((M167),(P167))</f>
        <v>#NAME?</v>
      </c>
      <c r="S167" s="6" t="e">
        <f t="shared" si="31"/>
        <v>#NAME?</v>
      </c>
      <c r="T167" s="42" t="e">
        <f t="shared" si="32"/>
        <v>#NAME?</v>
      </c>
    </row>
    <row r="168" spans="1:20" ht="14.25">
      <c r="A168" s="37"/>
      <c r="B168" s="37"/>
      <c r="C168" s="37"/>
      <c r="D168" s="37"/>
      <c r="G168" s="6">
        <v>3.4</v>
      </c>
      <c r="H168" s="47">
        <f t="shared" si="21"/>
        <v>2511.886431509581</v>
      </c>
      <c r="I168" s="47">
        <f t="shared" si="22"/>
        <v>15782.647919764762</v>
      </c>
      <c r="J168" s="47">
        <f t="shared" si="26"/>
        <v>0.012441679626749611</v>
      </c>
      <c r="K168" s="47" t="e">
        <f>IMDIV(((M_3/us)*Vout_nom)/(M1M2/us),_XLL.KOMPLEXE(1,(I168/(2*PI()*fPWM_PSpole))))</f>
        <v>#NAME?</v>
      </c>
      <c r="L168" s="6" t="e">
        <f t="shared" si="27"/>
        <v>#NAME?</v>
      </c>
      <c r="M168" s="6" t="e">
        <f>_XLL.IMPRODUKT(J168,K168)</f>
        <v>#NAME?</v>
      </c>
      <c r="N168" s="6" t="e">
        <f t="shared" si="28"/>
        <v>#NAME?</v>
      </c>
      <c r="O168" s="51" t="e">
        <f t="shared" si="29"/>
        <v>#NAME?</v>
      </c>
      <c r="P168" s="45" t="e">
        <f>_XLL.IMPRODUKT(gmv,IMDIV((_XLL.KOMPLEXE(1,I168*(Rvcomp*kOhms)*(Cvcomp*uF))),_XLL.IMPRODUKT((_XLL.KOMPLEXE(0,data!I168*((Cvcomp*uF)+(Cvcomp_p*uF)))),(_XLL.KOMPLEXE(1,I168*((Rvcomp*kOhms)*(Cvcomp*uF)*(Cvcomp_p*uF))/((Cvcomp*uF)+(Cvcomp_p*uF)))))))</f>
        <v>#NAME?</v>
      </c>
      <c r="Q168" s="6" t="e">
        <f t="shared" si="30"/>
        <v>#NAME?</v>
      </c>
      <c r="R168" s="6" t="e">
        <f>_XLL.IMPRODUKT((M168),(P168))</f>
        <v>#NAME?</v>
      </c>
      <c r="S168" s="6" t="e">
        <f t="shared" si="31"/>
        <v>#NAME?</v>
      </c>
      <c r="T168" s="42" t="e">
        <f t="shared" si="32"/>
        <v>#NAME?</v>
      </c>
    </row>
    <row r="169" spans="1:20" ht="14.25">
      <c r="A169" s="37"/>
      <c r="B169" s="37"/>
      <c r="C169" s="37"/>
      <c r="D169" s="37"/>
      <c r="G169" s="6">
        <v>3.5</v>
      </c>
      <c r="H169" s="47">
        <f t="shared" si="21"/>
        <v>3162.2776601683804</v>
      </c>
      <c r="I169" s="47">
        <f t="shared" si="22"/>
        <v>19869.17653159221</v>
      </c>
      <c r="J169" s="47">
        <f t="shared" si="26"/>
        <v>0.012441679626749611</v>
      </c>
      <c r="K169" s="47" t="e">
        <f>IMDIV(((M_3/us)*Vout_nom)/(M1M2/us),_XLL.KOMPLEXE(1,(I169/(2*PI()*fPWM_PSpole))))</f>
        <v>#NAME?</v>
      </c>
      <c r="L169" s="6" t="e">
        <f t="shared" si="27"/>
        <v>#NAME?</v>
      </c>
      <c r="M169" s="6" t="e">
        <f>_XLL.IMPRODUKT(J169,K169)</f>
        <v>#NAME?</v>
      </c>
      <c r="N169" s="6" t="e">
        <f t="shared" si="28"/>
        <v>#NAME?</v>
      </c>
      <c r="O169" s="51" t="e">
        <f t="shared" si="29"/>
        <v>#NAME?</v>
      </c>
      <c r="P169" s="45" t="e">
        <f>_XLL.IMPRODUKT(gmv,IMDIV((_XLL.KOMPLEXE(1,I169*(Rvcomp*kOhms)*(Cvcomp*uF))),_XLL.IMPRODUKT((_XLL.KOMPLEXE(0,data!I169*((Cvcomp*uF)+(Cvcomp_p*uF)))),(_XLL.KOMPLEXE(1,I169*((Rvcomp*kOhms)*(Cvcomp*uF)*(Cvcomp_p*uF))/((Cvcomp*uF)+(Cvcomp_p*uF)))))))</f>
        <v>#NAME?</v>
      </c>
      <c r="Q169" s="6" t="e">
        <f t="shared" si="30"/>
        <v>#NAME?</v>
      </c>
      <c r="R169" s="6" t="e">
        <f>_XLL.IMPRODUKT((M169),(P169))</f>
        <v>#NAME?</v>
      </c>
      <c r="S169" s="6" t="e">
        <f t="shared" si="31"/>
        <v>#NAME?</v>
      </c>
      <c r="T169" s="42" t="e">
        <f t="shared" si="32"/>
        <v>#NAME?</v>
      </c>
    </row>
    <row r="170" spans="1:20" ht="14.25">
      <c r="A170" s="37"/>
      <c r="B170" s="37"/>
      <c r="C170" s="37"/>
      <c r="D170" s="37"/>
      <c r="G170" s="6">
        <v>3.6</v>
      </c>
      <c r="H170" s="47">
        <f t="shared" si="21"/>
        <v>3981.071705534977</v>
      </c>
      <c r="I170" s="47">
        <f t="shared" si="22"/>
        <v>25013.81124704574</v>
      </c>
      <c r="J170" s="47">
        <f t="shared" si="26"/>
        <v>0.012441679626749611</v>
      </c>
      <c r="K170" s="47" t="e">
        <f>IMDIV(((M_3/us)*Vout_nom)/(M1M2/us),_XLL.KOMPLEXE(1,(I170/(2*PI()*fPWM_PSpole))))</f>
        <v>#NAME?</v>
      </c>
      <c r="L170" s="6" t="e">
        <f t="shared" si="27"/>
        <v>#NAME?</v>
      </c>
      <c r="M170" s="6" t="e">
        <f>_XLL.IMPRODUKT(J170,K170)</f>
        <v>#NAME?</v>
      </c>
      <c r="N170" s="6" t="e">
        <f t="shared" si="28"/>
        <v>#NAME?</v>
      </c>
      <c r="O170" s="51" t="e">
        <f t="shared" si="29"/>
        <v>#NAME?</v>
      </c>
      <c r="P170" s="45" t="e">
        <f>_XLL.IMPRODUKT(gmv,IMDIV((_XLL.KOMPLEXE(1,I170*(Rvcomp*kOhms)*(Cvcomp*uF))),_XLL.IMPRODUKT((_XLL.KOMPLEXE(0,data!I170*((Cvcomp*uF)+(Cvcomp_p*uF)))),(_XLL.KOMPLEXE(1,I170*((Rvcomp*kOhms)*(Cvcomp*uF)*(Cvcomp_p*uF))/((Cvcomp*uF)+(Cvcomp_p*uF)))))))</f>
        <v>#NAME?</v>
      </c>
      <c r="Q170" s="6" t="e">
        <f t="shared" si="30"/>
        <v>#NAME?</v>
      </c>
      <c r="R170" s="6" t="e">
        <f>_XLL.IMPRODUKT((M170),(P170))</f>
        <v>#NAME?</v>
      </c>
      <c r="S170" s="6" t="e">
        <f t="shared" si="31"/>
        <v>#NAME?</v>
      </c>
      <c r="T170" s="42" t="e">
        <f t="shared" si="32"/>
        <v>#NAME?</v>
      </c>
    </row>
    <row r="171" spans="1:20" ht="14.25">
      <c r="A171" s="37"/>
      <c r="B171" s="37"/>
      <c r="C171" s="37"/>
      <c r="D171" s="37"/>
      <c r="G171" s="6">
        <v>3.7</v>
      </c>
      <c r="H171" s="47">
        <f t="shared" si="21"/>
        <v>5011.872336272732</v>
      </c>
      <c r="I171" s="47">
        <f t="shared" si="22"/>
        <v>31490.52262472866</v>
      </c>
      <c r="J171" s="47">
        <f t="shared" si="26"/>
        <v>0.012441679626749611</v>
      </c>
      <c r="K171" s="47" t="e">
        <f>IMDIV(((M_3/us)*Vout_nom)/(M1M2/us),_XLL.KOMPLEXE(1,(I171/(2*PI()*fPWM_PSpole))))</f>
        <v>#NAME?</v>
      </c>
      <c r="L171" s="6" t="e">
        <f t="shared" si="27"/>
        <v>#NAME?</v>
      </c>
      <c r="M171" s="6" t="e">
        <f>_XLL.IMPRODUKT(J171,K171)</f>
        <v>#NAME?</v>
      </c>
      <c r="N171" s="6" t="e">
        <f t="shared" si="28"/>
        <v>#NAME?</v>
      </c>
      <c r="O171" s="51" t="e">
        <f t="shared" si="29"/>
        <v>#NAME?</v>
      </c>
      <c r="P171" s="45" t="e">
        <f>_XLL.IMPRODUKT(gmv,IMDIV((_XLL.KOMPLEXE(1,I171*(Rvcomp*kOhms)*(Cvcomp*uF))),_XLL.IMPRODUKT((_XLL.KOMPLEXE(0,data!I171*((Cvcomp*uF)+(Cvcomp_p*uF)))),(_XLL.KOMPLEXE(1,I171*((Rvcomp*kOhms)*(Cvcomp*uF)*(Cvcomp_p*uF))/((Cvcomp*uF)+(Cvcomp_p*uF)))))))</f>
        <v>#NAME?</v>
      </c>
      <c r="Q171" s="6" t="e">
        <f t="shared" si="30"/>
        <v>#NAME?</v>
      </c>
      <c r="R171" s="6" t="e">
        <f>_XLL.IMPRODUKT((M171),(P171))</f>
        <v>#NAME?</v>
      </c>
      <c r="S171" s="6" t="e">
        <f t="shared" si="31"/>
        <v>#NAME?</v>
      </c>
      <c r="T171" s="42" t="e">
        <f t="shared" si="32"/>
        <v>#NAME?</v>
      </c>
    </row>
    <row r="172" spans="1:20" ht="14.25">
      <c r="A172" s="37"/>
      <c r="B172" s="37"/>
      <c r="C172" s="37"/>
      <c r="D172" s="37"/>
      <c r="G172" s="6">
        <v>3.8</v>
      </c>
      <c r="H172" s="47">
        <f t="shared" si="21"/>
        <v>6309.573444801938</v>
      </c>
      <c r="I172" s="47">
        <f t="shared" si="22"/>
        <v>39644.21916295003</v>
      </c>
      <c r="J172" s="47">
        <f t="shared" si="26"/>
        <v>0.012441679626749611</v>
      </c>
      <c r="K172" s="47" t="e">
        <f>IMDIV(((M_3/us)*Vout_nom)/(M1M2/us),_XLL.KOMPLEXE(1,(I172/(2*PI()*fPWM_PSpole))))</f>
        <v>#NAME?</v>
      </c>
      <c r="L172" s="6" t="e">
        <f t="shared" si="27"/>
        <v>#NAME?</v>
      </c>
      <c r="M172" s="6" t="e">
        <f>_XLL.IMPRODUKT(J172,K172)</f>
        <v>#NAME?</v>
      </c>
      <c r="N172" s="6" t="e">
        <f t="shared" si="28"/>
        <v>#NAME?</v>
      </c>
      <c r="O172" s="51" t="e">
        <f t="shared" si="29"/>
        <v>#NAME?</v>
      </c>
      <c r="P172" s="45" t="e">
        <f>_XLL.IMPRODUKT(gmv,IMDIV((_XLL.KOMPLEXE(1,I172*(Rvcomp*kOhms)*(Cvcomp*uF))),_XLL.IMPRODUKT((_XLL.KOMPLEXE(0,data!I172*((Cvcomp*uF)+(Cvcomp_p*uF)))),(_XLL.KOMPLEXE(1,I172*((Rvcomp*kOhms)*(Cvcomp*uF)*(Cvcomp_p*uF))/((Cvcomp*uF)+(Cvcomp_p*uF)))))))</f>
        <v>#NAME?</v>
      </c>
      <c r="Q172" s="6" t="e">
        <f t="shared" si="30"/>
        <v>#NAME?</v>
      </c>
      <c r="R172" s="6" t="e">
        <f>_XLL.IMPRODUKT((M172),(P172))</f>
        <v>#NAME?</v>
      </c>
      <c r="S172" s="6" t="e">
        <f t="shared" si="31"/>
        <v>#NAME?</v>
      </c>
      <c r="T172" s="42" t="e">
        <f t="shared" si="32"/>
        <v>#NAME?</v>
      </c>
    </row>
    <row r="173" spans="1:20" ht="14.25">
      <c r="A173" s="37"/>
      <c r="B173" s="37"/>
      <c r="C173" s="37"/>
      <c r="D173" s="37"/>
      <c r="G173" s="6">
        <v>3.9</v>
      </c>
      <c r="H173" s="47">
        <f t="shared" si="21"/>
        <v>7943.282347242815</v>
      </c>
      <c r="I173" s="47">
        <f t="shared" si="22"/>
        <v>49909.114934975034</v>
      </c>
      <c r="J173" s="47">
        <f t="shared" si="26"/>
        <v>0.012441679626749611</v>
      </c>
      <c r="K173" s="47" t="e">
        <f>IMDIV(((M_3/us)*Vout_nom)/(M1M2/us),_XLL.KOMPLEXE(1,(I173/(2*PI()*fPWM_PSpole))))</f>
        <v>#NAME?</v>
      </c>
      <c r="L173" s="6" t="e">
        <f t="shared" si="27"/>
        <v>#NAME?</v>
      </c>
      <c r="M173" s="6" t="e">
        <f>_XLL.IMPRODUKT(J173,K173)</f>
        <v>#NAME?</v>
      </c>
      <c r="N173" s="6" t="e">
        <f t="shared" si="28"/>
        <v>#NAME?</v>
      </c>
      <c r="O173" s="51" t="e">
        <f t="shared" si="29"/>
        <v>#NAME?</v>
      </c>
      <c r="P173" s="45" t="e">
        <f>_XLL.IMPRODUKT(gmv,IMDIV((_XLL.KOMPLEXE(1,I173*(Rvcomp*kOhms)*(Cvcomp*uF))),_XLL.IMPRODUKT((_XLL.KOMPLEXE(0,data!I173*((Cvcomp*uF)+(Cvcomp_p*uF)))),(_XLL.KOMPLEXE(1,I173*((Rvcomp*kOhms)*(Cvcomp*uF)*(Cvcomp_p*uF))/((Cvcomp*uF)+(Cvcomp_p*uF)))))))</f>
        <v>#NAME?</v>
      </c>
      <c r="Q173" s="6" t="e">
        <f t="shared" si="30"/>
        <v>#NAME?</v>
      </c>
      <c r="R173" s="6" t="e">
        <f>_XLL.IMPRODUKT((M173),(P173))</f>
        <v>#NAME?</v>
      </c>
      <c r="S173" s="6" t="e">
        <f t="shared" si="31"/>
        <v>#NAME?</v>
      </c>
      <c r="T173" s="42" t="e">
        <f t="shared" si="32"/>
        <v>#NAME?</v>
      </c>
    </row>
    <row r="174" spans="1:20" ht="15">
      <c r="A174" s="37"/>
      <c r="B174" s="37"/>
      <c r="C174" s="37"/>
      <c r="D174" s="37"/>
      <c r="G174" s="6">
        <v>4</v>
      </c>
      <c r="H174" s="47">
        <f t="shared" si="21"/>
        <v>10000</v>
      </c>
      <c r="I174" s="47">
        <f t="shared" si="22"/>
        <v>62831.853071795864</v>
      </c>
      <c r="J174" s="47">
        <f t="shared" si="26"/>
        <v>0.012441679626749611</v>
      </c>
      <c r="K174" s="47" t="e">
        <f>IMDIV(((M_3/us)*Vout_nom)/(M1M2/us),_XLL.KOMPLEXE(1,(I174/(2*PI()*fPWM_PSpole))))</f>
        <v>#NAME?</v>
      </c>
      <c r="L174" s="6" t="e">
        <f t="shared" si="27"/>
        <v>#NAME?</v>
      </c>
      <c r="M174" s="6" t="e">
        <f>_XLL.IMPRODUKT(J174,K174)</f>
        <v>#NAME?</v>
      </c>
      <c r="N174" s="6" t="e">
        <f t="shared" si="28"/>
        <v>#NAME?</v>
      </c>
      <c r="O174" s="51" t="e">
        <f t="shared" si="29"/>
        <v>#NAME?</v>
      </c>
      <c r="P174" s="54" t="e">
        <f>_XLL.IMPRODUKT(gmv,IMDIV((_XLL.KOMPLEXE(1,I174*(Rvcomp*kOhms)*(Cvcomp*uF))),_XLL.IMPRODUKT((_XLL.KOMPLEXE(0,data!I174*((Cvcomp*uF)+(Cvcomp_p*uF)))),(_XLL.KOMPLEXE(1,I174*((Rvcomp*kOhms)*(Cvcomp*uF)*(Cvcomp_p*uF))/((Cvcomp*uF)+(Cvcomp_p*uF)))))))</f>
        <v>#NAME?</v>
      </c>
      <c r="Q174" s="55" t="e">
        <f t="shared" si="30"/>
        <v>#NAME?</v>
      </c>
      <c r="R174" s="55" t="e">
        <f>_XLL.IMPRODUKT((M174),(P174))</f>
        <v>#NAME?</v>
      </c>
      <c r="S174" s="55" t="e">
        <f t="shared" si="31"/>
        <v>#NAME?</v>
      </c>
      <c r="T174" s="56" t="e">
        <f t="shared" si="32"/>
        <v>#NAME?</v>
      </c>
    </row>
    <row r="175" spans="1:4" ht="14.25">
      <c r="A175" s="37"/>
      <c r="B175" s="37"/>
      <c r="C175" s="37"/>
      <c r="D175" s="37"/>
    </row>
    <row r="176" spans="1:4" ht="14.25">
      <c r="A176" s="37"/>
      <c r="B176" s="37"/>
      <c r="C176" s="37"/>
      <c r="D176" s="37"/>
    </row>
    <row r="177" spans="1:4" ht="14.25">
      <c r="A177" s="37"/>
      <c r="B177" s="37"/>
      <c r="C177" s="37"/>
      <c r="D177" s="37"/>
    </row>
    <row r="178" spans="1:4" ht="14.25">
      <c r="A178" s="37"/>
      <c r="B178" s="37"/>
      <c r="C178" s="37"/>
      <c r="D178" s="37"/>
    </row>
    <row r="179" spans="1:4" ht="14.25">
      <c r="A179" s="37"/>
      <c r="B179" s="37"/>
      <c r="C179" s="37"/>
      <c r="D179" s="37"/>
    </row>
    <row r="180" spans="1:4" ht="15">
      <c r="A180" s="57" t="s">
        <v>448</v>
      </c>
      <c r="B180" s="57"/>
      <c r="C180" s="57"/>
      <c r="D180" s="37"/>
    </row>
    <row r="181" spans="1:4" ht="14.25">
      <c r="A181" s="58">
        <v>100</v>
      </c>
      <c r="B181" s="58">
        <v>105</v>
      </c>
      <c r="C181" s="59"/>
      <c r="D181" s="37"/>
    </row>
    <row r="182" spans="1:4" ht="14.25">
      <c r="A182" s="58">
        <v>105</v>
      </c>
      <c r="B182" s="58">
        <v>110</v>
      </c>
      <c r="C182" s="59"/>
      <c r="D182" s="37"/>
    </row>
    <row r="183" spans="1:4" ht="14.25">
      <c r="A183" s="58">
        <v>110</v>
      </c>
      <c r="B183" s="58">
        <v>115</v>
      </c>
      <c r="C183" s="59"/>
      <c r="D183" s="37"/>
    </row>
    <row r="184" spans="1:4" ht="14.25">
      <c r="A184" s="58">
        <v>115</v>
      </c>
      <c r="B184" s="58">
        <v>121</v>
      </c>
      <c r="C184" s="59"/>
      <c r="D184" s="37"/>
    </row>
    <row r="185" spans="1:4" ht="14.25">
      <c r="A185" s="58">
        <v>121</v>
      </c>
      <c r="B185" s="58">
        <v>127</v>
      </c>
      <c r="C185" s="59"/>
      <c r="D185" s="37"/>
    </row>
    <row r="186" spans="1:4" ht="14.25">
      <c r="A186" s="58">
        <v>127</v>
      </c>
      <c r="B186" s="58">
        <v>133</v>
      </c>
      <c r="C186" s="59"/>
      <c r="D186" s="37"/>
    </row>
    <row r="187" spans="1:4" ht="14.25">
      <c r="A187" s="58">
        <v>133</v>
      </c>
      <c r="B187" s="58">
        <v>140</v>
      </c>
      <c r="C187" s="59"/>
      <c r="D187" s="37"/>
    </row>
    <row r="188" spans="1:4" ht="14.25">
      <c r="A188" s="58">
        <v>140</v>
      </c>
      <c r="B188" s="58">
        <v>147</v>
      </c>
      <c r="C188" s="59"/>
      <c r="D188" s="37"/>
    </row>
    <row r="189" spans="1:4" ht="14.25">
      <c r="A189" s="58">
        <v>147</v>
      </c>
      <c r="B189" s="58">
        <v>154</v>
      </c>
      <c r="C189" s="59"/>
      <c r="D189" s="37"/>
    </row>
    <row r="190" spans="1:4" ht="14.25">
      <c r="A190" s="58">
        <v>154</v>
      </c>
      <c r="B190" s="58">
        <v>162</v>
      </c>
      <c r="C190" s="59"/>
      <c r="D190" s="37"/>
    </row>
    <row r="191" spans="1:4" ht="14.25">
      <c r="A191" s="58">
        <v>162</v>
      </c>
      <c r="B191" s="58">
        <v>169</v>
      </c>
      <c r="C191" s="59"/>
      <c r="D191" s="37"/>
    </row>
    <row r="192" spans="1:4" ht="14.25">
      <c r="A192" s="58">
        <v>169</v>
      </c>
      <c r="B192" s="58">
        <v>178</v>
      </c>
      <c r="C192" s="59"/>
      <c r="D192" s="37"/>
    </row>
    <row r="193" spans="1:4" ht="14.25">
      <c r="A193" s="58">
        <v>178</v>
      </c>
      <c r="B193" s="58">
        <v>187</v>
      </c>
      <c r="C193" s="59"/>
      <c r="D193" s="37"/>
    </row>
    <row r="194" spans="1:4" ht="14.25">
      <c r="A194" s="58">
        <v>187</v>
      </c>
      <c r="B194" s="58">
        <v>196</v>
      </c>
      <c r="C194" s="59"/>
      <c r="D194" s="37"/>
    </row>
    <row r="195" spans="1:4" ht="14.25">
      <c r="A195" s="58">
        <v>196</v>
      </c>
      <c r="B195" s="58">
        <v>205</v>
      </c>
      <c r="C195" s="59"/>
      <c r="D195" s="37"/>
    </row>
    <row r="196" spans="1:4" ht="14.25">
      <c r="A196" s="58">
        <v>205</v>
      </c>
      <c r="B196" s="58">
        <v>215</v>
      </c>
      <c r="C196" s="59"/>
      <c r="D196" s="37"/>
    </row>
    <row r="197" spans="1:4" ht="14.25">
      <c r="A197" s="58">
        <v>215</v>
      </c>
      <c r="B197" s="58">
        <v>226</v>
      </c>
      <c r="C197" s="59"/>
      <c r="D197" s="37"/>
    </row>
    <row r="198" spans="1:4" ht="14.25">
      <c r="A198" s="58">
        <v>226</v>
      </c>
      <c r="B198" s="58">
        <v>237</v>
      </c>
      <c r="C198" s="59"/>
      <c r="D198" s="37"/>
    </row>
    <row r="199" spans="1:4" ht="14.25">
      <c r="A199" s="58">
        <v>237</v>
      </c>
      <c r="B199" s="58">
        <v>249</v>
      </c>
      <c r="C199" s="59"/>
      <c r="D199" s="37"/>
    </row>
    <row r="200" spans="1:4" ht="14.25">
      <c r="A200" s="58">
        <v>249</v>
      </c>
      <c r="B200" s="58">
        <v>261</v>
      </c>
      <c r="C200" s="59"/>
      <c r="D200" s="37"/>
    </row>
    <row r="201" spans="1:4" ht="14.25">
      <c r="A201" s="58">
        <v>261</v>
      </c>
      <c r="B201" s="58">
        <v>274</v>
      </c>
      <c r="C201" s="59"/>
      <c r="D201" s="37"/>
    </row>
    <row r="202" spans="1:4" ht="14.25">
      <c r="A202" s="58">
        <v>274</v>
      </c>
      <c r="B202" s="58">
        <v>287</v>
      </c>
      <c r="C202" s="59"/>
      <c r="D202" s="37"/>
    </row>
    <row r="203" spans="1:4" ht="14.25">
      <c r="A203" s="58">
        <v>287</v>
      </c>
      <c r="B203" s="58">
        <v>301</v>
      </c>
      <c r="C203" s="59"/>
      <c r="D203" s="37"/>
    </row>
    <row r="204" spans="1:4" ht="14.25">
      <c r="A204" s="58">
        <v>301</v>
      </c>
      <c r="B204" s="58">
        <v>316</v>
      </c>
      <c r="C204" s="59"/>
      <c r="D204" s="37"/>
    </row>
    <row r="205" spans="1:4" ht="14.25">
      <c r="A205" s="58">
        <v>316</v>
      </c>
      <c r="B205" s="58">
        <v>332</v>
      </c>
      <c r="C205" s="59"/>
      <c r="D205" s="37"/>
    </row>
    <row r="206" spans="1:4" ht="14.25">
      <c r="A206" s="58">
        <v>332</v>
      </c>
      <c r="B206" s="58">
        <v>348</v>
      </c>
      <c r="C206" s="59"/>
      <c r="D206" s="37"/>
    </row>
    <row r="207" spans="1:4" ht="14.25">
      <c r="A207" s="58">
        <v>348</v>
      </c>
      <c r="B207" s="58">
        <v>365</v>
      </c>
      <c r="C207" s="59"/>
      <c r="D207" s="37"/>
    </row>
    <row r="208" spans="1:4" ht="14.25">
      <c r="A208" s="58">
        <v>365</v>
      </c>
      <c r="B208" s="58">
        <v>383</v>
      </c>
      <c r="C208" s="59"/>
      <c r="D208" s="37"/>
    </row>
    <row r="209" spans="1:4" ht="14.25">
      <c r="A209" s="58">
        <v>383</v>
      </c>
      <c r="B209" s="58">
        <v>402</v>
      </c>
      <c r="C209" s="59"/>
      <c r="D209" s="37"/>
    </row>
    <row r="210" spans="1:4" ht="14.25">
      <c r="A210" s="58">
        <v>402</v>
      </c>
      <c r="B210" s="58">
        <v>422</v>
      </c>
      <c r="C210" s="59"/>
      <c r="D210" s="37"/>
    </row>
    <row r="211" spans="1:4" ht="14.25">
      <c r="A211" s="58">
        <v>422</v>
      </c>
      <c r="B211" s="58">
        <v>442</v>
      </c>
      <c r="C211" s="59"/>
      <c r="D211" s="37"/>
    </row>
    <row r="212" spans="1:4" ht="14.25">
      <c r="A212" s="58">
        <v>442</v>
      </c>
      <c r="B212" s="58">
        <v>464</v>
      </c>
      <c r="C212" s="59"/>
      <c r="D212" s="37"/>
    </row>
    <row r="213" spans="1:4" ht="14.25">
      <c r="A213" s="58">
        <v>464</v>
      </c>
      <c r="B213" s="58">
        <v>487</v>
      </c>
      <c r="C213" s="59"/>
      <c r="D213" s="37"/>
    </row>
    <row r="214" spans="1:4" ht="14.25">
      <c r="A214" s="58">
        <v>487</v>
      </c>
      <c r="B214" s="58">
        <v>511</v>
      </c>
      <c r="C214" s="59"/>
      <c r="D214" s="37"/>
    </row>
    <row r="215" spans="1:4" ht="14.25">
      <c r="A215" s="58">
        <v>511</v>
      </c>
      <c r="B215" s="58">
        <v>536</v>
      </c>
      <c r="C215" s="59"/>
      <c r="D215" s="37"/>
    </row>
    <row r="216" spans="1:6" ht="18.75">
      <c r="A216" s="58">
        <v>536</v>
      </c>
      <c r="B216" s="58">
        <v>562</v>
      </c>
      <c r="C216" s="59"/>
      <c r="D216" s="37"/>
      <c r="E216" s="31" t="s">
        <v>449</v>
      </c>
      <c r="F216" s="31">
        <v>5</v>
      </c>
    </row>
    <row r="217" spans="1:6" ht="18.75">
      <c r="A217" s="58">
        <v>562</v>
      </c>
      <c r="B217" s="58">
        <v>590</v>
      </c>
      <c r="C217" s="59"/>
      <c r="D217" s="37"/>
      <c r="E217" s="31" t="s">
        <v>450</v>
      </c>
      <c r="F217" s="31">
        <v>4.93</v>
      </c>
    </row>
    <row r="218" spans="1:6" ht="18.75">
      <c r="A218" s="58">
        <v>590</v>
      </c>
      <c r="B218" s="58">
        <v>619</v>
      </c>
      <c r="C218" s="59"/>
      <c r="D218" s="37"/>
      <c r="E218" s="31" t="s">
        <v>451</v>
      </c>
      <c r="F218" s="31">
        <v>5.07</v>
      </c>
    </row>
    <row r="219" spans="1:4" ht="14.25">
      <c r="A219" s="58">
        <v>619</v>
      </c>
      <c r="B219" s="58">
        <v>649</v>
      </c>
      <c r="C219" s="59"/>
      <c r="D219" s="37"/>
    </row>
    <row r="220" spans="1:4" ht="14.25">
      <c r="A220" s="58">
        <v>649</v>
      </c>
      <c r="B220" s="58">
        <v>681</v>
      </c>
      <c r="C220" s="59"/>
      <c r="D220" s="37"/>
    </row>
    <row r="221" spans="1:4" ht="14.25">
      <c r="A221" s="58">
        <v>681</v>
      </c>
      <c r="B221" s="58">
        <v>715</v>
      </c>
      <c r="C221" s="59"/>
      <c r="D221" s="37"/>
    </row>
    <row r="222" spans="1:4" ht="14.25">
      <c r="A222" s="58">
        <v>715</v>
      </c>
      <c r="B222" s="58">
        <v>750</v>
      </c>
      <c r="C222" s="59"/>
      <c r="D222" s="37"/>
    </row>
    <row r="223" spans="1:4" ht="14.25">
      <c r="A223" s="58">
        <v>750</v>
      </c>
      <c r="B223" s="58">
        <v>787</v>
      </c>
      <c r="C223" s="59"/>
      <c r="D223" s="37"/>
    </row>
    <row r="224" spans="1:4" ht="14.25">
      <c r="A224" s="58">
        <v>787</v>
      </c>
      <c r="B224" s="58">
        <v>825</v>
      </c>
      <c r="C224" s="59"/>
      <c r="D224" s="37"/>
    </row>
    <row r="225" spans="1:5" ht="15">
      <c r="A225" s="58">
        <v>825</v>
      </c>
      <c r="B225" s="58">
        <v>866</v>
      </c>
      <c r="C225" s="59"/>
      <c r="D225" s="37"/>
      <c r="E225" s="60" t="s">
        <v>452</v>
      </c>
    </row>
    <row r="226" spans="1:4" ht="14.25">
      <c r="A226" s="58">
        <v>866</v>
      </c>
      <c r="B226" s="58">
        <v>909</v>
      </c>
      <c r="C226" s="59"/>
      <c r="D226" s="37"/>
    </row>
    <row r="227" spans="1:6" ht="18.75">
      <c r="A227" s="58">
        <v>909</v>
      </c>
      <c r="B227" s="58">
        <v>953</v>
      </c>
      <c r="C227" s="59"/>
      <c r="D227" s="37"/>
      <c r="E227" s="31" t="s">
        <v>453</v>
      </c>
      <c r="F227" s="31">
        <f>((L_I_ripple_factor*Iin_peak_max)/(8*fsw*kHz*Vin_ripple))/picoF</f>
        <v>117238.52591637369</v>
      </c>
    </row>
    <row r="228" spans="1:7" ht="14.25">
      <c r="A228" s="58">
        <v>953</v>
      </c>
      <c r="B228" s="58">
        <v>1000</v>
      </c>
      <c r="C228" s="59"/>
      <c r="D228" s="37"/>
      <c r="F228" s="31">
        <f>(IF(Cin_initial&lt;10000,F229*10^INT(LOG(Cin_initial)),F230*10^INT(LOG(Cin_initial))*uF))</f>
        <v>0.12</v>
      </c>
      <c r="G228" s="31" t="str">
        <f>IF(Cin_initial&lt;10000,"pF",I236)</f>
        <v>µF</v>
      </c>
    </row>
    <row r="229" spans="1:6" ht="14.25">
      <c r="A229" s="37"/>
      <c r="B229" s="37"/>
      <c r="C229" s="37"/>
      <c r="D229" s="37"/>
      <c r="F229" s="31">
        <f ca="1">IF((10^(LOG(Cin_initial)-INT(LOG(Cin_initial))))-VLOOKUP((10^(LOG(Cin_initial)-INT(LOG(Cin_initial)))),C_s1:C_f1,1)&lt;VLOOKUP((10^(LOG(Cin_initial)-INT(LOG(Cin_initial)))),C_s1:C_f1,2)-(10^(LOG(Cin_initial)-INT(LOG(Cin_initial)))),VLOOKUP((10^(LOG(Cin_initial)-INT(LOG(Cin_initial)))),C_s1:C_f1,1),VLOOKUP((10^(LOG(Cin_initial)-INT(LOG(Cin_initial)))),C_s1:C_f1,2))</f>
        <v>1.2</v>
      </c>
    </row>
    <row r="230" spans="1:6" ht="14.25">
      <c r="A230" s="37"/>
      <c r="B230" s="37"/>
      <c r="C230" s="37"/>
      <c r="D230" s="37"/>
      <c r="F230" s="31">
        <f ca="1">IF((10^(LOG(Cin_initial)-INT(LOG(Cin_initial))))-VLOOKUP((10^(LOG(Cin_initial)-INT(LOG(Cin_initial)))),C_s2:C_f2,1)&lt;VLOOKUP((10^(LOG(Cin_initial)-INT(LOG(Cin_initial)))),C_s2:C_f2,2)-(10^(LOG(Cin_initial)-INT(LOG(Cin_initial)))),VLOOKUP((10^(LOG(Cin_initial)-INT(LOG(Cin_initial)))),C_s2:C_f2,1),VLOOKUP((10^(LOG(Cin_initial)-INT(LOG(Cin_initial)))),C_s2:C_f2,2))</f>
        <v>1.2</v>
      </c>
    </row>
    <row r="231" spans="1:4" ht="14.25">
      <c r="A231" s="37"/>
      <c r="B231" s="37"/>
      <c r="C231" s="37"/>
      <c r="D231" s="37"/>
    </row>
    <row r="232" spans="1:6" ht="18.75">
      <c r="A232" s="61" t="s">
        <v>454</v>
      </c>
      <c r="B232" s="61"/>
      <c r="C232" s="61"/>
      <c r="D232" s="37"/>
      <c r="E232" s="31" t="s">
        <v>455</v>
      </c>
      <c r="F232" s="31">
        <f>((1*MegOhm*32.7*kOhms*65*kHz)/((1*MegOhm*fSW_target*kHz)+(32.7*kOhms*fSW_target*kHz)-(32.7*kOhms*65*kHz)))/kOhms</f>
        <v>21.014489171432952</v>
      </c>
    </row>
    <row r="233" spans="1:7" ht="15">
      <c r="A233" s="61" t="s">
        <v>456</v>
      </c>
      <c r="B233" s="61"/>
      <c r="C233" s="61"/>
      <c r="D233" s="37"/>
      <c r="F233" s="31">
        <f ca="1">(IF((10^(LOG(Rfreq_initial)-INT(LOG(Rfreq_initial)))*100)-VLOOKUP((10^(LOG(Rfreq_initial)-INT(LOG(Rfreq_initial)))*100),E_48s:E_48f,1)&lt;VLOOKUP((10^(LOG(Rfreq_initial)-INT(LOG(Rfreq_initial)))*100),E_48s:E_48f,2)-(10^(LOG(Rfreq_initial)-INT(LOG(Rfreq_initial)))*100),VLOOKUP((10^(LOG(Rfreq_initial)-INT(LOG(Rfreq_initial)))*100),E_48s:E_48f,1),VLOOKUP((10^(LOG(Rfreq_initial)-INT(LOG(Rfreq_initial)))*100),E_48s:E_48f,2)))*10^INT(LOG(Rfreq_initial))/100</f>
        <v>21.5</v>
      </c>
      <c r="G233" s="31" t="s">
        <v>457</v>
      </c>
    </row>
    <row r="234" spans="1:4" ht="14.25">
      <c r="A234" s="59">
        <v>1</v>
      </c>
      <c r="B234" s="59">
        <v>1.2</v>
      </c>
      <c r="C234" s="59"/>
      <c r="D234" s="37"/>
    </row>
    <row r="235" spans="1:6" ht="18.75">
      <c r="A235" s="59">
        <v>1.2</v>
      </c>
      <c r="B235" s="59">
        <v>1.5</v>
      </c>
      <c r="C235" s="59"/>
      <c r="D235" s="37"/>
      <c r="E235" s="31" t="s">
        <v>458</v>
      </c>
      <c r="F235" s="31">
        <f>(((2*Pout*t_holdup*ms)/((Vout^2)-(Vout_holdup^2))))/picoF</f>
        <v>303951367.78115505</v>
      </c>
    </row>
    <row r="236" spans="1:9" ht="18.75">
      <c r="A236" s="59">
        <v>1.5</v>
      </c>
      <c r="B236" s="59">
        <v>1.8</v>
      </c>
      <c r="C236" s="59"/>
      <c r="D236" s="37"/>
      <c r="E236" s="31" t="s">
        <v>458</v>
      </c>
      <c r="F236" s="31">
        <f>(IF(Cout_initial&lt;10000,F237*10^INT(LOG(Cout_initial)),F238*10^INT(LOG(Cout_initial))*uF))</f>
        <v>330</v>
      </c>
      <c r="G236" s="31" t="str">
        <f>IF(Cout_initial&lt;10000,"pF",I236)</f>
        <v>µF</v>
      </c>
      <c r="I236" s="31" t="s">
        <v>459</v>
      </c>
    </row>
    <row r="237" spans="1:6" ht="14.25">
      <c r="A237" s="59">
        <v>1.8</v>
      </c>
      <c r="B237" s="59">
        <v>2.2</v>
      </c>
      <c r="C237" s="59"/>
      <c r="D237" s="37"/>
      <c r="F237" s="31">
        <f ca="1">IF((10^(LOG(Cout_initial)-INT(LOG(Cout_initial))))-VLOOKUP((10^(LOG(Cout_initial)-INT(LOG(Cout_initial)))),C_s1:C_f1,1)&lt;VLOOKUP((10^(LOG(Cout_initial)-INT(LOG(Cout_initial)))),C_s1:C_f1,2)-(10^(LOG(Cout_initial)-INT(LOG(Cout_initial)))),VLOOKUP((10^(LOG(Cout_initial)-INT(LOG(Cout_initial)))),C_s1:C_f1,1),VLOOKUP((10^(LOG(Cout_initial)-INT(LOG(Cout_initial)))),C_s1:C_f1,2))</f>
        <v>3.3</v>
      </c>
    </row>
    <row r="238" spans="1:6" ht="14.25">
      <c r="A238" s="59">
        <v>2.2</v>
      </c>
      <c r="B238" s="59">
        <v>2.7</v>
      </c>
      <c r="C238" s="59"/>
      <c r="D238" s="37"/>
      <c r="F238" s="31">
        <f ca="1">IF((10^(LOG(Cout_initial)-INT(LOG(Cout_initial))))-VLOOKUP((10^(LOG(Cout_initial)-INT(LOG(Cout_initial)))),C_s2:C_f2,1)&lt;VLOOKUP((10^(LOG(Cout_initial)-INT(LOG(Cout_initial)))),C_s2:C_f2,2)-(10^(LOG(Cout_initial)-INT(LOG(Cout_initial)))),VLOOKUP((10^(LOG(Cout_initial)-INT(LOG(Cout_initial)))),C_s2:C_f2,1),VLOOKUP((10^(LOG(Cout_initial)-INT(LOG(Cout_initial)))),C_s2:C_f2,2))</f>
        <v>3.3</v>
      </c>
    </row>
    <row r="239" spans="1:4" ht="14.25">
      <c r="A239" s="59">
        <v>2.7</v>
      </c>
      <c r="B239" s="59">
        <v>3.3</v>
      </c>
      <c r="C239" s="59"/>
      <c r="D239" s="37"/>
    </row>
    <row r="240" spans="1:4" ht="14.25">
      <c r="A240" s="59">
        <v>3.3</v>
      </c>
      <c r="B240" s="59">
        <v>3.9</v>
      </c>
      <c r="C240" s="59"/>
      <c r="D240" s="37"/>
    </row>
    <row r="241" spans="1:6" ht="18.75">
      <c r="A241" s="59">
        <v>3.9</v>
      </c>
      <c r="B241" s="59">
        <v>4.7</v>
      </c>
      <c r="C241" s="59"/>
      <c r="D241" s="37"/>
      <c r="E241" s="31" t="s">
        <v>460</v>
      </c>
      <c r="F241" s="31">
        <f>(VREF*R_fb1*kOhms)/(Vout-VREF)</f>
        <v>16.075949367088608</v>
      </c>
    </row>
    <row r="242" spans="1:7" ht="15">
      <c r="A242" s="59">
        <v>4.7</v>
      </c>
      <c r="B242" s="59">
        <v>5.6</v>
      </c>
      <c r="C242" s="59"/>
      <c r="D242" s="37"/>
      <c r="F242" s="31">
        <f ca="1">(IF((10^(LOG(Rfb2initial)-INT(LOG(Rfb2initial)))*100)-VLOOKUP((10^(LOG(Rfb2initial)-INT(LOG(Rfb2initial)))*100),E_48s:E_48f,1)&lt;VLOOKUP((10^(LOG(Rfb2initial)-INT(LOG(Rfb2initial)))*100),E_48s:E_48f,2)-(10^(LOG(Rfb2initial)-INT(LOG(Rfb2initial)))*100),VLOOKUP((10^(LOG(Rfb2initial)-INT(LOG(Rfb2initial)))*100),E_48s:E_48f,1),VLOOKUP((10^(LOG(Rfb2initial)-INT(LOG(Rfb2initial)))*100),E_48s:E_48f,2)))*10^INT(LOG(Rfb2initial))/100</f>
        <v>16.2</v>
      </c>
      <c r="G242" s="31" t="s">
        <v>457</v>
      </c>
    </row>
    <row r="243" spans="1:4" ht="14.25">
      <c r="A243" s="59">
        <v>5.6</v>
      </c>
      <c r="B243" s="59">
        <v>6.8</v>
      </c>
      <c r="C243" s="59"/>
      <c r="D243" s="37"/>
    </row>
    <row r="244" spans="1:6" ht="16.5">
      <c r="A244" s="59">
        <v>6.8</v>
      </c>
      <c r="B244" s="59">
        <v>8.2</v>
      </c>
      <c r="C244" s="59"/>
      <c r="D244" s="37"/>
      <c r="E244" s="62" t="s">
        <v>241</v>
      </c>
      <c r="F244" s="31">
        <f>((10*us)/(R_fb2*kOhms))/picoF</f>
        <v>624.9999999999999</v>
      </c>
    </row>
    <row r="245" spans="1:7" ht="16.5">
      <c r="A245" s="59">
        <v>8.2</v>
      </c>
      <c r="B245" s="59">
        <v>10</v>
      </c>
      <c r="C245" s="59"/>
      <c r="D245" s="37"/>
      <c r="E245" s="62" t="s">
        <v>241</v>
      </c>
      <c r="F245" s="31">
        <f>(IF(Cvsense_initial&lt;10000,F246*10^INT(LOG(Cvsense_initial)),F247*10^INT(LOG(Cvsense_initial))*uF))</f>
        <v>680</v>
      </c>
      <c r="G245" s="31" t="str">
        <f>IF(Cvsense_initial&lt;10000,"pF",I236)</f>
        <v>pF</v>
      </c>
    </row>
    <row r="246" spans="1:6" ht="14.25">
      <c r="A246" s="61" t="s">
        <v>461</v>
      </c>
      <c r="B246" s="61"/>
      <c r="C246" s="61"/>
      <c r="D246" s="37"/>
      <c r="F246" s="31">
        <f ca="1">IF((10^(LOG(Cvsense_initial)-INT(LOG(Cvsense_initial))))-VLOOKUP((10^(LOG(Cvsense_initial)-INT(LOG(Cvsense_initial)))),C_s1:C_f1,1)&lt;VLOOKUP((10^(LOG(Cvsense_initial)-INT(LOG(Cvsense_initial)))),C_s1:C_f1,2)-(10^(LOG(Cvsense_initial)-INT(LOG(Cvsense_initial)))),VLOOKUP((10^(LOG(Cvsense_initial)-INT(LOG(Cvsense_initial)))),C_s1:C_f1,1),VLOOKUP((10^(LOG(Cvsense_initial)-INT(LOG(Cvsense_initial)))),C_s1:C_f1,2))</f>
        <v>6.8</v>
      </c>
    </row>
    <row r="247" spans="1:6" ht="14.25">
      <c r="A247" s="59">
        <v>1</v>
      </c>
      <c r="B247" s="31">
        <v>1.2</v>
      </c>
      <c r="C247" s="59"/>
      <c r="D247" s="37"/>
      <c r="F247" s="31">
        <f ca="1">IF((10^(LOG(Cvsense_initial)-INT(LOG(Cvsense_initial))))-VLOOKUP((10^(LOG(Cvsense_initial)-INT(LOG(Cvsense_initial)))),C_s2:C_f2,1)&lt;VLOOKUP((10^(LOG(Cvsense_initial)-INT(LOG(Cvsense_initial)))),C_s2:C_f2,2)-(10^(LOG(Cvsense_initial)-INT(LOG(Cvsense_initial)))),VLOOKUP((10^(LOG(Cvsense_initial)-INT(LOG(Cvsense_initial)))),C_s2:C_f2,1),VLOOKUP((10^(LOG(Cvsense_initial)-INT(LOG(Cvsense_initial)))),C_s2:C_f2,2))</f>
        <v>6.8</v>
      </c>
    </row>
    <row r="248" spans="1:4" ht="14.25">
      <c r="A248" s="31">
        <v>1.2</v>
      </c>
      <c r="B248" s="59">
        <v>1.5</v>
      </c>
      <c r="C248" s="59"/>
      <c r="D248" s="37"/>
    </row>
    <row r="249" spans="1:9" ht="18.75">
      <c r="A249" s="59">
        <v>1.5</v>
      </c>
      <c r="B249" s="31">
        <v>1.8</v>
      </c>
      <c r="C249" s="59"/>
      <c r="D249" s="37"/>
      <c r="E249" s="31" t="s">
        <v>462</v>
      </c>
      <c r="F249" s="31">
        <f>0.95*10^-3</f>
        <v>0.00095</v>
      </c>
      <c r="H249" s="31" t="s">
        <v>463</v>
      </c>
      <c r="I249" s="31">
        <f>0.056*10^-3</f>
        <v>5.6E-05</v>
      </c>
    </row>
    <row r="250" spans="1:4" ht="14.25">
      <c r="A250" s="31">
        <v>1.8</v>
      </c>
      <c r="B250" s="59">
        <v>2.2</v>
      </c>
      <c r="C250" s="59"/>
      <c r="D250" s="37"/>
    </row>
    <row r="251" spans="1:6" ht="18.75">
      <c r="A251" s="59">
        <v>2.2</v>
      </c>
      <c r="B251" s="31">
        <v>2.7</v>
      </c>
      <c r="C251" s="59"/>
      <c r="D251" s="37"/>
      <c r="E251" s="63" t="s">
        <v>464</v>
      </c>
      <c r="F251" s="31">
        <f>((gmi*M_1)/(K_1*2*PI()*((fsw*kHz)/40)))/picoF</f>
        <v>2038.8435331579906</v>
      </c>
    </row>
    <row r="252" spans="1:7" ht="18.75">
      <c r="A252" s="31">
        <v>2.7</v>
      </c>
      <c r="B252" s="59">
        <v>3.3</v>
      </c>
      <c r="C252" s="59"/>
      <c r="D252" s="37"/>
      <c r="E252" s="63" t="s">
        <v>464</v>
      </c>
      <c r="F252" s="31">
        <f>(IF(CICOMPmax_initial&lt;10000,F253*10^INT(LOG(CICOMPmax_initial)),F254*10^INT(LOG(CICOMPmax_initial))*uF))</f>
        <v>2200</v>
      </c>
      <c r="G252" s="31" t="str">
        <f>IF(CICOMPmax_initial&lt;10000,"pF",I236)</f>
        <v>pF</v>
      </c>
    </row>
    <row r="253" spans="1:6" ht="14.25">
      <c r="A253" s="59">
        <v>3.3</v>
      </c>
      <c r="B253" s="31">
        <v>3.9</v>
      </c>
      <c r="C253" s="37"/>
      <c r="D253" s="37"/>
      <c r="F253" s="31">
        <f ca="1">IF((10^(LOG(CICOMPmax_initial)-INT(LOG(CICOMPmax_initial))))-VLOOKUP((10^(LOG(CICOMPmax_initial)-INT(LOG(CICOMPmax_initial)))),C_s1:C_f1,1)&lt;VLOOKUP((10^(LOG(CICOMPmax_initial)-INT(LOG(CICOMPmax_initial)))),C_s1:C_f1,2)-(10^(LOG(CICOMPmax_initial)-INT(LOG(CICOMPmax_initial)))),VLOOKUP((10^(LOG(CICOMPmax_initial)-INT(LOG(CICOMPmax_initial)))),C_s1:C_f1,1),VLOOKUP((10^(LOG(CICOMPmax_initial)-INT(LOG(CICOMPmax_initial)))),C_s1:C_f1,2))</f>
        <v>2.2</v>
      </c>
    </row>
    <row r="254" spans="1:6" ht="14.25">
      <c r="A254" s="31">
        <v>3.9</v>
      </c>
      <c r="B254" s="59">
        <v>4.7</v>
      </c>
      <c r="C254" s="37"/>
      <c r="D254" s="37"/>
      <c r="F254" s="31">
        <f ca="1">IF((10^(LOG(CICOMPmax_initial)-INT(LOG(CICOMPmax_initial))))-VLOOKUP((10^(LOG(CICOMPmax_initial)-INT(LOG(CICOMPmax_initial)))),C_s2:C_f2,1)&lt;VLOOKUP((10^(LOG(CICOMPmax_initial)-INT(LOG(CICOMPmax_initial)))),C_s2:C_f2,2)-(10^(LOG(CICOMPmax_initial)-INT(LOG(CICOMPmax_initial)))),VLOOKUP((10^(LOG(CICOMPmax_initial)-INT(LOG(CICOMPmax_initial)))),C_s2:C_f2,1),VLOOKUP((10^(LOG(CICOMPmax_initial)-INT(LOG(CICOMPmax_initial)))),C_s2:C_f2,2))</f>
        <v>2.2</v>
      </c>
    </row>
    <row r="255" spans="1:4" ht="14.25">
      <c r="A255" s="59">
        <v>4.7</v>
      </c>
      <c r="B255" s="59">
        <v>6.8</v>
      </c>
      <c r="C255" s="37"/>
      <c r="D255" s="37"/>
    </row>
    <row r="256" spans="1:6" ht="18.75">
      <c r="A256" s="59">
        <v>6.8</v>
      </c>
      <c r="B256" s="31">
        <v>8.2</v>
      </c>
      <c r="C256" s="37"/>
      <c r="E256" s="63" t="s">
        <v>465</v>
      </c>
      <c r="F256" s="31">
        <f>((gmi*M_1)/(K_1*2*PI()*((fsw*kHz)/20)))/picoF</f>
        <v>1019.4217665789953</v>
      </c>
    </row>
    <row r="257" spans="1:7" ht="18.75">
      <c r="A257" s="64">
        <v>8.2</v>
      </c>
      <c r="B257" s="59">
        <v>10</v>
      </c>
      <c r="C257" s="37"/>
      <c r="E257" s="63" t="s">
        <v>465</v>
      </c>
      <c r="F257" s="31">
        <f>(IF(CICOMPmin_initial&lt;10000,F258*10^INT(LOG(CICOMPmin_initial)),F259*10^INT(LOG(CICOMPmin_initial))*uF))</f>
        <v>1000</v>
      </c>
      <c r="G257" s="31" t="str">
        <f>IF(CICOMPmax_initial&lt;10000,"pF",I241)</f>
        <v>pF</v>
      </c>
    </row>
    <row r="258" spans="1:6" ht="14.25">
      <c r="A258" s="37"/>
      <c r="B258" s="37"/>
      <c r="C258" s="37"/>
      <c r="D258" s="37"/>
      <c r="F258" s="31">
        <f ca="1">IF((10^(LOG(CICOMPmin_initial)-INT(LOG(CICOMPmin_initial))))-VLOOKUP((10^(LOG(CICOMPmin_initial)-INT(LOG(CICOMPmin_initial)))),C_s1:C_f1,1)&lt;VLOOKUP((10^(LOG(CICOMPmin_initial)-INT(LOG(CICOMPmin_initial)))),C_s1:C_f1,2)-(10^(LOG(CICOMPmin_initial)-INT(LOG(CICOMPmin_initial)))),VLOOKUP((10^(LOG(CICOMPmin_initial)-INT(LOG(CICOMPmin_initial)))),C_s1:C_f1,1),VLOOKUP((10^(LOG(CICOMPmin_initial)-INT(LOG(CICOMPmin_initial)))),C_s1:C_f1,2))</f>
        <v>1</v>
      </c>
    </row>
    <row r="259" spans="1:6" ht="14.25">
      <c r="A259" s="37"/>
      <c r="B259" s="37"/>
      <c r="C259" s="37"/>
      <c r="D259" s="37"/>
      <c r="F259" s="31">
        <f ca="1">IF((10^(LOG(CICOMPmin_initial)-INT(LOG(CICOMPmin_initial))))-VLOOKUP((10^(LOG(CICOMPmin_initial)-INT(LOG(CICOMPmin_initial)))),C_s2:C_f2,1)&lt;VLOOKUP((10^(LOG(CICOMPmin_initial)-INT(LOG(CICOMPmin_initial)))),C_s2:C_f2,2)-(10^(LOG(CICOMPmin_initial)-INT(LOG(CICOMPmin_initial)))),VLOOKUP((10^(LOG(CICOMPmin_initial)-INT(LOG(CICOMPmin_initial)))),C_s2:C_f2,1),VLOOKUP((10^(LOG(CICOMPmin_initial)-INT(LOG(CICOMPmin_initial)))),C_s2:C_f2,2))</f>
        <v>1</v>
      </c>
    </row>
    <row r="260" spans="1:4" ht="14.25">
      <c r="A260" s="37"/>
      <c r="B260" s="37"/>
      <c r="C260" s="37"/>
      <c r="D260" s="37"/>
    </row>
    <row r="261" spans="1:6" ht="18.75">
      <c r="A261" s="37"/>
      <c r="B261" s="37"/>
      <c r="C261" s="37"/>
      <c r="D261" s="37"/>
      <c r="E261" s="31" t="s">
        <v>466</v>
      </c>
      <c r="F261" s="31" t="e">
        <f>((((56*10^-6)*fv)/fPWM_PSpole)/((10^((0-GVL_dB)/20))*2*PI()*fv))/picoF</f>
        <v>#NAME?</v>
      </c>
    </row>
    <row r="262" spans="1:7" ht="14.25">
      <c r="A262" s="37"/>
      <c r="B262" s="37"/>
      <c r="C262" s="37"/>
      <c r="D262" s="37"/>
      <c r="F262" s="31" t="e">
        <f>(IF(CVCOMPinitial&lt;10000,F263*10^INT(LOG(CVCOMPinitial)),F264*10^INT(LOG(CVCOMPinitial))*uF))</f>
        <v>#NAME?</v>
      </c>
      <c r="G262" s="31" t="e">
        <f>IF(CVCOMPinitial&lt;10000,"pF",I236)</f>
        <v>#NAME?</v>
      </c>
    </row>
    <row r="263" spans="1:6" ht="14.25">
      <c r="A263" s="37"/>
      <c r="B263" s="37"/>
      <c r="C263" s="37"/>
      <c r="D263" s="37"/>
      <c r="F263" s="31" t="e">
        <f ca="1">IF((10^(LOG(CVCOMPinitial)-INT(LOG(CVCOMPinitial))))-VLOOKUP((10^(LOG(CVCOMPinitial)-INT(LOG(CVCOMPinitial)))),C_s1:C_f1,1)&lt;VLOOKUP((10^(LOG(CVCOMPinitial)-INT(LOG(CVCOMPinitial)))),C_s1:C_f1,2)-(10^(LOG(CVCOMPinitial)-INT(LOG(CVCOMPinitial)))),VLOOKUP((10^(LOG(CVCOMPinitial)-INT(LOG(CVCOMPinitial)))),C_s1:C_f1,1),VLOOKUP((10^(LOG(CVCOMPinitial)-INT(LOG(CVCOMPinitial)))),C_s1:C_f1,2))</f>
        <v>#NAME?</v>
      </c>
    </row>
    <row r="264" spans="1:6" ht="14.25">
      <c r="A264" s="37"/>
      <c r="B264" s="37"/>
      <c r="C264" s="37"/>
      <c r="D264" s="37"/>
      <c r="F264" s="31" t="e">
        <f ca="1">IF((10^(LOG(CVCOMPinitial)-INT(LOG(CVCOMPinitial))))-VLOOKUP((10^(LOG(CVCOMPinitial)-INT(LOG(CVCOMPinitial)))),C_s2:C_f2,1)&lt;VLOOKUP((10^(LOG(CVCOMPinitial)-INT(LOG(CVCOMPinitial)))),C_s2:C_f2,2)-(10^(LOG(CVCOMPinitial)-INT(LOG(CVCOMPinitial)))),VLOOKUP((10^(LOG(CVCOMPinitial)-INT(LOG(CVCOMPinitial)))),C_s2:C_f2,1),VLOOKUP((10^(LOG(CVCOMPinitial)-INT(LOG(CVCOMPinitial)))),C_s2:C_f2,2))</f>
        <v>#NAME?</v>
      </c>
    </row>
    <row r="265" spans="1:4" ht="14.25">
      <c r="A265" s="37"/>
      <c r="B265" s="37"/>
      <c r="C265" s="37"/>
      <c r="D265" s="37"/>
    </row>
    <row r="266" spans="1:6" ht="18.75">
      <c r="A266" s="37"/>
      <c r="B266" s="37"/>
      <c r="C266" s="37"/>
      <c r="D266" s="37"/>
      <c r="E266" s="31" t="s">
        <v>467</v>
      </c>
      <c r="F266" s="31">
        <f>(1/(2*PI()*fPWM_PSpole*Cvcomp*uF))/(kOhms)</f>
        <v>16.394028481411464</v>
      </c>
    </row>
    <row r="267" spans="1:7" ht="15">
      <c r="A267" s="37"/>
      <c r="B267" s="37"/>
      <c r="C267" s="37"/>
      <c r="D267" s="37"/>
      <c r="F267" s="31">
        <f ca="1">(IF((10^(LOG(Rvcomp_initial)-INT(LOG(Rvcomp_initial)))*100)-VLOOKUP((10^(LOG(Rvcomp_initial)-INT(LOG(Rvcomp_initial)))*100),E_48s:E_48f,1)&lt;VLOOKUP((10^(LOG(Rvcomp_initial)-INT(LOG(Rvcomp_initial)))*100),E_48s:E_48f,2)-(10^(LOG(Rvcomp_initial)-INT(LOG(Rvcomp_initial)))*100),VLOOKUP((10^(LOG(Rvcomp_initial)-INT(LOG(Rvcomp_initial)))*100),E_48s:E_48f,1),VLOOKUP((10^(LOG(Rvcomp_initial)-INT(LOG(Rvcomp_initial)))*100),E_48s:E_48f,2)))*10^INT(LOG(Rvcomp_initial))/100</f>
        <v>16.2</v>
      </c>
      <c r="G267" s="31" t="s">
        <v>457</v>
      </c>
    </row>
    <row r="268" spans="1:4" ht="14.25">
      <c r="A268" s="37"/>
      <c r="B268" s="37"/>
      <c r="C268" s="37"/>
      <c r="D268" s="37"/>
    </row>
    <row r="269" spans="1:4" ht="14.25">
      <c r="A269" s="37"/>
      <c r="B269" s="37"/>
      <c r="C269" s="37"/>
      <c r="D269" s="37"/>
    </row>
    <row r="270" spans="1:6" ht="18.75">
      <c r="A270" s="37"/>
      <c r="B270" s="37"/>
      <c r="C270" s="37"/>
      <c r="D270" s="37"/>
      <c r="E270" s="31" t="s">
        <v>468</v>
      </c>
      <c r="F270" s="31">
        <f>((Cvcomp*uF)/((2*PI()*fpole*(Rvcomp*kOhms)*(Cvcomp*uF))-1))/picoF</f>
        <v>864575.4431891897</v>
      </c>
    </row>
    <row r="271" spans="1:7" ht="14.25">
      <c r="A271" s="37"/>
      <c r="B271" s="37"/>
      <c r="C271" s="37"/>
      <c r="D271" s="37"/>
      <c r="F271" s="31">
        <f>(IF(Cvcomp_p_initial&lt;10000,F272*10^INT(LOG(Cvcomp_p_initial)),F273*10^INT(LOG(Cvcomp_p_initial))*uF))</f>
        <v>0.8199999999999998</v>
      </c>
      <c r="G271" s="31" t="str">
        <f>IF(Cvcomp_p_initial&lt;10000,"pF",I236)</f>
        <v>µF</v>
      </c>
    </row>
    <row r="272" spans="1:6" ht="14.25">
      <c r="A272" s="37"/>
      <c r="B272" s="37"/>
      <c r="C272" s="37"/>
      <c r="D272" s="37"/>
      <c r="F272" s="31">
        <f ca="1">IF((10^(LOG(Cvcomp_p_initial)-INT(LOG(Cvcomp_p_initial))))-VLOOKUP((10^(LOG(Cvcomp_p_initial)-INT(LOG(Cvcomp_p_initial)))),C_s1:C_f1,1)&lt;VLOOKUP((10^(LOG(Cvcomp_p_initial)-INT(LOG(Cvcomp_p_initial)))),C_s1:C_f1,2)-(10^(LOG(Cvcomp_p_initial)-INT(LOG(Cvcomp_p_initial)))),VLOOKUP((10^(LOG(Cvcomp_p_initial)-INT(LOG(Cvcomp_p_initial)))),C_s1:C_f1,1),VLOOKUP((10^(LOG(Cvcomp_p_initial)-INT(LOG(Cvcomp_p_initial)))),C_s1:C_f1,2))</f>
        <v>8.2</v>
      </c>
    </row>
    <row r="273" spans="1:6" ht="14.25">
      <c r="A273" s="37"/>
      <c r="B273" s="37"/>
      <c r="C273" s="37"/>
      <c r="D273" s="37"/>
      <c r="F273" s="31">
        <f ca="1">IF((10^(LOG(Cvcomp_p_initial)-INT(LOG(Cvcomp_p_initial))))-VLOOKUP((10^(LOG(Cvcomp_p_initial)-INT(LOG(Cvcomp_p_initial)))),C_s2:C_f2,1)&lt;VLOOKUP((10^(LOG(Cvcomp_p_initial)-INT(LOG(Cvcomp_p_initial)))),C_s2:C_f2,2)-(10^(LOG(Cvcomp_p_initial)-INT(LOG(Cvcomp_p_initial)))),VLOOKUP((10^(LOG(Cvcomp_p_initial)-INT(LOG(Cvcomp_p_initial)))),C_s2:C_f2,1),VLOOKUP((10^(LOG(Cvcomp_p_initial)-INT(LOG(Cvcomp_p_initial)))),C_s2:C_f2,2))</f>
        <v>8.2</v>
      </c>
    </row>
    <row r="274" spans="1:4" ht="14.25">
      <c r="A274" s="37"/>
      <c r="B274" s="37"/>
      <c r="C274" s="37"/>
      <c r="D274" s="37"/>
    </row>
    <row r="275" spans="1:6" ht="18.75">
      <c r="A275" s="37"/>
      <c r="B275" s="37"/>
      <c r="C275" s="37"/>
      <c r="D275" s="37"/>
      <c r="E275" s="31" t="s">
        <v>469</v>
      </c>
      <c r="F275" s="31">
        <f>(1/(15*fsw*kHz*PI()*Risense))/picoF</f>
        <v>918.9229096477682</v>
      </c>
    </row>
    <row r="276" spans="1:7" ht="14.25">
      <c r="A276" s="37"/>
      <c r="B276" s="37"/>
      <c r="C276" s="37"/>
      <c r="D276" s="37"/>
      <c r="F276" s="31">
        <f>(IF(Cisense_initial&lt;10000,F277*10^INT(LOG(Cisense_initial)),F278*10^INT(LOG(Cisense_initial))*uF))</f>
        <v>1000</v>
      </c>
      <c r="G276" s="31" t="str">
        <f>IF(Cisense_initial&lt;10000,"pF",I236)</f>
        <v>pF</v>
      </c>
    </row>
    <row r="277" spans="1:6" ht="14.25">
      <c r="A277" s="37"/>
      <c r="B277" s="37"/>
      <c r="C277" s="37"/>
      <c r="D277" s="37"/>
      <c r="F277" s="31">
        <f ca="1">IF((10^(LOG(Cisense_initial)-INT(LOG(Cisense_initial))))-VLOOKUP((10^(LOG(Cisense_initial)-INT(LOG(Cisense_initial)))),C_s1:C_f1,1)&lt;VLOOKUP((10^(LOG(Cisense_initial)-INT(LOG(Cisense_initial)))),C_s1:C_f1,2)-(10^(LOG(Cisense_initial)-INT(LOG(Cisense_initial)))),VLOOKUP((10^(LOG(Cisense_initial)-INT(LOG(Cisense_initial)))),C_s1:C_f1,1),VLOOKUP((10^(LOG(Cisense_initial)-INT(LOG(Cisense_initial)))),C_s1:C_f1,2))</f>
        <v>10</v>
      </c>
    </row>
    <row r="278" spans="1:6" ht="14.25">
      <c r="A278" s="37"/>
      <c r="B278" s="37"/>
      <c r="C278" s="37"/>
      <c r="D278" s="37"/>
      <c r="F278" s="31">
        <f ca="1">IF((10^(LOG(Cisense_initial)-INT(LOG(Cisense_initial))))-VLOOKUP((10^(LOG(Cisense_initial)-INT(LOG(Cisense_initial)))),C_s2:C_f2,1)&lt;VLOOKUP((10^(LOG(Cisense_initial)-INT(LOG(Cisense_initial)))),C_s2:C_f2,2)-(10^(LOG(Cisense_initial)-INT(LOG(Cisense_initial)))),VLOOKUP((10^(LOG(Cisense_initial)-INT(LOG(Cisense_initial)))),C_s2:C_f2,1),VLOOKUP((10^(LOG(Cisense_initial)-INT(LOG(Cisense_initial)))),C_s2:C_f2,2))</f>
        <v>10</v>
      </c>
    </row>
  </sheetData>
  <sheetProtection/>
  <mergeCells count="29">
    <mergeCell ref="A2:D2"/>
    <mergeCell ref="G34:H34"/>
    <mergeCell ref="G36:H36"/>
    <mergeCell ref="J36:K36"/>
    <mergeCell ref="G38:H38"/>
    <mergeCell ref="J38:K38"/>
    <mergeCell ref="G48:H48"/>
    <mergeCell ref="J48:K48"/>
    <mergeCell ref="G59:H59"/>
    <mergeCell ref="J59:K59"/>
    <mergeCell ref="G64:H64"/>
    <mergeCell ref="J64:K64"/>
    <mergeCell ref="G68:H68"/>
    <mergeCell ref="J68:K68"/>
    <mergeCell ref="A110:F110"/>
    <mergeCell ref="G110:O110"/>
    <mergeCell ref="P111:Q111"/>
    <mergeCell ref="R111:T111"/>
    <mergeCell ref="D112:E112"/>
    <mergeCell ref="K112:L112"/>
    <mergeCell ref="M112:N112"/>
    <mergeCell ref="A167:D167"/>
    <mergeCell ref="A180:C180"/>
    <mergeCell ref="A232:C232"/>
    <mergeCell ref="A233:C233"/>
    <mergeCell ref="A246:C246"/>
    <mergeCell ref="A111:A113"/>
    <mergeCell ref="G111:G113"/>
    <mergeCell ref="O111:O112"/>
  </mergeCells>
  <printOptions/>
  <pageMargins left="0.75" right="0.75" top="1" bottom="1" header="0.5" footer="0.5"/>
  <pageSetup horizontalDpi="600" verticalDpi="600" orientation="portrait"/>
  <ignoredErrors>
    <ignoredError sqref="M114 R114" formula="1"/>
  </ignoredErrors>
</worksheet>
</file>

<file path=xl/worksheets/sheet4.xml><?xml version="1.0" encoding="utf-8"?>
<worksheet xmlns="http://schemas.openxmlformats.org/spreadsheetml/2006/main" xmlns:r="http://schemas.openxmlformats.org/officeDocument/2006/relationships">
  <sheetPr codeName="Sheet4"/>
  <dimension ref="A1:Z290"/>
  <sheetViews>
    <sheetView zoomScale="80" zoomScaleNormal="80" workbookViewId="0" topLeftCell="A1">
      <selection activeCell="G8" sqref="G8"/>
    </sheetView>
  </sheetViews>
  <sheetFormatPr defaultColWidth="8.8515625" defaultRowHeight="12.75"/>
  <cols>
    <col min="1" max="1" width="10.00390625" style="1" customWidth="1"/>
    <col min="2" max="3" width="8.8515625" style="1" customWidth="1"/>
    <col min="4" max="4" width="12.421875" style="1" customWidth="1"/>
    <col min="5" max="6" width="8.8515625" style="1" customWidth="1"/>
    <col min="7" max="7" width="10.421875" style="1" customWidth="1"/>
    <col min="8" max="16384" width="8.8515625" style="1" customWidth="1"/>
  </cols>
  <sheetData>
    <row r="1" spans="1:5" ht="15">
      <c r="A1" s="2" t="s">
        <v>470</v>
      </c>
      <c r="B1" s="2"/>
      <c r="C1" s="2"/>
      <c r="D1" s="2"/>
      <c r="E1" s="2"/>
    </row>
    <row r="2" spans="1:5" ht="12.75">
      <c r="A2" s="3" t="s">
        <v>471</v>
      </c>
      <c r="B2" s="3"/>
      <c r="D2" s="4" t="s">
        <v>472</v>
      </c>
      <c r="E2" s="4"/>
    </row>
    <row r="3" spans="1:5" ht="12.75">
      <c r="A3" s="3"/>
      <c r="B3" s="3"/>
      <c r="D3" s="4"/>
      <c r="E3" s="4"/>
    </row>
    <row r="4" spans="1:5" ht="12.75">
      <c r="A4" s="3"/>
      <c r="B4" s="3"/>
      <c r="D4" s="4"/>
      <c r="E4" s="4"/>
    </row>
    <row r="5" spans="1:7" ht="16.5">
      <c r="A5" s="5" t="s">
        <v>250</v>
      </c>
      <c r="B5" s="1">
        <f>Vline</f>
        <v>230</v>
      </c>
      <c r="D5" s="5" t="s">
        <v>250</v>
      </c>
      <c r="E5" s="1">
        <f>Vline</f>
        <v>230</v>
      </c>
      <c r="G5" s="1" t="s">
        <v>473</v>
      </c>
    </row>
    <row r="6" spans="1:26" ht="18.75">
      <c r="A6" s="6" t="s">
        <v>396</v>
      </c>
      <c r="B6" s="6">
        <v>7</v>
      </c>
      <c r="D6" s="5" t="s">
        <v>474</v>
      </c>
      <c r="E6" s="1">
        <f>percent_load/100</f>
        <v>0.5</v>
      </c>
      <c r="G6" s="7" t="s">
        <v>475</v>
      </c>
      <c r="H6" s="7" t="s">
        <v>376</v>
      </c>
      <c r="I6" s="7" t="s">
        <v>399</v>
      </c>
      <c r="J6" s="16" t="s">
        <v>476</v>
      </c>
      <c r="K6" s="16" t="s">
        <v>477</v>
      </c>
      <c r="L6" s="16" t="s">
        <v>478</v>
      </c>
      <c r="M6" s="16" t="s">
        <v>479</v>
      </c>
      <c r="N6" s="17" t="s">
        <v>408</v>
      </c>
      <c r="O6" s="16" t="s">
        <v>480</v>
      </c>
      <c r="P6" s="16" t="s">
        <v>481</v>
      </c>
      <c r="Q6" s="16" t="s">
        <v>482</v>
      </c>
      <c r="R6" s="16" t="s">
        <v>483</v>
      </c>
      <c r="S6" s="16" t="s">
        <v>484</v>
      </c>
      <c r="T6" s="16" t="s">
        <v>418</v>
      </c>
      <c r="U6" s="16" t="s">
        <v>422</v>
      </c>
      <c r="V6" s="16" t="s">
        <v>425</v>
      </c>
      <c r="W6" s="18" t="s">
        <v>259</v>
      </c>
      <c r="X6" s="19" t="s">
        <v>485</v>
      </c>
      <c r="Y6" s="19" t="s">
        <v>486</v>
      </c>
      <c r="Z6" s="21" t="s">
        <v>487</v>
      </c>
    </row>
    <row r="7" spans="1:26" ht="18.75">
      <c r="A7" s="6" t="s">
        <v>397</v>
      </c>
      <c r="B7" s="6">
        <f>1/(fsw*kHz)</f>
        <v>9.526708825143793E-06</v>
      </c>
      <c r="D7" s="6" t="s">
        <v>396</v>
      </c>
      <c r="E7" s="6">
        <v>7</v>
      </c>
      <c r="G7" s="8">
        <f>Vacin_min</f>
        <v>180</v>
      </c>
      <c r="H7" s="8">
        <f aca="true" t="shared" si="0" ref="H7:H38">(Iout*(Vout_nom^2)*2.5*Rsense*K_1)/(eff*(G7^2)*K_FQ)*us</f>
        <v>0.18072148817039696</v>
      </c>
      <c r="I7" s="8">
        <f aca="true" t="shared" si="1" ref="I7:I38">(1*10^-9*(5*10^8*SQRT(fsw*kHz)+(1.09655978*10^10)*SQRT(ftyp)*SQRT(H7)))/SQRT(fsw*kHz)</f>
        <v>4.1683041222594985</v>
      </c>
      <c r="J7" s="8">
        <f aca="true" t="shared" si="2" ref="J7:J38">(b_1^3/(27*a_1^3))-(d_1^3/27)+SQRT((ftyp)^2*H7^2/(4*a_1^2*c_1^2*(fsw*kHz)^2))+(b_1^3*(ftyp)*H7/(27*a_1^4*c_1*(fsw*kHz))-(d_1^3*(ftyp)*H7/(27*a_1*c_1*(fsw*kHz)))+(b_1*d_1^2*(ftyp)*H7/(9*a_1^2*c_1*(fsw*kHz)))-(b_1^2*d_1*(ftyp)*H7/(9*a_1^3*c_1*(fsw*kHz))))</f>
        <v>2.934893070076153</v>
      </c>
      <c r="K7" s="8">
        <f aca="true" t="shared" si="3" ref="K7:K38">(b_1*d_1^2/(9*a_1))-(b_1^2*d_1/(9*a_1^2))+(ftyp*H7/(2*a_1*c_1*fsw*kHz))</f>
        <v>2.9308082658588948</v>
      </c>
      <c r="L7" s="8">
        <f aca="true" t="shared" si="4" ref="L7:L38">(d_1^2/9)+(b_1^2/(9*a_1^2))-(2*b_1*d_1/(9*a_1))</f>
        <v>0.00045657096939147324</v>
      </c>
      <c r="M7" s="8">
        <f aca="true" t="shared" si="5" ref="M7:M38">((b_1*c_1*fsw*kHz)+(2*a_1*c_1*d_1*fsw*kHz))/(3*a_1*c_1*fsw*kHz)</f>
        <v>0.5213675213675214</v>
      </c>
      <c r="N7" s="8">
        <f>(J7+K7)^(1/3)+(L7/(J7^(1/3)))+M7</f>
        <v>2.3251469721220293</v>
      </c>
      <c r="O7" s="8">
        <f aca="true" t="shared" si="6" ref="O7:O38">(b_2^3/(27*a_2^3))-(d_2^3/27)</f>
        <v>0.07325223505585884</v>
      </c>
      <c r="P7" s="8">
        <f aca="true" t="shared" si="7" ref="P7:P38">(ftyp^2*H7^2/(4*a_2^2*c_2^2*(fsw*kHz)^2))+(b_2^3*ftyp*H7/(27*a_2^4*c_2*(fsw*kHz)))-(d_2^3*ftyp*H7/(27*a_2*c_2*(fsw*kHz)))+(b_2*d_2^2*ftyp*H7/(9*a_2^2*c_2*(fsw*kHz)))-(b_2^2*d_2*ftyp*H7/(9*a_2^3*c_2*(fsw*kHz)))</f>
        <v>2.188245960183041</v>
      </c>
      <c r="Q7" s="8">
        <f aca="true" t="shared" si="8" ref="Q7:Q38">(b_2*d_2^2/(9*a_2))-(b_2^2*d_2/(9*a_2^2))+(ftyp*H7/(2*a_2*c_2*(fsw*kHz)))</f>
        <v>1.4061252080431832</v>
      </c>
      <c r="R7" s="8">
        <f aca="true" t="shared" si="9" ref="R7:R38">(d_2^2/9)+(b_2^2/(9*a_2^2))-(2*b_2*d_2/(9*a_2))</f>
        <v>0.06779950800763512</v>
      </c>
      <c r="S7" s="8">
        <f aca="true" t="shared" si="10" ref="S7:S38">(b_2*c_2*(fsw*kHz)+2*a_2*c_2*d_2*(fsw*kHz))/(3*a_2*c_2*(fsw*kHz))</f>
        <v>0.7603833865814694</v>
      </c>
      <c r="T7" s="8">
        <f>((O7+SQRT(P7)+Q7)^(1/3))+(R7/((O7+SQRT(P7)+Q7)^(1/3)))+S7</f>
        <v>2.2432034132530645</v>
      </c>
      <c r="U7" s="8">
        <f aca="true" t="shared" si="11" ref="U7:U38">c_3+(SQRT(ftyp)*SQRT(H7)/(SQRT(a_3)*SQRT(b_3)*SQRT(fsw*kHz)))</f>
        <v>1.4532461445451144</v>
      </c>
      <c r="V7" s="8">
        <f aca="true" t="shared" si="12" ref="V7:V38">(a_4*(fsw*kHz)*b_4/ftyp)</f>
        <v>3.343461545850683</v>
      </c>
      <c r="W7" s="8">
        <f>IF(I7&gt;=0.5,IF(I7&lt;1,I7,IF(N7&gt;=1,IF(N7&lt;2,N7,IF(T7&gt;=2,IF(T7&lt;4.5,T7,IF(U7&gt;=4.5,IF(U7&lt;4.6,U7,V7))))))))</f>
        <v>2.2432034132530645</v>
      </c>
      <c r="X7" s="20">
        <f aca="true" t="shared" si="13" ref="X7:X38">Pin_max/G7</f>
        <v>2.923976608187135</v>
      </c>
      <c r="Y7" s="20">
        <f aca="true" t="shared" si="14" ref="Y7:Y38">-X7*Rsense*1.414</f>
        <v>-0.062017543859649124</v>
      </c>
      <c r="Z7" s="22">
        <f>MIN(6,MAX(0.5,Beta*G*($Y7-Voff_trim)/(MAX(0,MIN(4.5,W7)-Alpha1_A)+MAX(0,MIN(4.5,W7)-Alpha1_B)-Alpha1_C)+Alpha2))</f>
        <v>3.773066379483753</v>
      </c>
    </row>
    <row r="8" spans="1:26" ht="18.75">
      <c r="A8" s="6" t="s">
        <v>398</v>
      </c>
      <c r="B8" s="6">
        <f>65*kHz</f>
        <v>65000</v>
      </c>
      <c r="D8" s="6" t="s">
        <v>397</v>
      </c>
      <c r="E8" s="6">
        <f>1/(fsw*kHz)</f>
        <v>9.526708825143793E-06</v>
      </c>
      <c r="G8" s="9">
        <f>G7+1</f>
        <v>181</v>
      </c>
      <c r="H8" s="9">
        <f t="shared" si="0"/>
        <v>0.17873008200973298</v>
      </c>
      <c r="I8" s="9">
        <f t="shared" si="1"/>
        <v>4.148037248655855</v>
      </c>
      <c r="J8" s="9">
        <f t="shared" si="2"/>
        <v>2.9025751414680663</v>
      </c>
      <c r="K8" s="9">
        <f t="shared" si="3"/>
        <v>2.8984909678123505</v>
      </c>
      <c r="L8" s="9">
        <f t="shared" si="4"/>
        <v>0.00045657096939147324</v>
      </c>
      <c r="M8" s="9">
        <f t="shared" si="5"/>
        <v>0.5213675213675214</v>
      </c>
      <c r="N8" s="9">
        <f aca="true" t="shared" si="15" ref="N8:N71">(J8+K8)^(1/3)+(L8/(J8^(1/3)))+M8</f>
        <v>2.3184994504460223</v>
      </c>
      <c r="O8" s="9">
        <f t="shared" si="6"/>
        <v>0.07325223505585884</v>
      </c>
      <c r="P8" s="9">
        <f t="shared" si="7"/>
        <v>2.1408486605995773</v>
      </c>
      <c r="Q8" s="9">
        <f t="shared" si="8"/>
        <v>1.3900181840966628</v>
      </c>
      <c r="R8" s="9">
        <f t="shared" si="9"/>
        <v>0.06779950800763512</v>
      </c>
      <c r="S8" s="9">
        <f t="shared" si="10"/>
        <v>0.7603833865814694</v>
      </c>
      <c r="T8" s="9">
        <f aca="true" t="shared" si="16" ref="T8:T71">((O8+SQRT(P8)+Q8)^(1/3))+(R8/((O8+SQRT(P8)+Q8)^(1/3)))+S8</f>
        <v>2.2381465785244017</v>
      </c>
      <c r="U8" s="9">
        <f t="shared" si="11"/>
        <v>1.447979591260335</v>
      </c>
      <c r="V8" s="9">
        <f t="shared" si="12"/>
        <v>3.343461545850683</v>
      </c>
      <c r="W8" s="9">
        <f aca="true" t="shared" si="17" ref="W8:W71">IF(I8&gt;=0.5,IF(I8&lt;1,I8,IF(N8&gt;=1,IF(N8&lt;2,N8,IF(T8&gt;=2,IF(T8&lt;4.5,T8,IF(U8&gt;=4.5,IF(U8&lt;4.6,U8,V8))))))))</f>
        <v>2.2381465785244017</v>
      </c>
      <c r="X8" s="20">
        <f t="shared" si="13"/>
        <v>2.907822041291073</v>
      </c>
      <c r="Y8" s="23">
        <f t="shared" si="14"/>
        <v>-0.06167490549578366</v>
      </c>
      <c r="Z8" s="24">
        <f aca="true" t="shared" si="18" ref="Z8:Z38">MIN(6,MAX(0.5,Beta*G*($Y8-Voff_trim)/(MAX(0,MIN(4.5,W8)-Alpha1_A)+MAX(0,MIN(4.5,W8)-Alpha1_B)-Alpha1_C)+Alpha2))</f>
        <v>3.7703313720751757</v>
      </c>
    </row>
    <row r="9" spans="1:26" ht="18.75">
      <c r="A9" s="10"/>
      <c r="B9" s="11"/>
      <c r="D9" s="6" t="s">
        <v>398</v>
      </c>
      <c r="E9" s="6">
        <f>65*kHz</f>
        <v>65000</v>
      </c>
      <c r="G9" s="8">
        <f aca="true" t="shared" si="19" ref="G9:G72">G8+1</f>
        <v>182</v>
      </c>
      <c r="H9" s="8">
        <f t="shared" si="0"/>
        <v>0.17677141096247015</v>
      </c>
      <c r="I9" s="8">
        <f t="shared" si="1"/>
        <v>4.127993087948955</v>
      </c>
      <c r="J9" s="8">
        <f t="shared" si="2"/>
        <v>2.870788461120015</v>
      </c>
      <c r="K9" s="8">
        <f t="shared" si="3"/>
        <v>2.866704907660551</v>
      </c>
      <c r="L9" s="8">
        <f t="shared" si="4"/>
        <v>0.00045657096939147324</v>
      </c>
      <c r="M9" s="8">
        <f t="shared" si="5"/>
        <v>0.5213675213675214</v>
      </c>
      <c r="N9" s="8">
        <f t="shared" si="15"/>
        <v>2.3119128681531396</v>
      </c>
      <c r="O9" s="8">
        <f t="shared" si="6"/>
        <v>0.07325223505585884</v>
      </c>
      <c r="P9" s="8">
        <f t="shared" si="7"/>
        <v>2.0947366354038808</v>
      </c>
      <c r="Q9" s="8">
        <f t="shared" si="8"/>
        <v>1.3741759304746797</v>
      </c>
      <c r="R9" s="8">
        <f t="shared" si="9"/>
        <v>0.06779950800763512</v>
      </c>
      <c r="S9" s="8">
        <f t="shared" si="10"/>
        <v>0.7603833865814694</v>
      </c>
      <c r="T9" s="8">
        <f t="shared" si="16"/>
        <v>2.233137782625024</v>
      </c>
      <c r="U9" s="8">
        <f t="shared" si="11"/>
        <v>1.4427709121874757</v>
      </c>
      <c r="V9" s="8">
        <f t="shared" si="12"/>
        <v>3.343461545850683</v>
      </c>
      <c r="W9" s="8">
        <f t="shared" si="17"/>
        <v>2.233137782625024</v>
      </c>
      <c r="X9" s="20">
        <f t="shared" si="13"/>
        <v>2.8918449971081555</v>
      </c>
      <c r="Y9" s="20">
        <f t="shared" si="14"/>
        <v>-0.06133603238866397</v>
      </c>
      <c r="Z9" s="22">
        <f t="shared" si="18"/>
        <v>3.767623689439242</v>
      </c>
    </row>
    <row r="10" spans="1:26" ht="14.25">
      <c r="A10" s="6" t="s">
        <v>376</v>
      </c>
      <c r="B10" s="6">
        <f>(Iout*(Vout_nom^2)*2.5*Rsense*K_1)/(eff*(B5^2)*K_FQ)*us</f>
        <v>0.11068764114784238</v>
      </c>
      <c r="D10" s="10"/>
      <c r="E10" s="11"/>
      <c r="G10" s="9">
        <f t="shared" si="19"/>
        <v>183</v>
      </c>
      <c r="H10" s="9">
        <f t="shared" si="0"/>
        <v>0.1748447614655816</v>
      </c>
      <c r="I10" s="9">
        <f t="shared" si="1"/>
        <v>4.108167989107703</v>
      </c>
      <c r="J10" s="9">
        <f t="shared" si="2"/>
        <v>2.8395214488333353</v>
      </c>
      <c r="K10" s="9">
        <f t="shared" si="3"/>
        <v>2.8354385054307762</v>
      </c>
      <c r="L10" s="9">
        <f t="shared" si="4"/>
        <v>0.00045657096939147324</v>
      </c>
      <c r="M10" s="9">
        <f t="shared" si="5"/>
        <v>0.5213675213675214</v>
      </c>
      <c r="N10" s="9">
        <f t="shared" si="15"/>
        <v>2.305386336409771</v>
      </c>
      <c r="O10" s="9">
        <f t="shared" si="6"/>
        <v>0.07325223505585884</v>
      </c>
      <c r="P10" s="9">
        <f t="shared" si="7"/>
        <v>2.0498681894594</v>
      </c>
      <c r="Q10" s="9">
        <f t="shared" si="8"/>
        <v>1.3585926756892328</v>
      </c>
      <c r="R10" s="9">
        <f t="shared" si="9"/>
        <v>0.06779950800763512</v>
      </c>
      <c r="S10" s="9">
        <f t="shared" si="10"/>
        <v>0.7603833865814694</v>
      </c>
      <c r="T10" s="9">
        <f t="shared" si="16"/>
        <v>2.2281763227568114</v>
      </c>
      <c r="U10" s="9">
        <f t="shared" si="11"/>
        <v>1.437619158568965</v>
      </c>
      <c r="V10" s="9">
        <f t="shared" si="12"/>
        <v>3.343461545850683</v>
      </c>
      <c r="W10" s="9">
        <f t="shared" si="17"/>
        <v>2.2281763227568114</v>
      </c>
      <c r="X10" s="20">
        <f t="shared" si="13"/>
        <v>2.8760425654299686</v>
      </c>
      <c r="Y10" s="23">
        <f t="shared" si="14"/>
        <v>-0.06100086281276963</v>
      </c>
      <c r="Z10" s="24">
        <f t="shared" si="18"/>
        <v>3.764942953778124</v>
      </c>
    </row>
    <row r="11" spans="1:26" ht="14.25">
      <c r="A11" s="10"/>
      <c r="B11" s="11"/>
      <c r="D11" s="6" t="s">
        <v>376</v>
      </c>
      <c r="E11" s="6">
        <f>((E6*Iout)*(Vout_nom^2)*2.5*Rsense*K_1)/(eff*(E5^2)*K_FQ)*us</f>
        <v>0.05534382057392119</v>
      </c>
      <c r="G11" s="8">
        <f t="shared" si="19"/>
        <v>184</v>
      </c>
      <c r="H11" s="8">
        <f t="shared" si="0"/>
        <v>0.17294943929350373</v>
      </c>
      <c r="I11" s="8">
        <f t="shared" si="1"/>
        <v>4.088558380471249</v>
      </c>
      <c r="J11" s="8">
        <f t="shared" si="2"/>
        <v>2.80876283823121</v>
      </c>
      <c r="K11" s="8">
        <f t="shared" si="3"/>
        <v>2.8046804949660293</v>
      </c>
      <c r="L11" s="8">
        <f t="shared" si="4"/>
        <v>0.00045657096939147324</v>
      </c>
      <c r="M11" s="8">
        <f t="shared" si="5"/>
        <v>0.5213675213675214</v>
      </c>
      <c r="N11" s="8">
        <f t="shared" si="15"/>
        <v>2.298918984110812</v>
      </c>
      <c r="O11" s="8">
        <f t="shared" si="6"/>
        <v>0.07325223505585884</v>
      </c>
      <c r="P11" s="8">
        <f t="shared" si="7"/>
        <v>2.0062031987708284</v>
      </c>
      <c r="Q11" s="8">
        <f t="shared" si="8"/>
        <v>1.3432628046588797</v>
      </c>
      <c r="R11" s="8">
        <f t="shared" si="9"/>
        <v>0.06779950800763512</v>
      </c>
      <c r="S11" s="8">
        <f t="shared" si="10"/>
        <v>0.7603833865814694</v>
      </c>
      <c r="T11" s="8">
        <f t="shared" si="16"/>
        <v>2.2232615101506688</v>
      </c>
      <c r="U11" s="8">
        <f t="shared" si="11"/>
        <v>1.4325234022723947</v>
      </c>
      <c r="V11" s="8">
        <f t="shared" si="12"/>
        <v>3.343461545850683</v>
      </c>
      <c r="W11" s="8">
        <f t="shared" si="17"/>
        <v>2.2232615101506688</v>
      </c>
      <c r="X11" s="20">
        <f t="shared" si="13"/>
        <v>2.8604118993135015</v>
      </c>
      <c r="Y11" s="20">
        <f t="shared" si="14"/>
        <v>-0.06066933638443936</v>
      </c>
      <c r="Z11" s="22">
        <f t="shared" si="18"/>
        <v>3.76228879423719</v>
      </c>
    </row>
    <row r="12" spans="1:26" ht="14.25">
      <c r="A12" s="6" t="s">
        <v>399</v>
      </c>
      <c r="B12" s="6">
        <f>(1*10^-9*(5*10^8*SQRT(fsw*kHz)+(1.09655978*10^10)*SQRT(ftyp)*SQRT(B10)))/SQRT(fsw*kHz)</f>
        <v>3.3708467043769983</v>
      </c>
      <c r="D12" s="10"/>
      <c r="E12" s="11"/>
      <c r="G12" s="9">
        <f t="shared" si="19"/>
        <v>185</v>
      </c>
      <c r="H12" s="9">
        <f t="shared" si="0"/>
        <v>0.17108476893267674</v>
      </c>
      <c r="I12" s="9">
        <f t="shared" si="1"/>
        <v>4.069160767603836</v>
      </c>
      <c r="J12" s="9">
        <f t="shared" si="2"/>
        <v>2.778501666608275</v>
      </c>
      <c r="K12" s="9">
        <f t="shared" si="3"/>
        <v>2.7744199137748424</v>
      </c>
      <c r="L12" s="9">
        <f t="shared" si="4"/>
        <v>0.00045657096939147324</v>
      </c>
      <c r="M12" s="9">
        <f t="shared" si="5"/>
        <v>0.5213675213675214</v>
      </c>
      <c r="N12" s="9">
        <f t="shared" si="15"/>
        <v>2.292509957432049</v>
      </c>
      <c r="O12" s="9">
        <f t="shared" si="6"/>
        <v>0.07325223505585884</v>
      </c>
      <c r="P12" s="9">
        <f t="shared" si="7"/>
        <v>1.9637030431520144</v>
      </c>
      <c r="Q12" s="9">
        <f t="shared" si="8"/>
        <v>1.3281808536498536</v>
      </c>
      <c r="R12" s="9">
        <f t="shared" si="9"/>
        <v>0.06779950800763512</v>
      </c>
      <c r="S12" s="9">
        <f t="shared" si="10"/>
        <v>0.7603833865814694</v>
      </c>
      <c r="T12" s="9">
        <f t="shared" si="16"/>
        <v>2.21839266971214</v>
      </c>
      <c r="U12" s="9">
        <f t="shared" si="11"/>
        <v>1.427482735233084</v>
      </c>
      <c r="V12" s="9">
        <f t="shared" si="12"/>
        <v>3.343461545850683</v>
      </c>
      <c r="W12" s="9">
        <f t="shared" si="17"/>
        <v>2.21839266971214</v>
      </c>
      <c r="X12" s="20">
        <f t="shared" si="13"/>
        <v>2.8449502133712663</v>
      </c>
      <c r="Y12" s="23">
        <f t="shared" si="14"/>
        <v>-0.06034139402560455</v>
      </c>
      <c r="Z12" s="24">
        <f t="shared" si="18"/>
        <v>3.759660846739847</v>
      </c>
    </row>
    <row r="13" spans="1:26" ht="14.25">
      <c r="A13" s="10"/>
      <c r="B13" s="11"/>
      <c r="D13" s="6" t="s">
        <v>399</v>
      </c>
      <c r="E13" s="6">
        <f>(1*10^-9*(5*10^8*SQRT(fsw*kHz)+(1.09655978*10^10)*SQRT(ftyp)*SQRT(E11)))/SQRT(fsw*kHz)</f>
        <v>2.5299951724120273</v>
      </c>
      <c r="G13" s="8">
        <f t="shared" si="19"/>
        <v>186</v>
      </c>
      <c r="H13" s="8">
        <f t="shared" si="0"/>
        <v>0.1692500929795601</v>
      </c>
      <c r="I13" s="8">
        <f t="shared" si="1"/>
        <v>4.049971731218869</v>
      </c>
      <c r="J13" s="8">
        <f t="shared" si="2"/>
        <v>2.7487272651611954</v>
      </c>
      <c r="K13" s="8">
        <f t="shared" si="3"/>
        <v>2.7446460932620402</v>
      </c>
      <c r="L13" s="8">
        <f t="shared" si="4"/>
        <v>0.00045657096939147324</v>
      </c>
      <c r="M13" s="8">
        <f t="shared" si="5"/>
        <v>0.5213675213675214</v>
      </c>
      <c r="N13" s="8">
        <f t="shared" si="15"/>
        <v>2.286158419396198</v>
      </c>
      <c r="O13" s="8">
        <f t="shared" si="6"/>
        <v>0.07325223505585884</v>
      </c>
      <c r="P13" s="8">
        <f t="shared" si="7"/>
        <v>1.9223305421237045</v>
      </c>
      <c r="Q13" s="8">
        <f t="shared" si="8"/>
        <v>1.3133415054070512</v>
      </c>
      <c r="R13" s="8">
        <f t="shared" si="9"/>
        <v>0.06779950800763512</v>
      </c>
      <c r="S13" s="8">
        <f t="shared" si="10"/>
        <v>0.7603833865814694</v>
      </c>
      <c r="T13" s="8">
        <f t="shared" si="16"/>
        <v>2.213569139677833</v>
      </c>
      <c r="U13" s="8">
        <f t="shared" si="11"/>
        <v>1.4224962689146268</v>
      </c>
      <c r="V13" s="8">
        <f t="shared" si="12"/>
        <v>3.343461545850683</v>
      </c>
      <c r="W13" s="8">
        <f t="shared" si="17"/>
        <v>2.213569139677833</v>
      </c>
      <c r="X13" s="20">
        <f t="shared" si="13"/>
        <v>2.8296547821165823</v>
      </c>
      <c r="Y13" s="20">
        <f t="shared" si="14"/>
        <v>-0.060016977928692705</v>
      </c>
      <c r="Z13" s="22">
        <f t="shared" si="18"/>
        <v>3.757058753827171</v>
      </c>
    </row>
    <row r="14" spans="1:26" ht="18.75">
      <c r="A14" s="6" t="s">
        <v>400</v>
      </c>
      <c r="B14" s="6">
        <v>0.156</v>
      </c>
      <c r="D14" s="10"/>
      <c r="E14" s="11"/>
      <c r="G14" s="9">
        <f t="shared" si="19"/>
        <v>187</v>
      </c>
      <c r="H14" s="9">
        <f t="shared" si="0"/>
        <v>0.1674447715611216</v>
      </c>
      <c r="I14" s="9">
        <f t="shared" si="1"/>
        <v>4.030987925169571</v>
      </c>
      <c r="J14" s="9">
        <f t="shared" si="2"/>
        <v>2.719429249583956</v>
      </c>
      <c r="K14" s="9">
        <f t="shared" si="3"/>
        <v>2.715348649324218</v>
      </c>
      <c r="L14" s="9">
        <f t="shared" si="4"/>
        <v>0.00045657096939147324</v>
      </c>
      <c r="M14" s="9">
        <f t="shared" si="5"/>
        <v>0.5213675213675214</v>
      </c>
      <c r="N14" s="9">
        <f t="shared" si="15"/>
        <v>2.2798635494521022</v>
      </c>
      <c r="O14" s="9">
        <f t="shared" si="6"/>
        <v>0.07325223505585884</v>
      </c>
      <c r="P14" s="9">
        <f t="shared" si="7"/>
        <v>1.8820498938698629</v>
      </c>
      <c r="Q14" s="9">
        <f t="shared" si="8"/>
        <v>1.2987395844667948</v>
      </c>
      <c r="R14" s="9">
        <f t="shared" si="9"/>
        <v>0.06779950800763512</v>
      </c>
      <c r="S14" s="9">
        <f t="shared" si="10"/>
        <v>0.7603833865814694</v>
      </c>
      <c r="T14" s="9">
        <f t="shared" si="16"/>
        <v>2.2087902712822647</v>
      </c>
      <c r="U14" s="9">
        <f t="shared" si="11"/>
        <v>1.4175631337867411</v>
      </c>
      <c r="V14" s="9">
        <f t="shared" si="12"/>
        <v>3.343461545850683</v>
      </c>
      <c r="W14" s="9">
        <f t="shared" si="17"/>
        <v>2.2087902712822647</v>
      </c>
      <c r="X14" s="20">
        <f t="shared" si="13"/>
        <v>2.814522938361948</v>
      </c>
      <c r="Y14" s="23">
        <f t="shared" si="14"/>
        <v>-0.05969603152265691</v>
      </c>
      <c r="Z14" s="24">
        <f t="shared" si="18"/>
        <v>3.7544821645021735</v>
      </c>
    </row>
    <row r="15" spans="1:26" ht="18.75">
      <c r="A15" s="6" t="s">
        <v>401</v>
      </c>
      <c r="B15" s="6">
        <v>0.088</v>
      </c>
      <c r="D15" s="6" t="s">
        <v>400</v>
      </c>
      <c r="E15" s="6">
        <v>0.156</v>
      </c>
      <c r="G15" s="8">
        <f t="shared" si="19"/>
        <v>188</v>
      </c>
      <c r="H15" s="8">
        <f t="shared" si="0"/>
        <v>0.1656681817768465</v>
      </c>
      <c r="I15" s="8">
        <f t="shared" si="1"/>
        <v>4.0122060745037755</v>
      </c>
      <c r="J15" s="8">
        <f t="shared" si="2"/>
        <v>2.690597511012395</v>
      </c>
      <c r="K15" s="8">
        <f t="shared" si="3"/>
        <v>2.686517473294452</v>
      </c>
      <c r="L15" s="8">
        <f t="shared" si="4"/>
        <v>0.00045657096939147324</v>
      </c>
      <c r="M15" s="8">
        <f t="shared" si="5"/>
        <v>0.5213675213675214</v>
      </c>
      <c r="N15" s="8">
        <f t="shared" si="15"/>
        <v>2.2736245430666284</v>
      </c>
      <c r="O15" s="8">
        <f t="shared" si="6"/>
        <v>0.07325223505585884</v>
      </c>
      <c r="P15" s="8">
        <f t="shared" si="7"/>
        <v>1.8428266170912357</v>
      </c>
      <c r="Q15" s="8">
        <f t="shared" si="8"/>
        <v>1.2843700526436526</v>
      </c>
      <c r="R15" s="8">
        <f t="shared" si="9"/>
        <v>0.06779950800763512</v>
      </c>
      <c r="S15" s="8">
        <f t="shared" si="10"/>
        <v>0.7603833865814694</v>
      </c>
      <c r="T15" s="8">
        <f t="shared" si="16"/>
        <v>2.204055428434764</v>
      </c>
      <c r="U15" s="8">
        <f t="shared" si="11"/>
        <v>1.4126824788197905</v>
      </c>
      <c r="V15" s="8">
        <f t="shared" si="12"/>
        <v>3.343461545850683</v>
      </c>
      <c r="W15" s="8">
        <f t="shared" si="17"/>
        <v>2.204055428434764</v>
      </c>
      <c r="X15" s="20">
        <f t="shared" si="13"/>
        <v>2.7995520716685336</v>
      </c>
      <c r="Y15" s="20">
        <f t="shared" si="14"/>
        <v>-0.0593784994400896</v>
      </c>
      <c r="Z15" s="22">
        <f t="shared" si="18"/>
        <v>3.751930734078528</v>
      </c>
    </row>
    <row r="16" spans="1:26" ht="18.75">
      <c r="A16" s="6" t="s">
        <v>402</v>
      </c>
      <c r="B16" s="6">
        <v>0.1223</v>
      </c>
      <c r="D16" s="6" t="s">
        <v>401</v>
      </c>
      <c r="E16" s="6">
        <v>0.088</v>
      </c>
      <c r="G16" s="9">
        <f t="shared" si="19"/>
        <v>189</v>
      </c>
      <c r="H16" s="9">
        <f t="shared" si="0"/>
        <v>0.1639197171613578</v>
      </c>
      <c r="I16" s="9">
        <f t="shared" si="1"/>
        <v>3.9936229735804747</v>
      </c>
      <c r="J16" s="9">
        <f t="shared" si="2"/>
        <v>2.6622222073032367</v>
      </c>
      <c r="K16" s="9">
        <f t="shared" si="3"/>
        <v>2.6581427232214963</v>
      </c>
      <c r="L16" s="9">
        <f t="shared" si="4"/>
        <v>0.00045657096939147324</v>
      </c>
      <c r="M16" s="9">
        <f t="shared" si="5"/>
        <v>0.5213675213675214</v>
      </c>
      <c r="N16" s="9">
        <f t="shared" si="15"/>
        <v>2.267440611328806</v>
      </c>
      <c r="O16" s="9">
        <f t="shared" si="6"/>
        <v>0.07325223505585884</v>
      </c>
      <c r="P16" s="9">
        <f t="shared" si="7"/>
        <v>1.8046274956041655</v>
      </c>
      <c r="Q16" s="9">
        <f t="shared" si="8"/>
        <v>1.2702280046839685</v>
      </c>
      <c r="R16" s="9">
        <f t="shared" si="9"/>
        <v>0.06779950800763512</v>
      </c>
      <c r="S16" s="9">
        <f t="shared" si="10"/>
        <v>0.7603833865814694</v>
      </c>
      <c r="T16" s="9">
        <f t="shared" si="16"/>
        <v>2.199363987406073</v>
      </c>
      <c r="U16" s="9">
        <f t="shared" si="11"/>
        <v>1.407853470995347</v>
      </c>
      <c r="V16" s="9">
        <f t="shared" si="12"/>
        <v>3.343461545850683</v>
      </c>
      <c r="W16" s="9">
        <f t="shared" si="17"/>
        <v>2.199363987406073</v>
      </c>
      <c r="X16" s="20">
        <f t="shared" si="13"/>
        <v>2.7847396268448903</v>
      </c>
      <c r="Y16" s="23">
        <f t="shared" si="14"/>
        <v>-0.05906432748538012</v>
      </c>
      <c r="Z16" s="24">
        <f>MIN(6,MAX(0.5,Beta*G*($Y16-Voff_trim)/(MAX(0,MIN(4.5,W16)-Alpha1_A)+MAX(0,MIN(4.5,W16)-Alpha1_B)-Alpha1_C)+Alpha2))</f>
        <v>3.7494041240336093</v>
      </c>
    </row>
    <row r="17" spans="1:26" ht="18.75">
      <c r="A17" s="6" t="s">
        <v>403</v>
      </c>
      <c r="B17" s="6">
        <v>0.5</v>
      </c>
      <c r="D17" s="6" t="s">
        <v>402</v>
      </c>
      <c r="E17" s="6">
        <v>0.1223</v>
      </c>
      <c r="G17" s="8">
        <f t="shared" si="19"/>
        <v>190</v>
      </c>
      <c r="H17" s="8">
        <f t="shared" si="0"/>
        <v>0.16219878716678288</v>
      </c>
      <c r="I17" s="8">
        <f t="shared" si="1"/>
        <v>3.975235484245841</v>
      </c>
      <c r="J17" s="8">
        <f t="shared" si="2"/>
        <v>2.6342937546335694</v>
      </c>
      <c r="K17" s="8">
        <f t="shared" si="3"/>
        <v>2.6302148154694325</v>
      </c>
      <c r="L17" s="8">
        <f t="shared" si="4"/>
        <v>0.00045657096939147324</v>
      </c>
      <c r="M17" s="8">
        <f t="shared" si="5"/>
        <v>0.5213675213675214</v>
      </c>
      <c r="N17" s="8">
        <f t="shared" si="15"/>
        <v>2.2613109805657863</v>
      </c>
      <c r="O17" s="8">
        <f t="shared" si="6"/>
        <v>0.07325223505585884</v>
      </c>
      <c r="P17" s="8">
        <f t="shared" si="7"/>
        <v>1.767420525541357</v>
      </c>
      <c r="Q17" s="8">
        <f t="shared" si="8"/>
        <v>1.2563086640791061</v>
      </c>
      <c r="R17" s="8">
        <f t="shared" si="9"/>
        <v>0.06779950800763512</v>
      </c>
      <c r="S17" s="8">
        <f t="shared" si="10"/>
        <v>0.7603833865814694</v>
      </c>
      <c r="T17" s="8">
        <f t="shared" si="16"/>
        <v>2.1947153365243053</v>
      </c>
      <c r="U17" s="8">
        <f t="shared" si="11"/>
        <v>1.4030752948322136</v>
      </c>
      <c r="V17" s="8">
        <f t="shared" si="12"/>
        <v>3.343461545850683</v>
      </c>
      <c r="W17" s="8">
        <f t="shared" si="17"/>
        <v>2.1947153365243053</v>
      </c>
      <c r="X17" s="20">
        <f t="shared" si="13"/>
        <v>2.770083102493075</v>
      </c>
      <c r="Y17" s="20">
        <f t="shared" si="14"/>
        <v>-0.058753462603878114</v>
      </c>
      <c r="Z17" s="22">
        <f t="shared" si="18"/>
        <v>3.746902001865716</v>
      </c>
    </row>
    <row r="18" spans="1:26" ht="18.75">
      <c r="A18" s="6" t="s">
        <v>404</v>
      </c>
      <c r="B18" s="6">
        <f>(b_1^3/(27*a_1^3))-(d_1^3/27)+SQRT((ftyp)^2*B10^2/(4*a_1^2*c_1^2*(fsw*kHz)^2))+(b_1^3*(ftyp)*B10/(27*a_1^4*c_1*(fsw*kHz))-(d_1^3*(ftyp)*B10/(27*a_1*c_1*(fsw*kHz)))+(b_1*d_1^2*(ftyp)*B10/(9*a_1^2*c_1*(fsw*kHz)))-(b_1^2*d_1*(ftyp)*B10/(9*a_1^3*c_1*(fsw*kHz))))</f>
        <v>1.7983349369678705</v>
      </c>
      <c r="D18" s="6" t="s">
        <v>403</v>
      </c>
      <c r="E18" s="6">
        <v>0.5</v>
      </c>
      <c r="G18" s="9">
        <f t="shared" si="19"/>
        <v>191</v>
      </c>
      <c r="H18" s="9">
        <f t="shared" si="0"/>
        <v>0.1605048166640405</v>
      </c>
      <c r="I18" s="9">
        <f t="shared" si="1"/>
        <v>3.957040534066543</v>
      </c>
      <c r="J18" s="9">
        <f t="shared" si="2"/>
        <v>2.606802819407388</v>
      </c>
      <c r="K18" s="9">
        <f t="shared" si="3"/>
        <v>2.6027244166243637</v>
      </c>
      <c r="L18" s="9">
        <f t="shared" si="4"/>
        <v>0.00045657096939147324</v>
      </c>
      <c r="M18" s="9">
        <f t="shared" si="5"/>
        <v>0.5213675213675214</v>
      </c>
      <c r="N18" s="9">
        <f t="shared" si="15"/>
        <v>2.2552348919702028</v>
      </c>
      <c r="O18" s="9">
        <f t="shared" si="6"/>
        <v>0.07325223505585884</v>
      </c>
      <c r="P18" s="9">
        <f t="shared" si="7"/>
        <v>1.731174865019503</v>
      </c>
      <c r="Q18" s="9">
        <f t="shared" si="8"/>
        <v>1.2426073790317238</v>
      </c>
      <c r="R18" s="9">
        <f t="shared" si="9"/>
        <v>0.06779950800763512</v>
      </c>
      <c r="S18" s="9">
        <f t="shared" si="10"/>
        <v>0.7603833865814694</v>
      </c>
      <c r="T18" s="9">
        <f t="shared" si="16"/>
        <v>2.190108875879937</v>
      </c>
      <c r="U18" s="9">
        <f t="shared" si="11"/>
        <v>1.398347151927333</v>
      </c>
      <c r="V18" s="9">
        <f t="shared" si="12"/>
        <v>3.343461545850683</v>
      </c>
      <c r="W18" s="9">
        <f t="shared" si="17"/>
        <v>2.190108875879937</v>
      </c>
      <c r="X18" s="20">
        <f t="shared" si="13"/>
        <v>2.7555800496004412</v>
      </c>
      <c r="Y18" s="23">
        <f t="shared" si="14"/>
        <v>-0.05844585285202535</v>
      </c>
      <c r="Z18" s="24">
        <f t="shared" si="18"/>
        <v>3.744424040955319</v>
      </c>
    </row>
    <row r="19" spans="1:26" ht="18.75">
      <c r="A19" s="6" t="s">
        <v>405</v>
      </c>
      <c r="B19" s="6">
        <f>(b_1*d_1^2/(9*a_1))-(b_1^2*d_1/(9*a_1^2))+(ftyp*B10/(2*a_1*c_1*fsw*kHz))</f>
        <v>1.7942723083627425</v>
      </c>
      <c r="D19" s="6" t="s">
        <v>404</v>
      </c>
      <c r="E19" s="6">
        <f>(b_1^3/(27*a_1^3))-(d_1^3/27)+SQRT((ftyp)^2*E11^2/(4*a_1^2*c_1^2*(fsw*kHz)^2))+(b_1^3*(ftyp)*E11/(27*a_1^4*c_1*(fsw*kHz))-(d_1^3*(ftyp)*E11/(27*a_1*c_1*(fsw*kHz)))+(b_1*d_1^2*(ftyp)*E11/(9*a_1^2*c_1*(fsw*kHz)))-(b_1^2*d_1*(ftyp)*E11/(9*a_1^3*c_1*(fsw*kHz))))</f>
        <v>0.9001768025115686</v>
      </c>
      <c r="G19" s="8">
        <f t="shared" si="19"/>
        <v>192</v>
      </c>
      <c r="H19" s="8">
        <f t="shared" si="0"/>
        <v>0.158837245462263</v>
      </c>
      <c r="I19" s="8">
        <f t="shared" si="1"/>
        <v>3.93903511461828</v>
      </c>
      <c r="J19" s="8">
        <f t="shared" si="2"/>
        <v>2.579740310456437</v>
      </c>
      <c r="K19" s="8">
        <f t="shared" si="3"/>
        <v>2.575662435695416</v>
      </c>
      <c r="L19" s="8">
        <f t="shared" si="4"/>
        <v>0.00045657096939147324</v>
      </c>
      <c r="M19" s="8">
        <f t="shared" si="5"/>
        <v>0.5213675213675214</v>
      </c>
      <c r="N19" s="8">
        <f t="shared" si="15"/>
        <v>2.2492116012385432</v>
      </c>
      <c r="O19" s="8">
        <f t="shared" si="6"/>
        <v>0.07325223505585884</v>
      </c>
      <c r="P19" s="8">
        <f t="shared" si="7"/>
        <v>1.6958607861463386</v>
      </c>
      <c r="Q19" s="8">
        <f t="shared" si="8"/>
        <v>1.2291196185687339</v>
      </c>
      <c r="R19" s="8">
        <f t="shared" si="9"/>
        <v>0.06779950800763512</v>
      </c>
      <c r="S19" s="8">
        <f t="shared" si="10"/>
        <v>0.7603833865814694</v>
      </c>
      <c r="T19" s="8">
        <f t="shared" si="16"/>
        <v>2.185544017039513</v>
      </c>
      <c r="U19" s="8">
        <f t="shared" si="11"/>
        <v>1.393668260511045</v>
      </c>
      <c r="V19" s="8">
        <f t="shared" si="12"/>
        <v>3.343461545850683</v>
      </c>
      <c r="W19" s="8">
        <f t="shared" si="17"/>
        <v>2.185544017039513</v>
      </c>
      <c r="X19" s="20">
        <f t="shared" si="13"/>
        <v>2.741228070175439</v>
      </c>
      <c r="Y19" s="20">
        <f t="shared" si="14"/>
        <v>-0.058141447368421056</v>
      </c>
      <c r="Z19" s="22">
        <f t="shared" si="18"/>
        <v>3.741969920430211</v>
      </c>
    </row>
    <row r="20" spans="1:26" ht="18.75">
      <c r="A20" s="6" t="s">
        <v>406</v>
      </c>
      <c r="B20" s="6">
        <f>(d_1^2/9)+(b_1^2/(9*a_1^2))-(2*b_1*d_1/(9*a_1))</f>
        <v>0.00045657096939147324</v>
      </c>
      <c r="D20" s="6" t="s">
        <v>405</v>
      </c>
      <c r="E20" s="6">
        <f>(b_1*d_1^2/(9*a_1))-(b_1^2*d_1/(9*a_1^2))+(ftyp*E11/(2*a_1*c_1*fsw*kHz))</f>
        <v>0.8961316980487101</v>
      </c>
      <c r="G20" s="9">
        <f t="shared" si="19"/>
        <v>193</v>
      </c>
      <c r="H20" s="9">
        <f t="shared" si="0"/>
        <v>0.15719552784560292</v>
      </c>
      <c r="I20" s="9">
        <f t="shared" si="1"/>
        <v>3.921216279827512</v>
      </c>
      <c r="J20" s="9">
        <f t="shared" si="2"/>
        <v>2.5530973715231924</v>
      </c>
      <c r="K20" s="9">
        <f t="shared" si="3"/>
        <v>2.5490200165978596</v>
      </c>
      <c r="L20" s="9">
        <f t="shared" si="4"/>
        <v>0.00045657096939147324</v>
      </c>
      <c r="M20" s="9">
        <f t="shared" si="5"/>
        <v>0.5213675213675214</v>
      </c>
      <c r="N20" s="9">
        <f t="shared" si="15"/>
        <v>2.2432403782201433</v>
      </c>
      <c r="O20" s="9">
        <f t="shared" si="6"/>
        <v>0.07325223505585884</v>
      </c>
      <c r="P20" s="9">
        <f t="shared" si="7"/>
        <v>1.6614496292469223</v>
      </c>
      <c r="Q20" s="9">
        <f t="shared" si="8"/>
        <v>1.2158409687948717</v>
      </c>
      <c r="R20" s="9">
        <f t="shared" si="9"/>
        <v>0.06779950800763512</v>
      </c>
      <c r="S20" s="9">
        <f t="shared" si="10"/>
        <v>0.7603833865814694</v>
      </c>
      <c r="T20" s="9">
        <f t="shared" si="16"/>
        <v>2.1810201827677727</v>
      </c>
      <c r="U20" s="9">
        <f t="shared" si="11"/>
        <v>1.389037855016169</v>
      </c>
      <c r="V20" s="9">
        <f t="shared" si="12"/>
        <v>3.343461545850683</v>
      </c>
      <c r="W20" s="9">
        <f t="shared" si="17"/>
        <v>2.1810201827677727</v>
      </c>
      <c r="X20" s="20">
        <f t="shared" si="13"/>
        <v>2.7270248159258252</v>
      </c>
      <c r="Y20" s="23">
        <f t="shared" si="14"/>
        <v>-0.05784019634578675</v>
      </c>
      <c r="Z20" s="24">
        <f t="shared" si="18"/>
        <v>3.739539325034421</v>
      </c>
    </row>
    <row r="21" spans="1:26" ht="18.75">
      <c r="A21" s="6" t="s">
        <v>407</v>
      </c>
      <c r="B21" s="6">
        <f>((b_1*c_1*fsw*kHz)+(2*a_1*c_1*d_1*fsw*kHz))/(3*a_1*c_1*fsw*kHz)</f>
        <v>0.5213675213675214</v>
      </c>
      <c r="D21" s="6" t="s">
        <v>406</v>
      </c>
      <c r="E21" s="6">
        <f>(d_1^2/9)+(b_1^2/(9*a_1^2))-(2*b_1*d_1/(9*a_1))</f>
        <v>0.00045657096939147324</v>
      </c>
      <c r="G21" s="8">
        <f t="shared" si="19"/>
        <v>194</v>
      </c>
      <c r="H21" s="8">
        <f t="shared" si="0"/>
        <v>0.1555791321267101</v>
      </c>
      <c r="I21" s="8">
        <f t="shared" si="1"/>
        <v>3.9035811443644834</v>
      </c>
      <c r="J21" s="8">
        <f t="shared" si="2"/>
        <v>2.526865374014368</v>
      </c>
      <c r="K21" s="8">
        <f t="shared" si="3"/>
        <v>2.5227885309067637</v>
      </c>
      <c r="L21" s="8">
        <f t="shared" si="4"/>
        <v>0.00045657096939147324</v>
      </c>
      <c r="M21" s="8">
        <f t="shared" si="5"/>
        <v>0.5213675213675214</v>
      </c>
      <c r="N21" s="8">
        <f t="shared" si="15"/>
        <v>2.2373205065764465</v>
      </c>
      <c r="O21" s="8">
        <f t="shared" si="6"/>
        <v>0.07325223505585884</v>
      </c>
      <c r="P21" s="8">
        <f t="shared" si="7"/>
        <v>1.6279137591956745</v>
      </c>
      <c r="Q21" s="8">
        <f t="shared" si="8"/>
        <v>1.2027671292810989</v>
      </c>
      <c r="R21" s="8">
        <f t="shared" si="9"/>
        <v>0.06779950800763512</v>
      </c>
      <c r="S21" s="8">
        <f t="shared" si="10"/>
        <v>0.7603833865814694</v>
      </c>
      <c r="T21" s="8">
        <f t="shared" si="16"/>
        <v>2.176536806757899</v>
      </c>
      <c r="U21" s="8">
        <f t="shared" si="11"/>
        <v>1.3844551856604155</v>
      </c>
      <c r="V21" s="8">
        <f t="shared" si="12"/>
        <v>3.343461545850683</v>
      </c>
      <c r="W21" s="8">
        <f t="shared" si="17"/>
        <v>2.176536806757899</v>
      </c>
      <c r="X21" s="20">
        <f t="shared" si="13"/>
        <v>2.712967986977754</v>
      </c>
      <c r="Y21" s="20">
        <f t="shared" si="14"/>
        <v>-0.05754205100379816</v>
      </c>
      <c r="Z21" s="22">
        <f t="shared" si="18"/>
        <v>3.737131945000778</v>
      </c>
    </row>
    <row r="22" spans="1:26" ht="18.75">
      <c r="A22" s="6" t="s">
        <v>408</v>
      </c>
      <c r="B22" s="6">
        <f>(B18+B19)^(1/3)+(B20/(B18^(1/3)))+B21</f>
        <v>2.0533120170647723</v>
      </c>
      <c r="D22" s="6" t="s">
        <v>407</v>
      </c>
      <c r="E22" s="6">
        <f>((b_1*c_1*fsw*kHz)+(2*a_1*c_1*d_1*fsw*kHz))/(3*a_1*c_1*fsw*kHz)</f>
        <v>0.5213675213675214</v>
      </c>
      <c r="G22" s="9">
        <f t="shared" si="19"/>
        <v>195</v>
      </c>
      <c r="H22" s="9">
        <f t="shared" si="0"/>
        <v>0.15398754021619623</v>
      </c>
      <c r="I22" s="9">
        <f t="shared" si="1"/>
        <v>3.886126882085691</v>
      </c>
      <c r="J22" s="9">
        <f t="shared" si="2"/>
        <v>2.501035910013892</v>
      </c>
      <c r="K22" s="9">
        <f t="shared" si="3"/>
        <v>2.4969595708701053</v>
      </c>
      <c r="L22" s="9">
        <f t="shared" si="4"/>
        <v>0.00045657096939147324</v>
      </c>
      <c r="M22" s="9">
        <f t="shared" si="5"/>
        <v>0.5213675213675214</v>
      </c>
      <c r="N22" s="9">
        <f t="shared" si="15"/>
        <v>2.231451283450172</v>
      </c>
      <c r="O22" s="9">
        <f t="shared" si="6"/>
        <v>0.07325223505585884</v>
      </c>
      <c r="P22" s="9">
        <f t="shared" si="7"/>
        <v>1.5952265237470682</v>
      </c>
      <c r="Q22" s="9">
        <f t="shared" si="8"/>
        <v>1.1898939095823169</v>
      </c>
      <c r="R22" s="9">
        <f t="shared" si="9"/>
        <v>0.06779950800763512</v>
      </c>
      <c r="S22" s="9">
        <f t="shared" si="10"/>
        <v>0.7603833865814694</v>
      </c>
      <c r="T22" s="9">
        <f t="shared" si="16"/>
        <v>2.1720933333696175</v>
      </c>
      <c r="U22" s="9">
        <f t="shared" si="11"/>
        <v>1.3799195180416444</v>
      </c>
      <c r="V22" s="9">
        <f t="shared" si="12"/>
        <v>3.343461545850683</v>
      </c>
      <c r="W22" s="9">
        <f t="shared" si="17"/>
        <v>2.1720933333696175</v>
      </c>
      <c r="X22" s="20">
        <f t="shared" si="13"/>
        <v>2.699055330634278</v>
      </c>
      <c r="Y22" s="23">
        <f t="shared" si="14"/>
        <v>-0.05724696356275304</v>
      </c>
      <c r="Z22" s="24">
        <f t="shared" si="18"/>
        <v>3.7347474759270005</v>
      </c>
    </row>
    <row r="23" spans="1:26" ht="14.25">
      <c r="A23" s="10"/>
      <c r="B23" s="11"/>
      <c r="D23" s="6" t="s">
        <v>408</v>
      </c>
      <c r="E23" s="6">
        <f>(E19+E20)^(1/3)+(E21/(E19^(1/3)))+E22</f>
        <v>1.7374486390723467</v>
      </c>
      <c r="G23" s="8">
        <f t="shared" si="19"/>
        <v>196</v>
      </c>
      <c r="H23" s="8">
        <f t="shared" si="0"/>
        <v>0.152420247207436</v>
      </c>
      <c r="I23" s="8">
        <f t="shared" si="1"/>
        <v>3.868850724524029</v>
      </c>
      <c r="J23" s="8">
        <f t="shared" si="2"/>
        <v>2.4756007855447693</v>
      </c>
      <c r="K23" s="8">
        <f t="shared" si="3"/>
        <v>2.4715249426707624</v>
      </c>
      <c r="L23" s="8">
        <f t="shared" si="4"/>
        <v>0.00045657096939147324</v>
      </c>
      <c r="M23" s="8">
        <f t="shared" si="5"/>
        <v>0.5213675213675214</v>
      </c>
      <c r="N23" s="8">
        <f t="shared" si="15"/>
        <v>2.225632019144057</v>
      </c>
      <c r="O23" s="8">
        <f t="shared" si="6"/>
        <v>0.07325223505585884</v>
      </c>
      <c r="P23" s="8">
        <f t="shared" si="7"/>
        <v>1.5633622137638228</v>
      </c>
      <c r="Q23" s="8">
        <f t="shared" si="8"/>
        <v>1.17721722587913</v>
      </c>
      <c r="R23" s="8">
        <f t="shared" si="9"/>
        <v>0.06779950800763512</v>
      </c>
      <c r="S23" s="8">
        <f t="shared" si="10"/>
        <v>0.7603833865814694</v>
      </c>
      <c r="T23" s="8">
        <f t="shared" si="16"/>
        <v>2.167689217374875</v>
      </c>
      <c r="U23" s="8">
        <f t="shared" si="11"/>
        <v>1.3754301327455132</v>
      </c>
      <c r="V23" s="8">
        <f t="shared" si="12"/>
        <v>3.343461545850683</v>
      </c>
      <c r="W23" s="8">
        <f t="shared" si="17"/>
        <v>2.167689217374875</v>
      </c>
      <c r="X23" s="20">
        <f t="shared" si="13"/>
        <v>2.6852846401718584</v>
      </c>
      <c r="Y23" s="20">
        <f t="shared" si="14"/>
        <v>-0.05695488721804511</v>
      </c>
      <c r="Z23" s="22">
        <f t="shared" si="18"/>
        <v>3.7323856186551936</v>
      </c>
    </row>
    <row r="24" spans="1:26" ht="18.75">
      <c r="A24" s="6" t="s">
        <v>409</v>
      </c>
      <c r="B24" s="6">
        <v>0.313</v>
      </c>
      <c r="D24" s="10"/>
      <c r="E24" s="11"/>
      <c r="G24" s="9">
        <f t="shared" si="19"/>
        <v>197</v>
      </c>
      <c r="H24" s="9">
        <f t="shared" si="0"/>
        <v>0.15087676097608446</v>
      </c>
      <c r="I24" s="9">
        <f t="shared" si="1"/>
        <v>3.851749959424922</v>
      </c>
      <c r="J24" s="9">
        <f t="shared" si="2"/>
        <v>2.4505520140697667</v>
      </c>
      <c r="K24" s="9">
        <f t="shared" si="3"/>
        <v>2.44647665992733</v>
      </c>
      <c r="L24" s="9">
        <f t="shared" si="4"/>
        <v>0.00045657096939147324</v>
      </c>
      <c r="M24" s="9">
        <f t="shared" si="5"/>
        <v>0.5213675213675214</v>
      </c>
      <c r="N24" s="9">
        <f t="shared" si="15"/>
        <v>2.219862036808846</v>
      </c>
      <c r="O24" s="9">
        <f t="shared" si="6"/>
        <v>0.07325223505585884</v>
      </c>
      <c r="P24" s="9">
        <f t="shared" si="7"/>
        <v>1.5322960252470703</v>
      </c>
      <c r="Q24" s="9">
        <f t="shared" si="8"/>
        <v>1.1647330977386334</v>
      </c>
      <c r="R24" s="9">
        <f t="shared" si="9"/>
        <v>0.06779950800763512</v>
      </c>
      <c r="S24" s="9">
        <f t="shared" si="10"/>
        <v>0.7603833865814694</v>
      </c>
      <c r="T24" s="9">
        <f t="shared" si="16"/>
        <v>2.163323923710845</v>
      </c>
      <c r="U24" s="9">
        <f t="shared" si="11"/>
        <v>1.370986324965079</v>
      </c>
      <c r="V24" s="9">
        <f t="shared" si="12"/>
        <v>3.343461545850683</v>
      </c>
      <c r="W24" s="9">
        <f t="shared" si="17"/>
        <v>2.163323923710845</v>
      </c>
      <c r="X24" s="20">
        <f t="shared" si="13"/>
        <v>2.671653753673524</v>
      </c>
      <c r="Y24" s="23">
        <f t="shared" si="14"/>
        <v>-0.056665776115415435</v>
      </c>
      <c r="Z24" s="24">
        <f t="shared" si="18"/>
        <v>3.7300460791546506</v>
      </c>
    </row>
    <row r="25" spans="1:26" ht="18.75">
      <c r="A25" s="6" t="s">
        <v>410</v>
      </c>
      <c r="B25" s="6">
        <v>0.401</v>
      </c>
      <c r="D25" s="6" t="s">
        <v>409</v>
      </c>
      <c r="E25" s="6">
        <v>0.313</v>
      </c>
      <c r="G25" s="8">
        <f t="shared" si="19"/>
        <v>198</v>
      </c>
      <c r="H25" s="8">
        <f t="shared" si="0"/>
        <v>0.14935660179371651</v>
      </c>
      <c r="I25" s="8">
        <f t="shared" si="1"/>
        <v>3.834821929326817</v>
      </c>
      <c r="J25" s="8">
        <f t="shared" si="2"/>
        <v>2.425881810221289</v>
      </c>
      <c r="K25" s="8">
        <f t="shared" si="3"/>
        <v>2.4218069374241136</v>
      </c>
      <c r="L25" s="8">
        <f t="shared" si="4"/>
        <v>0.00045657096939147324</v>
      </c>
      <c r="M25" s="8">
        <f t="shared" si="5"/>
        <v>0.5213675213675214</v>
      </c>
      <c r="N25" s="8">
        <f t="shared" si="15"/>
        <v>2.2141406721402195</v>
      </c>
      <c r="O25" s="8">
        <f t="shared" si="6"/>
        <v>0.07325223505585884</v>
      </c>
      <c r="P25" s="8">
        <f t="shared" si="7"/>
        <v>1.502004023078207</v>
      </c>
      <c r="Q25" s="8">
        <f t="shared" si="8"/>
        <v>1.1524376449894265</v>
      </c>
      <c r="R25" s="8">
        <f t="shared" si="9"/>
        <v>0.06779950800763512</v>
      </c>
      <c r="S25" s="8">
        <f t="shared" si="10"/>
        <v>0.7603833865814694</v>
      </c>
      <c r="T25" s="8">
        <f t="shared" si="16"/>
        <v>2.1589969272400054</v>
      </c>
      <c r="U25" s="8">
        <f t="shared" si="11"/>
        <v>1.3665874041319221</v>
      </c>
      <c r="V25" s="8">
        <f t="shared" si="12"/>
        <v>3.343461545850683</v>
      </c>
      <c r="W25" s="8">
        <f t="shared" si="17"/>
        <v>2.1589969272400054</v>
      </c>
      <c r="X25" s="20">
        <f t="shared" si="13"/>
        <v>2.6581605528973955</v>
      </c>
      <c r="Y25" s="20">
        <f t="shared" si="14"/>
        <v>-0.05637958532695376</v>
      </c>
      <c r="Z25" s="22">
        <f t="shared" si="18"/>
        <v>3.727728568407848</v>
      </c>
    </row>
    <row r="26" spans="1:26" ht="18.75">
      <c r="A26" s="6" t="s">
        <v>411</v>
      </c>
      <c r="B26" s="6">
        <v>0.1223</v>
      </c>
      <c r="D26" s="6" t="s">
        <v>410</v>
      </c>
      <c r="E26" s="6">
        <v>0.401</v>
      </c>
      <c r="G26" s="9">
        <f t="shared" si="19"/>
        <v>199</v>
      </c>
      <c r="H26" s="9">
        <f t="shared" si="0"/>
        <v>0.14785930195502292</v>
      </c>
      <c r="I26" s="9">
        <f t="shared" si="1"/>
        <v>3.8180640301844715</v>
      </c>
      <c r="J26" s="9">
        <f t="shared" si="2"/>
        <v>2.401582583751253</v>
      </c>
      <c r="K26" s="9">
        <f t="shared" si="3"/>
        <v>2.3975081850611253</v>
      </c>
      <c r="L26" s="9">
        <f t="shared" si="4"/>
        <v>0.00045657096939147324</v>
      </c>
      <c r="M26" s="9">
        <f t="shared" si="5"/>
        <v>0.5213675213675214</v>
      </c>
      <c r="N26" s="9">
        <f t="shared" si="15"/>
        <v>2.2084672730843575</v>
      </c>
      <c r="O26" s="9">
        <f t="shared" si="6"/>
        <v>0.07325223505585884</v>
      </c>
      <c r="P26" s="9">
        <f t="shared" si="7"/>
        <v>1.4724631063871063</v>
      </c>
      <c r="Q26" s="9">
        <f t="shared" si="8"/>
        <v>1.1403270847062756</v>
      </c>
      <c r="R26" s="9">
        <f t="shared" si="9"/>
        <v>0.06779950800763512</v>
      </c>
      <c r="S26" s="9">
        <f t="shared" si="10"/>
        <v>0.7603833865814694</v>
      </c>
      <c r="T26" s="9">
        <f t="shared" si="16"/>
        <v>2.1547077125170646</v>
      </c>
      <c r="U26" s="9">
        <f t="shared" si="11"/>
        <v>1.362232693558395</v>
      </c>
      <c r="V26" s="9">
        <f t="shared" si="12"/>
        <v>3.343461545850683</v>
      </c>
      <c r="W26" s="9">
        <f t="shared" si="17"/>
        <v>2.1547077125170646</v>
      </c>
      <c r="X26" s="20">
        <f t="shared" si="13"/>
        <v>2.644802962179318</v>
      </c>
      <c r="Y26" s="23">
        <f t="shared" si="14"/>
        <v>-0.056096270827823334</v>
      </c>
      <c r="Z26" s="24">
        <f t="shared" si="18"/>
        <v>3.725432802299517</v>
      </c>
    </row>
    <row r="27" spans="1:26" ht="18.75">
      <c r="A27" s="6" t="s">
        <v>412</v>
      </c>
      <c r="B27" s="6">
        <v>0.5</v>
      </c>
      <c r="D27" s="6" t="s">
        <v>411</v>
      </c>
      <c r="E27" s="6">
        <v>0.1223</v>
      </c>
      <c r="G27" s="8">
        <f t="shared" si="19"/>
        <v>200</v>
      </c>
      <c r="H27" s="8">
        <f t="shared" si="0"/>
        <v>0.14638440541802153</v>
      </c>
      <c r="I27" s="8">
        <f t="shared" si="1"/>
        <v>3.8014737100335485</v>
      </c>
      <c r="J27" s="8">
        <f t="shared" si="2"/>
        <v>2.3776469336921844</v>
      </c>
      <c r="K27" s="8">
        <f t="shared" si="3"/>
        <v>2.3735730020152936</v>
      </c>
      <c r="L27" s="8">
        <f t="shared" si="4"/>
        <v>0.00045657096939147324</v>
      </c>
      <c r="M27" s="8">
        <f t="shared" si="5"/>
        <v>0.5213675213675214</v>
      </c>
      <c r="N27" s="8">
        <f t="shared" si="15"/>
        <v>2.202841199551856</v>
      </c>
      <c r="O27" s="8">
        <f t="shared" si="6"/>
        <v>0.07325223505585884</v>
      </c>
      <c r="P27" s="8">
        <f t="shared" si="7"/>
        <v>1.4436509754660294</v>
      </c>
      <c r="Q27" s="8">
        <f t="shared" si="8"/>
        <v>1.1283977283000466</v>
      </c>
      <c r="R27" s="8">
        <f t="shared" si="9"/>
        <v>0.06779950800763512</v>
      </c>
      <c r="S27" s="8">
        <f t="shared" si="10"/>
        <v>0.7603833865814694</v>
      </c>
      <c r="T27" s="8">
        <f t="shared" si="16"/>
        <v>2.15045577356249</v>
      </c>
      <c r="U27" s="8">
        <f t="shared" si="11"/>
        <v>1.3579215300906031</v>
      </c>
      <c r="V27" s="8">
        <f t="shared" si="12"/>
        <v>3.343461545850683</v>
      </c>
      <c r="W27" s="8">
        <f t="shared" si="17"/>
        <v>2.15045577356249</v>
      </c>
      <c r="X27" s="20">
        <f t="shared" si="13"/>
        <v>2.6315789473684212</v>
      </c>
      <c r="Y27" s="20">
        <f t="shared" si="14"/>
        <v>-0.055815789473684214</v>
      </c>
      <c r="Z27" s="22">
        <f t="shared" si="18"/>
        <v>3.723158501508741</v>
      </c>
    </row>
    <row r="28" spans="1:26" ht="18.75">
      <c r="A28" s="6" t="s">
        <v>413</v>
      </c>
      <c r="B28" s="6">
        <f>(b_2^3/(27*a_2^3))-(d_2^3/27)</f>
        <v>0.07325223505585884</v>
      </c>
      <c r="D28" s="6" t="s">
        <v>412</v>
      </c>
      <c r="E28" s="6">
        <v>0.5</v>
      </c>
      <c r="G28" s="9">
        <f t="shared" si="19"/>
        <v>201</v>
      </c>
      <c r="H28" s="9">
        <f t="shared" si="0"/>
        <v>0.14493146745676747</v>
      </c>
      <c r="I28" s="9">
        <f t="shared" si="1"/>
        <v>3.7850484676950735</v>
      </c>
      <c r="J28" s="9">
        <f t="shared" si="2"/>
        <v>2.3540676427211595</v>
      </c>
      <c r="K28" s="9">
        <f t="shared" si="3"/>
        <v>2.349994171104511</v>
      </c>
      <c r="L28" s="9">
        <f t="shared" si="4"/>
        <v>0.00045657096939147324</v>
      </c>
      <c r="M28" s="9">
        <f t="shared" si="5"/>
        <v>0.5213675213675214</v>
      </c>
      <c r="N28" s="9">
        <f t="shared" si="15"/>
        <v>2.1972618231397134</v>
      </c>
      <c r="O28" s="9">
        <f t="shared" si="6"/>
        <v>0.07325223505585884</v>
      </c>
      <c r="P28" s="9">
        <f t="shared" si="7"/>
        <v>1.4155461001529401</v>
      </c>
      <c r="Q28" s="9">
        <f t="shared" si="8"/>
        <v>1.1166459787087302</v>
      </c>
      <c r="R28" s="9">
        <f t="shared" si="9"/>
        <v>0.06779950800763512</v>
      </c>
      <c r="S28" s="9">
        <f t="shared" si="10"/>
        <v>0.7603833865814694</v>
      </c>
      <c r="T28" s="9">
        <f t="shared" si="16"/>
        <v>2.146240613642436</v>
      </c>
      <c r="U28" s="9">
        <f t="shared" si="11"/>
        <v>1.3536532637717444</v>
      </c>
      <c r="V28" s="9">
        <f t="shared" si="12"/>
        <v>3.343461545850683</v>
      </c>
      <c r="W28" s="9">
        <f t="shared" si="17"/>
        <v>2.146240613642436</v>
      </c>
      <c r="X28" s="20">
        <f t="shared" si="13"/>
        <v>2.618486514794449</v>
      </c>
      <c r="Y28" s="23">
        <f t="shared" si="14"/>
        <v>-0.055538098978790265</v>
      </c>
      <c r="Z28" s="24">
        <f t="shared" si="18"/>
        <v>3.7209053914039094</v>
      </c>
    </row>
    <row r="29" spans="1:26" ht="18.75">
      <c r="A29" s="6" t="s">
        <v>414</v>
      </c>
      <c r="B29" s="6">
        <f>(ftyp^2*B10^2/(4*a_2^2*c_2^2*(fsw*kHz)^2))+(b_2^3*ftyp*B10/(27*a_2^4*c_2*(fsw*kHz)))-(d_2^3*ftyp*B10/(27*a_2*c_2*(fsw*kHz)))+(b_2*d_2^2*ftyp*B10/(9*a_2^2*c_2*(fsw*kHz)))-(b_2^2*d_2*ftyp*B10/(9*a_2^3*c_2*(fsw*kHz)))</f>
        <v>0.8331204276949008</v>
      </c>
      <c r="D29" s="6" t="s">
        <v>413</v>
      </c>
      <c r="E29" s="6">
        <f>(b_2^3/(27*a_2^3))-(d_2^3/27)</f>
        <v>0.07325223505585884</v>
      </c>
      <c r="G29" s="8">
        <f t="shared" si="19"/>
        <v>202</v>
      </c>
      <c r="H29" s="8">
        <f t="shared" si="0"/>
        <v>0.14350005432606758</v>
      </c>
      <c r="I29" s="8">
        <f t="shared" si="1"/>
        <v>3.7687858515183645</v>
      </c>
      <c r="J29" s="8">
        <f t="shared" si="2"/>
        <v>2.3308376717185526</v>
      </c>
      <c r="K29" s="8">
        <f t="shared" si="3"/>
        <v>2.326764653346496</v>
      </c>
      <c r="L29" s="8">
        <f t="shared" si="4"/>
        <v>0.00045657096939147324</v>
      </c>
      <c r="M29" s="8">
        <f t="shared" si="5"/>
        <v>0.5213675213675214</v>
      </c>
      <c r="N29" s="8">
        <f t="shared" si="15"/>
        <v>2.19172852686112</v>
      </c>
      <c r="O29" s="8">
        <f t="shared" si="6"/>
        <v>0.07325223505585884</v>
      </c>
      <c r="P29" s="8">
        <f t="shared" si="7"/>
        <v>1.3881276896120491</v>
      </c>
      <c r="Q29" s="8">
        <f t="shared" si="8"/>
        <v>1.105068327685566</v>
      </c>
      <c r="R29" s="8">
        <f t="shared" si="9"/>
        <v>0.06779950800763512</v>
      </c>
      <c r="S29" s="8">
        <f t="shared" si="10"/>
        <v>0.7603833865814694</v>
      </c>
      <c r="T29" s="8">
        <f t="shared" si="16"/>
        <v>2.1420617450548494</v>
      </c>
      <c r="U29" s="8">
        <f t="shared" si="11"/>
        <v>1.3494272575154485</v>
      </c>
      <c r="V29" s="8">
        <f t="shared" si="12"/>
        <v>3.343461545850683</v>
      </c>
      <c r="W29" s="8">
        <f t="shared" si="17"/>
        <v>2.1420617450548494</v>
      </c>
      <c r="X29" s="20">
        <f t="shared" si="13"/>
        <v>2.605523710265764</v>
      </c>
      <c r="Y29" s="20">
        <f t="shared" si="14"/>
        <v>-0.05526315789473685</v>
      </c>
      <c r="Z29" s="22">
        <f t="shared" si="18"/>
        <v>3.718673201940504</v>
      </c>
    </row>
    <row r="30" spans="1:26" ht="18.75">
      <c r="A30" s="6" t="s">
        <v>415</v>
      </c>
      <c r="B30" s="6">
        <f>(b_2*d_2^2/(9*a_2))-(b_2^2*d_2/(9*a_2^2))+(ftyp*B10/(2*a_2*c_2*(fsw*kHz)))</f>
        <v>0.8396727819428645</v>
      </c>
      <c r="D30" s="6" t="s">
        <v>414</v>
      </c>
      <c r="E30" s="6">
        <f>(ftyp^2*E11^2/(4*a_2^2*c_2^2*(fsw*kHz)^2))+(b_2^3*ftyp*E11/(27*a_2^4*c_2*(fsw*kHz)))-(d_2^3*ftyp*E11/(27*a_2*c_2*(fsw*kHz)))+(b_2*d_2^2*ftyp*E11/(9*a_2^2*c_2*(fsw*kHz)))-(b_2^2*d_2*ftyp*E11/(9*a_2^3*c_2*(fsw*kHz)))</f>
        <v>0.21618260517259286</v>
      </c>
      <c r="G30" s="9">
        <f t="shared" si="19"/>
        <v>203</v>
      </c>
      <c r="H30" s="9">
        <f t="shared" si="0"/>
        <v>0.14208974293772872</v>
      </c>
      <c r="I30" s="9">
        <f t="shared" si="1"/>
        <v>3.752683458161132</v>
      </c>
      <c r="J30" s="9">
        <f t="shared" si="2"/>
        <v>2.307950154513971</v>
      </c>
      <c r="K30" s="9">
        <f t="shared" si="3"/>
        <v>2.3038775827048217</v>
      </c>
      <c r="L30" s="9">
        <f t="shared" si="4"/>
        <v>0.00045657096939147324</v>
      </c>
      <c r="M30" s="9">
        <f t="shared" si="5"/>
        <v>0.5213675213675214</v>
      </c>
      <c r="N30" s="9">
        <f t="shared" si="15"/>
        <v>2.1862407048828016</v>
      </c>
      <c r="O30" s="9">
        <f t="shared" si="6"/>
        <v>0.07325223505585884</v>
      </c>
      <c r="P30" s="9">
        <f t="shared" si="7"/>
        <v>1.361375663443319</v>
      </c>
      <c r="Q30" s="9">
        <f t="shared" si="8"/>
        <v>1.0936613531804502</v>
      </c>
      <c r="R30" s="9">
        <f t="shared" si="9"/>
        <v>0.06779950800763512</v>
      </c>
      <c r="S30" s="9">
        <f t="shared" si="10"/>
        <v>0.7603833865814694</v>
      </c>
      <c r="T30" s="9">
        <f t="shared" si="16"/>
        <v>2.1379186889215527</v>
      </c>
      <c r="U30" s="9">
        <f t="shared" si="11"/>
        <v>1.3452428867887716</v>
      </c>
      <c r="V30" s="9">
        <f t="shared" si="12"/>
        <v>3.343461545850683</v>
      </c>
      <c r="W30" s="9">
        <f t="shared" si="17"/>
        <v>2.1379186889215527</v>
      </c>
      <c r="X30" s="20">
        <f t="shared" si="13"/>
        <v>2.592688618096967</v>
      </c>
      <c r="Y30" s="23">
        <f t="shared" si="14"/>
        <v>-0.05499092558983666</v>
      </c>
      <c r="Z30" s="24">
        <f t="shared" si="18"/>
        <v>3.716461667561598</v>
      </c>
    </row>
    <row r="31" spans="1:26" ht="18.75">
      <c r="A31" s="6" t="s">
        <v>416</v>
      </c>
      <c r="B31" s="6">
        <f>(d_2^2/9)+(b_2^2/(9*a_2^2))-(2*b_2*d_2/(9*a_2))</f>
        <v>0.06779950800763512</v>
      </c>
      <c r="D31" s="6" t="s">
        <v>415</v>
      </c>
      <c r="E31" s="6">
        <f>(b_2*d_2^2/(9*a_2))-(b_2^2*d_2/(9*a_2^2))+(ftyp*E11/(2*a_2*c_2*(fsw*kHz)))</f>
        <v>0.3920372061952956</v>
      </c>
      <c r="G31" s="8">
        <f t="shared" si="19"/>
        <v>204</v>
      </c>
      <c r="H31" s="8">
        <f t="shared" si="0"/>
        <v>0.14070012054788694</v>
      </c>
      <c r="I31" s="8">
        <f t="shared" si="1"/>
        <v>3.73673893140544</v>
      </c>
      <c r="J31" s="8">
        <f t="shared" si="2"/>
        <v>2.2853983928120125</v>
      </c>
      <c r="K31" s="8">
        <f t="shared" si="3"/>
        <v>2.2813262610147778</v>
      </c>
      <c r="L31" s="8">
        <f t="shared" si="4"/>
        <v>0.00045657096939147324</v>
      </c>
      <c r="M31" s="8">
        <f t="shared" si="5"/>
        <v>0.5213675213675214</v>
      </c>
      <c r="N31" s="8">
        <f t="shared" si="15"/>
        <v>2.1807977622696626</v>
      </c>
      <c r="O31" s="8">
        <f t="shared" si="6"/>
        <v>0.07325223505585884</v>
      </c>
      <c r="P31" s="8">
        <f t="shared" si="7"/>
        <v>1.3352706240562786</v>
      </c>
      <c r="Q31" s="8">
        <f t="shared" si="8"/>
        <v>1.0824217168109715</v>
      </c>
      <c r="R31" s="8">
        <f t="shared" si="9"/>
        <v>0.06779950800763512</v>
      </c>
      <c r="S31" s="8">
        <f t="shared" si="10"/>
        <v>0.7603833865814694</v>
      </c>
      <c r="T31" s="8">
        <f t="shared" si="16"/>
        <v>2.1338109749861114</v>
      </c>
      <c r="U31" s="8">
        <f t="shared" si="11"/>
        <v>1.3410995393045129</v>
      </c>
      <c r="V31" s="8">
        <f t="shared" si="12"/>
        <v>3.343461545850683</v>
      </c>
      <c r="W31" s="8">
        <f t="shared" si="17"/>
        <v>2.1338109749861114</v>
      </c>
      <c r="X31" s="20">
        <f t="shared" si="13"/>
        <v>2.579979360165119</v>
      </c>
      <c r="Y31" s="20">
        <f t="shared" si="14"/>
        <v>-0.05472136222910217</v>
      </c>
      <c r="Z31" s="22">
        <f t="shared" si="18"/>
        <v>3.7142705271009815</v>
      </c>
    </row>
    <row r="32" spans="1:26" ht="18.75">
      <c r="A32" s="6" t="s">
        <v>417</v>
      </c>
      <c r="B32" s="6">
        <f>(b_2*c_2*(fsw*kHz)+2*a_2*c_2*d_2*(fsw*kHz))/(3*a_2*c_2*(fsw*kHz))</f>
        <v>0.7603833865814694</v>
      </c>
      <c r="D32" s="6" t="s">
        <v>416</v>
      </c>
      <c r="E32" s="6">
        <f>(d_2^2/9)+(b_2^2/(9*a_2^2))-(2*b_2*d_2/(9*a_2))</f>
        <v>0.06779950800763512</v>
      </c>
      <c r="G32" s="9">
        <f t="shared" si="19"/>
        <v>205</v>
      </c>
      <c r="H32" s="9">
        <f t="shared" si="0"/>
        <v>0.13933078445498778</v>
      </c>
      <c r="I32" s="9">
        <f t="shared" si="1"/>
        <v>3.72094996100834</v>
      </c>
      <c r="J32" s="9">
        <f t="shared" si="2"/>
        <v>2.2631758512908817</v>
      </c>
      <c r="K32" s="9">
        <f t="shared" si="3"/>
        <v>2.2591041530820815</v>
      </c>
      <c r="L32" s="9">
        <f t="shared" si="4"/>
        <v>0.00045657096939147324</v>
      </c>
      <c r="M32" s="9">
        <f t="shared" si="5"/>
        <v>0.5213675213675214</v>
      </c>
      <c r="N32" s="9">
        <f t="shared" si="15"/>
        <v>2.1753991147364933</v>
      </c>
      <c r="O32" s="9">
        <f t="shared" si="6"/>
        <v>0.07325223505585884</v>
      </c>
      <c r="P32" s="9">
        <f t="shared" si="7"/>
        <v>1.309793830246963</v>
      </c>
      <c r="Q32" s="9">
        <f t="shared" si="8"/>
        <v>1.0713461614195956</v>
      </c>
      <c r="R32" s="9">
        <f t="shared" si="9"/>
        <v>0.06779950800763512</v>
      </c>
      <c r="S32" s="9">
        <f t="shared" si="10"/>
        <v>0.7603833865814694</v>
      </c>
      <c r="T32" s="9">
        <f t="shared" si="16"/>
        <v>2.129738141417293</v>
      </c>
      <c r="U32" s="9">
        <f t="shared" si="11"/>
        <v>1.3369966147225396</v>
      </c>
      <c r="V32" s="9">
        <f t="shared" si="12"/>
        <v>3.343461545850683</v>
      </c>
      <c r="W32" s="9">
        <f t="shared" si="17"/>
        <v>2.129738141417293</v>
      </c>
      <c r="X32" s="20">
        <f t="shared" si="13"/>
        <v>2.5673940949935816</v>
      </c>
      <c r="Y32" s="23">
        <f t="shared" si="14"/>
        <v>-0.05445442875481386</v>
      </c>
      <c r="Z32" s="24">
        <f t="shared" si="18"/>
        <v>3.7120995236888423</v>
      </c>
    </row>
    <row r="33" spans="1:26" ht="18.75">
      <c r="A33" s="6" t="s">
        <v>418</v>
      </c>
      <c r="B33" s="6">
        <f>((B28+SQRT(B29)+B30)^(1/3))+(B31/((B28+SQRT(B29)+B30)^(1/3)))+B32</f>
        <v>2.0380546238946535</v>
      </c>
      <c r="D33" s="6" t="s">
        <v>417</v>
      </c>
      <c r="E33" s="6">
        <f>(b_2*c_2*(fsw*kHz)+2*a_2*c_2*d_2*(fsw*kHz))/(3*a_2*c_2*(fsw*kHz))</f>
        <v>0.7603833865814694</v>
      </c>
      <c r="G33" s="8">
        <f t="shared" si="19"/>
        <v>206</v>
      </c>
      <c r="H33" s="8">
        <f t="shared" si="0"/>
        <v>0.13798134170800408</v>
      </c>
      <c r="I33" s="8">
        <f t="shared" si="1"/>
        <v>3.705314281585969</v>
      </c>
      <c r="J33" s="8">
        <f t="shared" si="2"/>
        <v>2.2412761528671417</v>
      </c>
      <c r="K33" s="8">
        <f t="shared" si="3"/>
        <v>2.237204881947719</v>
      </c>
      <c r="L33" s="8">
        <f t="shared" si="4"/>
        <v>0.00045657096939147324</v>
      </c>
      <c r="M33" s="8">
        <f t="shared" si="5"/>
        <v>0.5213675213675214</v>
      </c>
      <c r="N33" s="8">
        <f t="shared" si="15"/>
        <v>2.170044188406512</v>
      </c>
      <c r="O33" s="8">
        <f t="shared" si="6"/>
        <v>0.07325223505585884</v>
      </c>
      <c r="P33" s="8">
        <f t="shared" si="7"/>
        <v>1.2849271719200344</v>
      </c>
      <c r="Q33" s="8">
        <f t="shared" si="8"/>
        <v>1.0604315087136515</v>
      </c>
      <c r="R33" s="8">
        <f t="shared" si="9"/>
        <v>0.06779950800763512</v>
      </c>
      <c r="S33" s="8">
        <f t="shared" si="10"/>
        <v>0.7603833865814694</v>
      </c>
      <c r="T33" s="8">
        <f t="shared" si="16"/>
        <v>2.125699734617943</v>
      </c>
      <c r="U33" s="8">
        <f t="shared" si="11"/>
        <v>1.3329335243598086</v>
      </c>
      <c r="V33" s="8">
        <f t="shared" si="12"/>
        <v>3.343461545850683</v>
      </c>
      <c r="W33" s="8">
        <f t="shared" si="17"/>
        <v>2.125699734617943</v>
      </c>
      <c r="X33" s="20">
        <f t="shared" si="13"/>
        <v>2.554931016862545</v>
      </c>
      <c r="Y33" s="20">
        <f t="shared" si="14"/>
        <v>-0.05419008686765457</v>
      </c>
      <c r="Z33" s="22">
        <f t="shared" si="18"/>
        <v>3.7099484046599107</v>
      </c>
    </row>
    <row r="34" spans="1:26" ht="14.25">
      <c r="A34" s="10"/>
      <c r="B34" s="11"/>
      <c r="D34" s="6" t="s">
        <v>418</v>
      </c>
      <c r="E34" s="6">
        <f>((E29+SQRT(E30)+E31)^(1/3))+(E32/((E29+SQRT(E30)+E31)^(1/3)))+E33</f>
        <v>1.8060222222782119</v>
      </c>
      <c r="G34" s="9">
        <f t="shared" si="19"/>
        <v>207</v>
      </c>
      <c r="H34" s="9">
        <f t="shared" si="0"/>
        <v>0.13665140882449678</v>
      </c>
      <c r="I34" s="9">
        <f t="shared" si="1"/>
        <v>3.689829671529999</v>
      </c>
      <c r="J34" s="9">
        <f t="shared" si="2"/>
        <v>2.2196930741202094</v>
      </c>
      <c r="K34" s="9">
        <f t="shared" si="3"/>
        <v>2.215622224312536</v>
      </c>
      <c r="L34" s="9">
        <f t="shared" si="4"/>
        <v>0.00045657096939147324</v>
      </c>
      <c r="M34" s="9">
        <f t="shared" si="5"/>
        <v>0.5213675213675214</v>
      </c>
      <c r="N34" s="9">
        <f t="shared" si="15"/>
        <v>2.1647324195765263</v>
      </c>
      <c r="O34" s="9">
        <f t="shared" si="6"/>
        <v>0.07325223505585884</v>
      </c>
      <c r="P34" s="9">
        <f t="shared" si="7"/>
        <v>1.2606531459011756</v>
      </c>
      <c r="Q34" s="9">
        <f t="shared" si="8"/>
        <v>1.049674656984934</v>
      </c>
      <c r="R34" s="9">
        <f t="shared" si="9"/>
        <v>0.06779950800763512</v>
      </c>
      <c r="S34" s="9">
        <f t="shared" si="10"/>
        <v>0.7603833865814694</v>
      </c>
      <c r="T34" s="9">
        <f t="shared" si="16"/>
        <v>2.1216953090390933</v>
      </c>
      <c r="U34" s="9">
        <f t="shared" si="11"/>
        <v>1.3289096909087952</v>
      </c>
      <c r="V34" s="9">
        <f t="shared" si="12"/>
        <v>3.343461545850683</v>
      </c>
      <c r="W34" s="9">
        <f t="shared" si="17"/>
        <v>2.1216953090390933</v>
      </c>
      <c r="X34" s="20">
        <f t="shared" si="13"/>
        <v>2.5425883549453347</v>
      </c>
      <c r="Y34" s="23">
        <f t="shared" si="14"/>
        <v>-0.053928299008390544</v>
      </c>
      <c r="Z34" s="24">
        <f t="shared" si="18"/>
        <v>3.7078169214640053</v>
      </c>
    </row>
    <row r="35" spans="1:26" ht="18.75">
      <c r="A35" s="6" t="s">
        <v>419</v>
      </c>
      <c r="B35" s="6">
        <v>1.007</v>
      </c>
      <c r="D35" s="10"/>
      <c r="E35" s="11"/>
      <c r="G35" s="8">
        <f t="shared" si="19"/>
        <v>208</v>
      </c>
      <c r="H35" s="8">
        <f t="shared" si="0"/>
        <v>0.13534061151814122</v>
      </c>
      <c r="I35" s="8">
        <f t="shared" si="1"/>
        <v>3.6744939519553355</v>
      </c>
      <c r="J35" s="8">
        <f t="shared" si="2"/>
        <v>2.1984205408704645</v>
      </c>
      <c r="K35" s="8">
        <f t="shared" si="3"/>
        <v>2.1943501061154245</v>
      </c>
      <c r="L35" s="8">
        <f t="shared" si="4"/>
        <v>0.00045657096939147324</v>
      </c>
      <c r="M35" s="8">
        <f t="shared" si="5"/>
        <v>0.5213675213675214</v>
      </c>
      <c r="N35" s="8">
        <f t="shared" si="15"/>
        <v>2.1594632544884917</v>
      </c>
      <c r="O35" s="8">
        <f t="shared" si="6"/>
        <v>0.07325223505585884</v>
      </c>
      <c r="P35" s="8">
        <f t="shared" si="7"/>
        <v>1.23695483278776</v>
      </c>
      <c r="Q35" s="8">
        <f t="shared" si="8"/>
        <v>1.0390725789058626</v>
      </c>
      <c r="R35" s="8">
        <f t="shared" si="9"/>
        <v>0.06779950800763512</v>
      </c>
      <c r="S35" s="8">
        <f t="shared" si="10"/>
        <v>0.7603833865814694</v>
      </c>
      <c r="T35" s="8">
        <f t="shared" si="16"/>
        <v>2.1177244269991466</v>
      </c>
      <c r="U35" s="8">
        <f t="shared" si="11"/>
        <v>1.3249245481640415</v>
      </c>
      <c r="V35" s="8">
        <f t="shared" si="12"/>
        <v>3.343461545850683</v>
      </c>
      <c r="W35" s="8">
        <f t="shared" si="17"/>
        <v>2.1177244269991466</v>
      </c>
      <c r="X35" s="20">
        <f t="shared" si="13"/>
        <v>2.530364372469636</v>
      </c>
      <c r="Y35" s="20">
        <f t="shared" si="14"/>
        <v>-0.05366902834008098</v>
      </c>
      <c r="Z35" s="22">
        <f t="shared" si="18"/>
        <v>3.7057048295788975</v>
      </c>
    </row>
    <row r="36" spans="1:26" ht="18.75">
      <c r="A36" s="6" t="s">
        <v>420</v>
      </c>
      <c r="B36" s="6">
        <v>0.1223</v>
      </c>
      <c r="D36" s="6" t="s">
        <v>419</v>
      </c>
      <c r="E36" s="6">
        <v>1.007</v>
      </c>
      <c r="G36" s="12">
        <f t="shared" si="19"/>
        <v>209</v>
      </c>
      <c r="H36" s="12">
        <f t="shared" si="0"/>
        <v>0.13404858443535778</v>
      </c>
      <c r="I36" s="12">
        <f t="shared" si="1"/>
        <v>3.659304985678037</v>
      </c>
      <c r="J36" s="12">
        <f t="shared" si="2"/>
        <v>2.177452623905104</v>
      </c>
      <c r="K36" s="12">
        <f t="shared" si="3"/>
        <v>2.1733825982592685</v>
      </c>
      <c r="L36" s="12">
        <f t="shared" si="4"/>
        <v>0.00045657096939147324</v>
      </c>
      <c r="M36" s="12">
        <f t="shared" si="5"/>
        <v>0.5213675213675214</v>
      </c>
      <c r="N36" s="12">
        <f t="shared" si="15"/>
        <v>2.154236149107274</v>
      </c>
      <c r="O36" s="12">
        <f t="shared" si="6"/>
        <v>0.07325223505585884</v>
      </c>
      <c r="P36" s="12">
        <f t="shared" si="7"/>
        <v>1.2138158747884922</v>
      </c>
      <c r="Q36" s="12">
        <f t="shared" si="8"/>
        <v>1.02862231939928</v>
      </c>
      <c r="R36" s="12">
        <f t="shared" si="9"/>
        <v>0.06779950800763512</v>
      </c>
      <c r="S36" s="12">
        <f t="shared" si="10"/>
        <v>0.7603833865814694</v>
      </c>
      <c r="T36" s="12">
        <f t="shared" si="16"/>
        <v>2.1137866585079634</v>
      </c>
      <c r="U36" s="12">
        <f t="shared" si="11"/>
        <v>1.3209775407565578</v>
      </c>
      <c r="V36" s="12">
        <f t="shared" si="12"/>
        <v>3.343461545850683</v>
      </c>
      <c r="W36" s="12">
        <f t="shared" si="17"/>
        <v>2.1137866585079634</v>
      </c>
      <c r="X36" s="20">
        <f t="shared" si="13"/>
        <v>2.5182573659027954</v>
      </c>
      <c r="Y36" s="23">
        <f t="shared" si="14"/>
        <v>-0.053412238730798284</v>
      </c>
      <c r="Z36" s="24">
        <f t="shared" si="18"/>
        <v>3.7036118884254337</v>
      </c>
    </row>
    <row r="37" spans="1:26" ht="18.75">
      <c r="A37" s="6" t="s">
        <v>421</v>
      </c>
      <c r="B37" s="6">
        <v>0.5</v>
      </c>
      <c r="D37" s="6" t="s">
        <v>420</v>
      </c>
      <c r="E37" s="6">
        <v>0.1223</v>
      </c>
      <c r="G37" s="8">
        <f t="shared" si="19"/>
        <v>210</v>
      </c>
      <c r="H37" s="8">
        <f t="shared" si="0"/>
        <v>0.1327749709006998</v>
      </c>
      <c r="I37" s="8">
        <f t="shared" si="1"/>
        <v>3.644260676222428</v>
      </c>
      <c r="J37" s="8">
        <f t="shared" si="2"/>
        <v>2.1567835348461224</v>
      </c>
      <c r="K37" s="8">
        <f t="shared" si="3"/>
        <v>2.1527139124790002</v>
      </c>
      <c r="L37" s="8">
        <f t="shared" si="4"/>
        <v>0.00045657096939147324</v>
      </c>
      <c r="M37" s="8">
        <f t="shared" si="5"/>
        <v>0.5213675213675214</v>
      </c>
      <c r="N37" s="8">
        <f t="shared" si="15"/>
        <v>2.1490505689044106</v>
      </c>
      <c r="O37" s="8">
        <f t="shared" si="6"/>
        <v>0.07325223505585884</v>
      </c>
      <c r="P37" s="8">
        <f t="shared" si="7"/>
        <v>1.1912204545052911</v>
      </c>
      <c r="Q37" s="8">
        <f t="shared" si="8"/>
        <v>1.0183209935790825</v>
      </c>
      <c r="R37" s="8">
        <f t="shared" si="9"/>
        <v>0.06779950800763512</v>
      </c>
      <c r="S37" s="8">
        <f t="shared" si="10"/>
        <v>0.7603833865814694</v>
      </c>
      <c r="T37" s="8">
        <f t="shared" si="16"/>
        <v>2.109881581095707</v>
      </c>
      <c r="U37" s="8">
        <f t="shared" si="11"/>
        <v>1.3170681238958124</v>
      </c>
      <c r="V37" s="8">
        <f t="shared" si="12"/>
        <v>3.343461545850683</v>
      </c>
      <c r="W37" s="8">
        <f t="shared" si="17"/>
        <v>2.109881581095707</v>
      </c>
      <c r="X37" s="20">
        <f t="shared" si="13"/>
        <v>2.5062656641604013</v>
      </c>
      <c r="Y37" s="20">
        <f t="shared" si="14"/>
        <v>-0.05315789473684211</v>
      </c>
      <c r="Z37" s="22">
        <f t="shared" si="18"/>
        <v>3.701537861284824</v>
      </c>
    </row>
    <row r="38" spans="1:26" ht="18.75">
      <c r="A38" s="6" t="s">
        <v>422</v>
      </c>
      <c r="B38" s="6">
        <f>c_3+(SQRT(ftyp)*SQRT(B10)/(SQRT(a_3)*SQRT(b_3)*SQRT(fsw*kHz)))</f>
        <v>1.2460187218179155</v>
      </c>
      <c r="D38" s="6" t="s">
        <v>421</v>
      </c>
      <c r="E38" s="6">
        <v>0.5</v>
      </c>
      <c r="G38" s="9">
        <f t="shared" si="19"/>
        <v>211</v>
      </c>
      <c r="H38" s="9">
        <f t="shared" si="0"/>
        <v>0.13151942267066918</v>
      </c>
      <c r="I38" s="9">
        <f t="shared" si="1"/>
        <v>3.6293589668564445</v>
      </c>
      <c r="J38" s="9">
        <f t="shared" si="2"/>
        <v>2.1364076221550565</v>
      </c>
      <c r="K38" s="9">
        <f t="shared" si="3"/>
        <v>2.1323383973464263</v>
      </c>
      <c r="L38" s="9">
        <f t="shared" si="4"/>
        <v>0.00045657096939147324</v>
      </c>
      <c r="M38" s="9">
        <f t="shared" si="5"/>
        <v>0.5213675213675214</v>
      </c>
      <c r="N38" s="9">
        <f t="shared" si="15"/>
        <v>2.1439059886476857</v>
      </c>
      <c r="O38" s="9">
        <f t="shared" si="6"/>
        <v>0.07325223505585884</v>
      </c>
      <c r="P38" s="9">
        <f t="shared" si="7"/>
        <v>1.1691532746131006</v>
      </c>
      <c r="Q38" s="9">
        <f t="shared" si="8"/>
        <v>1.0081657847590135</v>
      </c>
      <c r="R38" s="9">
        <f t="shared" si="9"/>
        <v>0.06779950800763512</v>
      </c>
      <c r="S38" s="9">
        <f t="shared" si="10"/>
        <v>0.7603833865814694</v>
      </c>
      <c r="T38" s="9">
        <f t="shared" si="16"/>
        <v>2.106008779646288</v>
      </c>
      <c r="U38" s="9">
        <f t="shared" si="11"/>
        <v>1.313195763119055</v>
      </c>
      <c r="V38" s="9">
        <f t="shared" si="12"/>
        <v>3.343461545850683</v>
      </c>
      <c r="W38" s="9">
        <f t="shared" si="17"/>
        <v>2.106008779646288</v>
      </c>
      <c r="X38" s="20">
        <f t="shared" si="13"/>
        <v>2.4943876278373662</v>
      </c>
      <c r="Y38" s="23">
        <f t="shared" si="14"/>
        <v>-0.05290596158643053</v>
      </c>
      <c r="Z38" s="24">
        <f t="shared" si="18"/>
        <v>3.699482515218048</v>
      </c>
    </row>
    <row r="39" spans="1:26" ht="14.25">
      <c r="A39" s="10"/>
      <c r="B39" s="11"/>
      <c r="D39" s="6" t="s">
        <v>422</v>
      </c>
      <c r="E39" s="6">
        <f>c_3+(SQRT(ftyp)*SQRT(E11)/(SQRT(a_3)*SQRT(b_3)*SQRT(fsw*kHz)))</f>
        <v>1.027514897089569</v>
      </c>
      <c r="G39" s="8">
        <f t="shared" si="19"/>
        <v>212</v>
      </c>
      <c r="H39" s="8">
        <f aca="true" t="shared" si="20" ref="H39:H70">(Iout*(Vout_nom^2)*2.5*Rsense*K_1)/(eff*(G39^2)*K_FQ)*us</f>
        <v>0.1302815996956404</v>
      </c>
      <c r="I39" s="8">
        <f aca="true" t="shared" si="21" ref="I39:I70">(1*10^-9*(5*10^8*SQRT(fsw*kHz)+(1.09655978*10^10)*SQRT(ftyp)*SQRT(H39)))/SQRT(fsw*kHz)</f>
        <v>3.6145978396542917</v>
      </c>
      <c r="J39" s="8">
        <f aca="true" t="shared" si="22" ref="J39:J70">(b_1^3/(27*a_1^3))-(d_1^3/27)+SQRT((ftyp)^2*H39^2/(4*a_1^2*c_1^2*(fsw*kHz)^2))+(b_1^3*(ftyp)*H39/(27*a_1^4*c_1*(fsw*kHz))-(d_1^3*(ftyp)*H39/(27*a_1*c_1*(fsw*kHz)))+(b_1*d_1^2*(ftyp)*H39/(9*a_1^2*c_1*(fsw*kHz)))-(b_1^2*d_1*(ftyp)*H39/(9*a_1^3*c_1*(fsw*kHz))))</f>
        <v>2.1163193672693272</v>
      </c>
      <c r="K39" s="8">
        <f aca="true" t="shared" si="23" ref="K39:K70">(b_1*d_1^2/(9*a_1))-(b_1^2*d_1/(9*a_1^2))+(ftyp*H39/(2*a_1*c_1*fsw*kHz))</f>
        <v>2.1122505344066393</v>
      </c>
      <c r="L39" s="8">
        <f aca="true" t="shared" si="24" ref="L39:L70">(d_1^2/9)+(b_1^2/(9*a_1^2))-(2*b_1*d_1/(9*a_1))</f>
        <v>0.00045657096939147324</v>
      </c>
      <c r="M39" s="8">
        <f aca="true" t="shared" si="25" ref="M39:M70">((b_1*c_1*fsw*kHz)+(2*a_1*c_1*d_1*fsw*kHz))/(3*a_1*c_1*fsw*kHz)</f>
        <v>0.5213675213675214</v>
      </c>
      <c r="N39" s="8">
        <f t="shared" si="15"/>
        <v>2.1388018921963314</v>
      </c>
      <c r="O39" s="8">
        <f aca="true" t="shared" si="26" ref="O39:O70">(b_2^3/(27*a_2^3))-(d_2^3/27)</f>
        <v>0.07325223505585884</v>
      </c>
      <c r="P39" s="8">
        <f aca="true" t="shared" si="27" ref="P39:P70">(ftyp^2*H39^2/(4*a_2^2*c_2^2*(fsw*kHz)^2))+(b_2^3*ftyp*H39/(27*a_2^4*c_2*(fsw*kHz)))-(d_2^3*ftyp*H39/(27*a_2*c_2*(fsw*kHz)))+(b_2*d_2^2*ftyp*H39/(9*a_2^2*c_2*(fsw*kHz)))-(b_2^2*d_2*ftyp*H39/(9*a_2^3*c_2*(fsw*kHz)))</f>
        <v>1.147599538395586</v>
      </c>
      <c r="Q39" s="8">
        <f aca="true" t="shared" si="28" ref="Q39:Q70">(b_2*d_2^2/(9*a_2))-(b_2^2*d_2/(9*a_2^2))+(ftyp*H39/(2*a_2*c_2*(fsw*kHz)))</f>
        <v>0.998153942527043</v>
      </c>
      <c r="R39" s="8">
        <f aca="true" t="shared" si="29" ref="R39:R70">(d_2^2/9)+(b_2^2/(9*a_2^2))-(2*b_2*d_2/(9*a_2))</f>
        <v>0.06779950800763512</v>
      </c>
      <c r="S39" s="8">
        <f aca="true" t="shared" si="30" ref="S39:S70">(b_2*c_2*(fsw*kHz)+2*a_2*c_2*d_2*(fsw*kHz))/(3*a_2*c_2*(fsw*kHz))</f>
        <v>0.7603833865814694</v>
      </c>
      <c r="T39" s="8">
        <f t="shared" si="16"/>
        <v>2.1021678462352638</v>
      </c>
      <c r="U39" s="8">
        <f aca="true" t="shared" si="31" ref="U39:U70">c_3+(SQRT(ftyp)*SQRT(H39)/(SQRT(a_3)*SQRT(b_3)*SQRT(fsw*kHz)))</f>
        <v>1.3093599340477389</v>
      </c>
      <c r="V39" s="8">
        <f aca="true" t="shared" si="32" ref="V39:V70">(a_4*(fsw*kHz)*b_4/ftyp)</f>
        <v>3.343461545850683</v>
      </c>
      <c r="W39" s="8">
        <f t="shared" si="17"/>
        <v>2.1021678462352638</v>
      </c>
      <c r="X39" s="20">
        <f aca="true" t="shared" si="33" ref="X39:X70">Pin_max/G39</f>
        <v>2.482621648460775</v>
      </c>
      <c r="Y39" s="20">
        <f aca="true" t="shared" si="34" ref="Y39:Y70">-X39*Rsense*1.414</f>
        <v>-0.052656405163853025</v>
      </c>
      <c r="Z39" s="22">
        <f aca="true" t="shared" si="35" ref="Z39:Z70">MIN(6,MAX(0.5,Beta*G*($Y39-Voff_trim)/(MAX(0,MIN(4.5,W39)-Alpha1_A)+MAX(0,MIN(4.5,W39)-Alpha1_B)-Alpha1_C)+Alpha2))</f>
        <v>3.6974456209873408</v>
      </c>
    </row>
    <row r="40" spans="1:26" ht="18.75">
      <c r="A40" s="6" t="s">
        <v>423</v>
      </c>
      <c r="B40" s="6">
        <v>1.007</v>
      </c>
      <c r="D40" s="10"/>
      <c r="E40" s="11"/>
      <c r="G40" s="9">
        <f t="shared" si="19"/>
        <v>213</v>
      </c>
      <c r="H40" s="9">
        <f t="shared" si="20"/>
        <v>0.12906116988959118</v>
      </c>
      <c r="I40" s="9">
        <f t="shared" si="21"/>
        <v>3.5999753145854925</v>
      </c>
      <c r="J40" s="9">
        <f t="shared" si="22"/>
        <v>2.096513380865263</v>
      </c>
      <c r="K40" s="9">
        <f t="shared" si="23"/>
        <v>2.092444934441122</v>
      </c>
      <c r="L40" s="9">
        <f t="shared" si="24"/>
        <v>0.00045657096939147324</v>
      </c>
      <c r="M40" s="9">
        <f t="shared" si="25"/>
        <v>0.5213675213675214</v>
      </c>
      <c r="N40" s="9">
        <f t="shared" si="15"/>
        <v>2.1337377723016853</v>
      </c>
      <c r="O40" s="9">
        <f t="shared" si="26"/>
        <v>0.07325223505585884</v>
      </c>
      <c r="P40" s="9">
        <f t="shared" si="27"/>
        <v>1.1265449310968552</v>
      </c>
      <c r="Q40" s="9">
        <f t="shared" si="28"/>
        <v>0.9882827808828872</v>
      </c>
      <c r="R40" s="9">
        <f t="shared" si="29"/>
        <v>0.06779950800763512</v>
      </c>
      <c r="S40" s="9">
        <f t="shared" si="30"/>
        <v>0.7603833865814694</v>
      </c>
      <c r="T40" s="9">
        <f t="shared" si="16"/>
        <v>2.09835837997206</v>
      </c>
      <c r="U40" s="9">
        <f t="shared" si="31"/>
        <v>1.305560122150801</v>
      </c>
      <c r="V40" s="9">
        <f t="shared" si="32"/>
        <v>3.343461545850683</v>
      </c>
      <c r="W40" s="9">
        <f t="shared" si="17"/>
        <v>2.09835837997206</v>
      </c>
      <c r="X40" s="20">
        <f t="shared" si="33"/>
        <v>2.470966147763776</v>
      </c>
      <c r="Y40" s="23">
        <f t="shared" si="34"/>
        <v>-0.05240919199406969</v>
      </c>
      <c r="Z40" s="24">
        <f t="shared" si="35"/>
        <v>3.695426952979623</v>
      </c>
    </row>
    <row r="41" spans="1:26" ht="18.75">
      <c r="A41" s="6" t="s">
        <v>424</v>
      </c>
      <c r="B41" s="6">
        <v>2.056</v>
      </c>
      <c r="D41" s="6" t="s">
        <v>423</v>
      </c>
      <c r="E41" s="6">
        <v>1.007</v>
      </c>
      <c r="G41" s="8">
        <f t="shared" si="19"/>
        <v>214</v>
      </c>
      <c r="H41" s="8">
        <f t="shared" si="20"/>
        <v>0.12785780890734696</v>
      </c>
      <c r="I41" s="8">
        <f t="shared" si="21"/>
        <v>3.585489448629485</v>
      </c>
      <c r="J41" s="8">
        <f t="shared" si="22"/>
        <v>2.076984399243072</v>
      </c>
      <c r="K41" s="8">
        <f t="shared" si="23"/>
        <v>2.0729163338527803</v>
      </c>
      <c r="L41" s="8">
        <f t="shared" si="24"/>
        <v>0.00045657096939147324</v>
      </c>
      <c r="M41" s="8">
        <f t="shared" si="25"/>
        <v>0.5213675213675214</v>
      </c>
      <c r="N41" s="8">
        <f t="shared" si="15"/>
        <v>2.128713130413128</v>
      </c>
      <c r="O41" s="8">
        <f t="shared" si="26"/>
        <v>0.07325223505585884</v>
      </c>
      <c r="P41" s="8">
        <f t="shared" si="27"/>
        <v>1.1059756020513445</v>
      </c>
      <c r="Q41" s="8">
        <f t="shared" si="28"/>
        <v>0.9785496764363019</v>
      </c>
      <c r="R41" s="8">
        <f t="shared" si="29"/>
        <v>0.06779950800763512</v>
      </c>
      <c r="S41" s="8">
        <f t="shared" si="30"/>
        <v>0.7603833865814694</v>
      </c>
      <c r="T41" s="8">
        <f t="shared" si="16"/>
        <v>2.0945799868463713</v>
      </c>
      <c r="U41" s="8">
        <f t="shared" si="31"/>
        <v>1.3017958225145823</v>
      </c>
      <c r="V41" s="8">
        <f t="shared" si="32"/>
        <v>3.343461545850683</v>
      </c>
      <c r="W41" s="8">
        <f t="shared" si="17"/>
        <v>2.0945799868463713</v>
      </c>
      <c r="X41" s="20">
        <f t="shared" si="33"/>
        <v>2.4594195769798333</v>
      </c>
      <c r="Y41" s="20">
        <f t="shared" si="34"/>
        <v>-0.05216428922774226</v>
      </c>
      <c r="Z41" s="22">
        <f t="shared" si="35"/>
        <v>3.6934262891319025</v>
      </c>
    </row>
    <row r="42" spans="1:26" ht="16.5">
      <c r="A42" s="6" t="s">
        <v>425</v>
      </c>
      <c r="B42" s="6">
        <f>(a_4*(fsw*kHz)*b_4/ftyp)</f>
        <v>3.343461545850683</v>
      </c>
      <c r="D42" s="6" t="s">
        <v>424</v>
      </c>
      <c r="E42" s="6">
        <v>2.056</v>
      </c>
      <c r="G42" s="9">
        <f t="shared" si="19"/>
        <v>215</v>
      </c>
      <c r="H42" s="9">
        <f t="shared" si="20"/>
        <v>0.12667119992906137</v>
      </c>
      <c r="I42" s="9">
        <f t="shared" si="21"/>
        <v>3.571138334914929</v>
      </c>
      <c r="J42" s="9">
        <f t="shared" si="22"/>
        <v>2.0577272808292357</v>
      </c>
      <c r="K42" s="9">
        <f t="shared" si="23"/>
        <v>2.053659591168418</v>
      </c>
      <c r="L42" s="9">
        <f t="shared" si="24"/>
        <v>0.00045657096939147324</v>
      </c>
      <c r="M42" s="9">
        <f t="shared" si="25"/>
        <v>0.5213675213675214</v>
      </c>
      <c r="N42" s="9">
        <f t="shared" si="15"/>
        <v>2.1237274764891425</v>
      </c>
      <c r="O42" s="9">
        <f t="shared" si="26"/>
        <v>0.07325223505585884</v>
      </c>
      <c r="P42" s="9">
        <f t="shared" si="27"/>
        <v>1.0858781475559593</v>
      </c>
      <c r="Q42" s="9">
        <f t="shared" si="28"/>
        <v>0.9689520666639039</v>
      </c>
      <c r="R42" s="9">
        <f t="shared" si="29"/>
        <v>0.06779950800763512</v>
      </c>
      <c r="S42" s="9">
        <f t="shared" si="30"/>
        <v>0.7603833865814694</v>
      </c>
      <c r="T42" s="9">
        <f t="shared" si="16"/>
        <v>2.090832279578616</v>
      </c>
      <c r="U42" s="9">
        <f t="shared" si="31"/>
        <v>1.2980665396191657</v>
      </c>
      <c r="V42" s="9">
        <f t="shared" si="32"/>
        <v>3.343461545850683</v>
      </c>
      <c r="W42" s="9">
        <f t="shared" si="17"/>
        <v>2.090832279578616</v>
      </c>
      <c r="X42" s="20">
        <f t="shared" si="33"/>
        <v>2.447980416156671</v>
      </c>
      <c r="Y42" s="23">
        <f t="shared" si="34"/>
        <v>-0.051921664626682996</v>
      </c>
      <c r="Z42" s="24">
        <f t="shared" si="35"/>
        <v>3.6914434108585237</v>
      </c>
    </row>
    <row r="43" spans="1:26" ht="14.25">
      <c r="A43" s="10"/>
      <c r="B43" s="11"/>
      <c r="D43" s="6" t="s">
        <v>425</v>
      </c>
      <c r="E43" s="6">
        <f>(a_4*(fsw*kHz)*b_4/ftyp)</f>
        <v>3.343461545850683</v>
      </c>
      <c r="G43" s="8">
        <f t="shared" si="19"/>
        <v>216</v>
      </c>
      <c r="H43" s="8">
        <f t="shared" si="20"/>
        <v>0.12550103345166455</v>
      </c>
      <c r="I43" s="8">
        <f t="shared" si="21"/>
        <v>3.5569201018829157</v>
      </c>
      <c r="J43" s="8">
        <f t="shared" si="22"/>
        <v>2.038737002791993</v>
      </c>
      <c r="K43" s="8">
        <f t="shared" si="23"/>
        <v>2.034669683654273</v>
      </c>
      <c r="L43" s="8">
        <f t="shared" si="24"/>
        <v>0.00045657096939147324</v>
      </c>
      <c r="M43" s="8">
        <f t="shared" si="25"/>
        <v>0.5213675213675214</v>
      </c>
      <c r="N43" s="8">
        <f t="shared" si="15"/>
        <v>2.1187803288133287</v>
      </c>
      <c r="O43" s="8">
        <f t="shared" si="26"/>
        <v>0.07325223505585884</v>
      </c>
      <c r="P43" s="8">
        <f t="shared" si="27"/>
        <v>1.0662395944503549</v>
      </c>
      <c r="Q43" s="8">
        <f t="shared" si="28"/>
        <v>0.9594874482223491</v>
      </c>
      <c r="R43" s="8">
        <f t="shared" si="29"/>
        <v>0.06779950800763512</v>
      </c>
      <c r="S43" s="8">
        <f t="shared" si="30"/>
        <v>0.7603833865814694</v>
      </c>
      <c r="T43" s="8">
        <f t="shared" si="16"/>
        <v>2.087114877474321</v>
      </c>
      <c r="U43" s="8">
        <f t="shared" si="31"/>
        <v>1.2943717871209288</v>
      </c>
      <c r="V43" s="8">
        <f t="shared" si="32"/>
        <v>3.343461545850683</v>
      </c>
      <c r="W43" s="8">
        <f t="shared" si="17"/>
        <v>2.087114877474321</v>
      </c>
      <c r="X43" s="20">
        <f t="shared" si="33"/>
        <v>2.436647173489279</v>
      </c>
      <c r="Y43" s="20">
        <f t="shared" si="34"/>
        <v>-0.051681286549707606</v>
      </c>
      <c r="Z43" s="22">
        <f t="shared" si="35"/>
        <v>3.689478102980246</v>
      </c>
    </row>
    <row r="44" spans="1:26" ht="14.25">
      <c r="A44" s="6" t="s">
        <v>426</v>
      </c>
      <c r="B44" s="6">
        <f>IF(B12&gt;=0.5,IF(B12&lt;1,B12,IF(B22&gt;=1,IF(B22&lt;2,B22,IF(B33&gt;=2,IF(B33&lt;4.5,B33,IF(B38&gt;=4.5,IF(B38&lt;4.6,B38,B42))))))))</f>
        <v>2.0380546238946535</v>
      </c>
      <c r="C44" s="13"/>
      <c r="D44" s="10"/>
      <c r="E44" s="11"/>
      <c r="G44" s="9">
        <f t="shared" si="19"/>
        <v>217</v>
      </c>
      <c r="H44" s="9">
        <f t="shared" si="20"/>
        <v>0.12434700708702376</v>
      </c>
      <c r="I44" s="9">
        <f t="shared" si="21"/>
        <v>3.5428329124733167</v>
      </c>
      <c r="J44" s="9">
        <f t="shared" si="22"/>
        <v>2.0200086577657452</v>
      </c>
      <c r="K44" s="9">
        <f t="shared" si="23"/>
        <v>2.0159417040404954</v>
      </c>
      <c r="L44" s="9">
        <f t="shared" si="24"/>
        <v>0.00045657096939147324</v>
      </c>
      <c r="M44" s="9">
        <f t="shared" si="25"/>
        <v>0.5213675213675214</v>
      </c>
      <c r="N44" s="9">
        <f t="shared" si="15"/>
        <v>2.113871213815233</v>
      </c>
      <c r="O44" s="9">
        <f t="shared" si="26"/>
        <v>0.07325223505585884</v>
      </c>
      <c r="P44" s="9">
        <f t="shared" si="27"/>
        <v>1.0470473843729728</v>
      </c>
      <c r="Q44" s="9">
        <f t="shared" si="28"/>
        <v>0.9501533753158019</v>
      </c>
      <c r="R44" s="9">
        <f t="shared" si="29"/>
        <v>0.06779950800763512</v>
      </c>
      <c r="S44" s="9">
        <f t="shared" si="30"/>
        <v>0.7603833865814694</v>
      </c>
      <c r="T44" s="9">
        <f t="shared" si="16"/>
        <v>2.083427406282309</v>
      </c>
      <c r="U44" s="9">
        <f t="shared" si="31"/>
        <v>1.2907110876411088</v>
      </c>
      <c r="V44" s="9">
        <f t="shared" si="32"/>
        <v>3.343461545850683</v>
      </c>
      <c r="W44" s="9">
        <f t="shared" si="17"/>
        <v>2.083427406282309</v>
      </c>
      <c r="X44" s="20">
        <f t="shared" si="33"/>
        <v>2.425418384671356</v>
      </c>
      <c r="Y44" s="23">
        <f t="shared" si="34"/>
        <v>-0.051443123938879454</v>
      </c>
      <c r="Z44" s="24">
        <f t="shared" si="35"/>
        <v>3.687530153655087</v>
      </c>
    </row>
    <row r="45" spans="1:26" ht="14.25">
      <c r="A45" s="14" t="s">
        <v>488</v>
      </c>
      <c r="B45" s="15">
        <f>MIN(6,MAX(0.5,Beta*G*((Pin_max*Rsense*-1.414/B5)-Voff_trim)/(MAX(0,MIN(4.5,B44)-Alpha1_A)+MAX(0,MIN(4.5,B44)-Alpha1_B)-Alpha1_C)+Alpha2))</f>
        <v>3.6636957287788303</v>
      </c>
      <c r="D45" s="6" t="s">
        <v>426</v>
      </c>
      <c r="E45" s="6">
        <f>IF(E13&gt;=0.5,IF(E13&lt;1,E13,IF(E23&gt;=1,IF(E23&lt;2,E23,IF(E34&gt;=2,IF(E34&lt;4.5,E34,IF(E39&gt;=4.5,IF(E39&lt;4.6,E39,E43))))))))</f>
        <v>1.7374486390723467</v>
      </c>
      <c r="G45" s="8">
        <f t="shared" si="19"/>
        <v>218</v>
      </c>
      <c r="H45" s="8">
        <f t="shared" si="20"/>
        <v>0.12320882536656978</v>
      </c>
      <c r="I45" s="8">
        <f t="shared" si="21"/>
        <v>3.528874963333531</v>
      </c>
      <c r="J45" s="8">
        <f t="shared" si="22"/>
        <v>2.0015374506803982</v>
      </c>
      <c r="K45" s="8">
        <f t="shared" si="23"/>
        <v>1.9974708573505484</v>
      </c>
      <c r="L45" s="8">
        <f t="shared" si="24"/>
        <v>0.00045657096939147324</v>
      </c>
      <c r="M45" s="8">
        <f t="shared" si="25"/>
        <v>0.5213675213675214</v>
      </c>
      <c r="N45" s="8">
        <f t="shared" si="15"/>
        <v>2.1089996658958348</v>
      </c>
      <c r="O45" s="8">
        <f t="shared" si="26"/>
        <v>0.07325223505585884</v>
      </c>
      <c r="P45" s="8">
        <f t="shared" si="27"/>
        <v>1.0282893586620667</v>
      </c>
      <c r="Q45" s="8">
        <f t="shared" si="28"/>
        <v>0.9409474581157007</v>
      </c>
      <c r="R45" s="8">
        <f t="shared" si="29"/>
        <v>0.06779950800763512</v>
      </c>
      <c r="S45" s="8">
        <f t="shared" si="30"/>
        <v>0.7603833865814694</v>
      </c>
      <c r="T45" s="8">
        <f t="shared" si="16"/>
        <v>2.079769498056582</v>
      </c>
      <c r="U45" s="8">
        <f t="shared" si="31"/>
        <v>1.2870839725601861</v>
      </c>
      <c r="V45" s="8">
        <f t="shared" si="32"/>
        <v>3.343461545850683</v>
      </c>
      <c r="W45" s="8">
        <f t="shared" si="17"/>
        <v>2.079769498056582</v>
      </c>
      <c r="X45" s="20">
        <f t="shared" si="33"/>
        <v>2.4142926122646067</v>
      </c>
      <c r="Y45" s="20">
        <f t="shared" si="34"/>
        <v>-0.0512071463061323</v>
      </c>
      <c r="Z45" s="22">
        <f t="shared" si="35"/>
        <v>3.685599354310872</v>
      </c>
    </row>
    <row r="46" spans="7:26" ht="12.75">
      <c r="G46" s="9">
        <f t="shared" si="19"/>
        <v>219</v>
      </c>
      <c r="H46" s="9">
        <f t="shared" si="20"/>
        <v>0.12208619955215408</v>
      </c>
      <c r="I46" s="9">
        <f t="shared" si="21"/>
        <v>3.5150444840489032</v>
      </c>
      <c r="J46" s="9">
        <f t="shared" si="22"/>
        <v>1.9833186956918198</v>
      </c>
      <c r="K46" s="9">
        <f t="shared" si="23"/>
        <v>1.9792524578317279</v>
      </c>
      <c r="L46" s="9">
        <f t="shared" si="24"/>
        <v>0.00045657096939147324</v>
      </c>
      <c r="M46" s="9">
        <f t="shared" si="25"/>
        <v>0.5213675213675214</v>
      </c>
      <c r="N46" s="9">
        <f t="shared" si="15"/>
        <v>2.1041652272575506</v>
      </c>
      <c r="O46" s="9">
        <f t="shared" si="26"/>
        <v>0.07325223505585884</v>
      </c>
      <c r="P46" s="9">
        <f t="shared" si="27"/>
        <v>1.0099537438724808</v>
      </c>
      <c r="Q46" s="9">
        <f t="shared" si="28"/>
        <v>0.9318673612309212</v>
      </c>
      <c r="R46" s="9">
        <f t="shared" si="29"/>
        <v>0.06779950800763512</v>
      </c>
      <c r="S46" s="9">
        <f t="shared" si="30"/>
        <v>0.7603833865814694</v>
      </c>
      <c r="T46" s="9">
        <f t="shared" si="16"/>
        <v>2.0761407910217766</v>
      </c>
      <c r="U46" s="9">
        <f t="shared" si="31"/>
        <v>1.2834899818179024</v>
      </c>
      <c r="V46" s="9">
        <f t="shared" si="32"/>
        <v>3.343461545850683</v>
      </c>
      <c r="W46" s="9">
        <f t="shared" si="17"/>
        <v>2.0761407910217766</v>
      </c>
      <c r="X46" s="20">
        <f t="shared" si="33"/>
        <v>2.4032684450853163</v>
      </c>
      <c r="Y46" s="23">
        <f t="shared" si="34"/>
        <v>-0.050973323720259554</v>
      </c>
      <c r="Z46" s="24">
        <f t="shared" si="35"/>
        <v>3.6836854995794526</v>
      </c>
    </row>
    <row r="47" spans="7:26" ht="12.75">
      <c r="G47" s="8">
        <f t="shared" si="19"/>
        <v>220</v>
      </c>
      <c r="H47" s="8">
        <f t="shared" si="20"/>
        <v>0.12097884745291036</v>
      </c>
      <c r="I47" s="8">
        <f t="shared" si="21"/>
        <v>3.5013397363941356</v>
      </c>
      <c r="J47" s="8">
        <f t="shared" si="22"/>
        <v>1.9653478132097444</v>
      </c>
      <c r="K47" s="8">
        <f t="shared" si="23"/>
        <v>1.9612819259831202</v>
      </c>
      <c r="L47" s="8">
        <f t="shared" si="24"/>
        <v>0.00045657096939147324</v>
      </c>
      <c r="M47" s="8">
        <f t="shared" si="25"/>
        <v>0.5213675213675214</v>
      </c>
      <c r="N47" s="8">
        <f t="shared" si="15"/>
        <v>2.099367447738625</v>
      </c>
      <c r="O47" s="8">
        <f t="shared" si="26"/>
        <v>0.07325223505585884</v>
      </c>
      <c r="P47" s="8">
        <f t="shared" si="27"/>
        <v>0.9920291378804023</v>
      </c>
      <c r="Q47" s="8">
        <f t="shared" si="28"/>
        <v>0.9229108022265033</v>
      </c>
      <c r="R47" s="8">
        <f t="shared" si="29"/>
        <v>0.06779950800763512</v>
      </c>
      <c r="S47" s="8">
        <f t="shared" si="30"/>
        <v>0.7603833865814694</v>
      </c>
      <c r="T47" s="8">
        <f t="shared" si="16"/>
        <v>2.0725409294420944</v>
      </c>
      <c r="U47" s="8">
        <f t="shared" si="31"/>
        <v>1.27992866371873</v>
      </c>
      <c r="V47" s="8">
        <f t="shared" si="32"/>
        <v>3.343461545850683</v>
      </c>
      <c r="W47" s="8">
        <f t="shared" si="17"/>
        <v>2.0725409294420944</v>
      </c>
      <c r="X47" s="20">
        <f t="shared" si="33"/>
        <v>2.392344497607656</v>
      </c>
      <c r="Y47" s="20">
        <f t="shared" si="34"/>
        <v>-0.05074162679425838</v>
      </c>
      <c r="Z47" s="22">
        <f t="shared" si="35"/>
        <v>3.6817883872325314</v>
      </c>
    </row>
    <row r="48" spans="7:26" ht="12.75">
      <c r="G48" s="9">
        <f t="shared" si="19"/>
        <v>221</v>
      </c>
      <c r="H48" s="9">
        <f t="shared" si="20"/>
        <v>0.11988649324790364</v>
      </c>
      <c r="I48" s="9">
        <f t="shared" si="21"/>
        <v>3.487759013605021</v>
      </c>
      <c r="J48" s="9">
        <f t="shared" si="22"/>
        <v>1.9476203270195942</v>
      </c>
      <c r="K48" s="9">
        <f t="shared" si="23"/>
        <v>1.9435547856774844</v>
      </c>
      <c r="L48" s="9">
        <f t="shared" si="24"/>
        <v>0.00045657096939147324</v>
      </c>
      <c r="M48" s="9">
        <f t="shared" si="25"/>
        <v>0.5213675213675214</v>
      </c>
      <c r="N48" s="9">
        <f t="shared" si="15"/>
        <v>2.094605884651768</v>
      </c>
      <c r="O48" s="9">
        <f t="shared" si="26"/>
        <v>0.07325223505585884</v>
      </c>
      <c r="P48" s="9">
        <f t="shared" si="27"/>
        <v>0.9745044965496736</v>
      </c>
      <c r="Q48" s="9">
        <f t="shared" si="28"/>
        <v>0.9140755501891896</v>
      </c>
      <c r="R48" s="9">
        <f t="shared" si="29"/>
        <v>0.06779950800763512</v>
      </c>
      <c r="S48" s="9">
        <f t="shared" si="30"/>
        <v>0.7603833865814694</v>
      </c>
      <c r="T48" s="9">
        <f t="shared" si="16"/>
        <v>2.0689695634935936</v>
      </c>
      <c r="U48" s="9">
        <f t="shared" si="31"/>
        <v>1.276399574742627</v>
      </c>
      <c r="V48" s="9">
        <f t="shared" si="32"/>
        <v>3.343461545850683</v>
      </c>
      <c r="W48" s="9">
        <f t="shared" si="17"/>
        <v>2.0689695634935936</v>
      </c>
      <c r="X48" s="20">
        <f t="shared" si="33"/>
        <v>2.381519409383187</v>
      </c>
      <c r="Y48" s="23">
        <f t="shared" si="34"/>
        <v>-0.050512026673017386</v>
      </c>
      <c r="Z48" s="24">
        <f t="shared" si="35"/>
        <v>3.6799078181190663</v>
      </c>
    </row>
    <row r="49" spans="7:26" ht="12.75">
      <c r="G49" s="8">
        <f t="shared" si="19"/>
        <v>222</v>
      </c>
      <c r="H49" s="8">
        <f t="shared" si="20"/>
        <v>0.11880886731435886</v>
      </c>
      <c r="I49" s="8">
        <f t="shared" si="21"/>
        <v>3.4743006396698632</v>
      </c>
      <c r="J49" s="8">
        <f t="shared" si="22"/>
        <v>1.9301318614948564</v>
      </c>
      <c r="K49" s="8">
        <f t="shared" si="23"/>
        <v>1.9260666613736808</v>
      </c>
      <c r="L49" s="8">
        <f t="shared" si="24"/>
        <v>0.00045657096939147324</v>
      </c>
      <c r="M49" s="8">
        <f t="shared" si="25"/>
        <v>0.5213675213675214</v>
      </c>
      <c r="N49" s="8">
        <f t="shared" si="15"/>
        <v>2.0898801026269127</v>
      </c>
      <c r="O49" s="8">
        <f t="shared" si="26"/>
        <v>0.07325223505585884</v>
      </c>
      <c r="P49" s="8">
        <f t="shared" si="27"/>
        <v>0.9573691209345647</v>
      </c>
      <c r="Q49" s="8">
        <f t="shared" si="28"/>
        <v>0.9053594243380926</v>
      </c>
      <c r="R49" s="8">
        <f t="shared" si="29"/>
        <v>0.06779950800763512</v>
      </c>
      <c r="S49" s="8">
        <f t="shared" si="30"/>
        <v>0.7603833865814694</v>
      </c>
      <c r="T49" s="8">
        <f t="shared" si="16"/>
        <v>2.065426349139745</v>
      </c>
      <c r="U49" s="8">
        <f t="shared" si="31"/>
        <v>1.2729022793609035</v>
      </c>
      <c r="V49" s="8">
        <f t="shared" si="32"/>
        <v>3.343461545850683</v>
      </c>
      <c r="W49" s="8">
        <f t="shared" si="17"/>
        <v>2.065426349139745</v>
      </c>
      <c r="X49" s="20">
        <f t="shared" si="33"/>
        <v>2.3707918444760554</v>
      </c>
      <c r="Y49" s="20">
        <f t="shared" si="34"/>
        <v>-0.050284495021337125</v>
      </c>
      <c r="Z49" s="22">
        <f t="shared" si="35"/>
        <v>3.6780435961041884</v>
      </c>
    </row>
    <row r="50" spans="7:26" ht="12.75">
      <c r="G50" s="9">
        <f t="shared" si="19"/>
        <v>223</v>
      </c>
      <c r="H50" s="9">
        <f t="shared" si="20"/>
        <v>0.11774570606126933</v>
      </c>
      <c r="I50" s="9">
        <f t="shared" si="21"/>
        <v>3.4609629686399543</v>
      </c>
      <c r="J50" s="9">
        <f t="shared" si="22"/>
        <v>1.9128781388967624</v>
      </c>
      <c r="K50" s="9">
        <f t="shared" si="23"/>
        <v>1.9088132754164053</v>
      </c>
      <c r="L50" s="9">
        <f t="shared" si="24"/>
        <v>0.00045657096939147324</v>
      </c>
      <c r="M50" s="9">
        <f t="shared" si="25"/>
        <v>0.5213675213675214</v>
      </c>
      <c r="N50" s="9">
        <f t="shared" si="15"/>
        <v>2.0851896734579785</v>
      </c>
      <c r="O50" s="9">
        <f t="shared" si="26"/>
        <v>0.07325223505585884</v>
      </c>
      <c r="P50" s="9">
        <f t="shared" si="27"/>
        <v>0.94061264499511</v>
      </c>
      <c r="Q50" s="9">
        <f t="shared" si="28"/>
        <v>0.8967602926788754</v>
      </c>
      <c r="R50" s="9">
        <f t="shared" si="29"/>
        <v>0.06779950800763512</v>
      </c>
      <c r="S50" s="9">
        <f t="shared" si="30"/>
        <v>0.7603833865814694</v>
      </c>
      <c r="T50" s="9">
        <f t="shared" si="16"/>
        <v>2.0619109480101545</v>
      </c>
      <c r="U50" s="9">
        <f t="shared" si="31"/>
        <v>1.2694363498570431</v>
      </c>
      <c r="V50" s="9">
        <f t="shared" si="32"/>
        <v>3.343461545850683</v>
      </c>
      <c r="W50" s="9">
        <f t="shared" si="17"/>
        <v>2.0619109480101545</v>
      </c>
      <c r="X50" s="20">
        <f t="shared" si="33"/>
        <v>2.3601604909133824</v>
      </c>
      <c r="Y50" s="23">
        <f t="shared" si="34"/>
        <v>-0.05005900401227283</v>
      </c>
      <c r="Z50" s="24">
        <f t="shared" si="35"/>
        <v>3.6761955280096017</v>
      </c>
    </row>
    <row r="51" spans="7:26" ht="12.75">
      <c r="G51" s="8">
        <f t="shared" si="19"/>
        <v>224</v>
      </c>
      <c r="H51" s="8">
        <f t="shared" si="20"/>
        <v>0.1166967517681932</v>
      </c>
      <c r="I51" s="8">
        <f t="shared" si="21"/>
        <v>3.447744383958526</v>
      </c>
      <c r="J51" s="8">
        <f t="shared" si="22"/>
        <v>1.8958549767581672</v>
      </c>
      <c r="K51" s="8">
        <f t="shared" si="23"/>
        <v>1.8917904454201178</v>
      </c>
      <c r="L51" s="8">
        <f t="shared" si="24"/>
        <v>0.00045657096939147324</v>
      </c>
      <c r="M51" s="8">
        <f t="shared" si="25"/>
        <v>0.5213675213675214</v>
      </c>
      <c r="N51" s="8">
        <f t="shared" si="15"/>
        <v>2.0805341759535034</v>
      </c>
      <c r="O51" s="8">
        <f t="shared" si="26"/>
        <v>0.07325223505585884</v>
      </c>
      <c r="P51" s="8">
        <f t="shared" si="27"/>
        <v>0.9242250238023116</v>
      </c>
      <c r="Q51" s="8">
        <f t="shared" si="28"/>
        <v>0.888276070699895</v>
      </c>
      <c r="R51" s="8">
        <f t="shared" si="29"/>
        <v>0.06779950800763512</v>
      </c>
      <c r="S51" s="8">
        <f t="shared" si="30"/>
        <v>0.7603833865814694</v>
      </c>
      <c r="T51" s="8">
        <f t="shared" si="16"/>
        <v>2.058423027282357</v>
      </c>
      <c r="U51" s="8">
        <f t="shared" si="31"/>
        <v>1.2660013661523242</v>
      </c>
      <c r="V51" s="8">
        <f t="shared" si="32"/>
        <v>3.343461545850683</v>
      </c>
      <c r="W51" s="8">
        <f t="shared" si="17"/>
        <v>2.058423027282357</v>
      </c>
      <c r="X51" s="20">
        <f t="shared" si="33"/>
        <v>2.349624060150376</v>
      </c>
      <c r="Y51" s="20">
        <f t="shared" si="34"/>
        <v>-0.049835526315789476</v>
      </c>
      <c r="Z51" s="22">
        <f t="shared" si="35"/>
        <v>3.6743634235554135</v>
      </c>
    </row>
    <row r="52" spans="7:26" ht="12.75">
      <c r="G52" s="9">
        <f t="shared" si="19"/>
        <v>225</v>
      </c>
      <c r="H52" s="9">
        <f t="shared" si="20"/>
        <v>0.11566175242905405</v>
      </c>
      <c r="I52" s="9">
        <f t="shared" si="21"/>
        <v>3.434643297807598</v>
      </c>
      <c r="J52" s="9">
        <f t="shared" si="22"/>
        <v>1.879058285348634</v>
      </c>
      <c r="K52" s="9">
        <f t="shared" si="23"/>
        <v>1.8749940817341764</v>
      </c>
      <c r="L52" s="9">
        <f t="shared" si="24"/>
        <v>0.00045657096939147324</v>
      </c>
      <c r="M52" s="9">
        <f t="shared" si="25"/>
        <v>0.5213675213675214</v>
      </c>
      <c r="N52" s="9">
        <f t="shared" si="15"/>
        <v>2.0759131957910513</v>
      </c>
      <c r="O52" s="9">
        <f t="shared" si="26"/>
        <v>0.07325223505585884</v>
      </c>
      <c r="P52" s="9">
        <f t="shared" si="27"/>
        <v>0.9081965222115806</v>
      </c>
      <c r="Q52" s="9">
        <f t="shared" si="28"/>
        <v>0.8799047201088187</v>
      </c>
      <c r="R52" s="9">
        <f t="shared" si="29"/>
        <v>0.06779950800763512</v>
      </c>
      <c r="S52" s="9">
        <f t="shared" si="30"/>
        <v>0.7603833865814694</v>
      </c>
      <c r="T52" s="9">
        <f t="shared" si="16"/>
        <v>2.05496225956659</v>
      </c>
      <c r="U52" s="9">
        <f t="shared" si="31"/>
        <v>1.2625969156360917</v>
      </c>
      <c r="V52" s="9">
        <f t="shared" si="32"/>
        <v>3.343461545850683</v>
      </c>
      <c r="W52" s="9">
        <f t="shared" si="17"/>
        <v>2.05496225956659</v>
      </c>
      <c r="X52" s="20">
        <f t="shared" si="33"/>
        <v>2.339181286549708</v>
      </c>
      <c r="Y52" s="23">
        <f t="shared" si="34"/>
        <v>-0.049614035087719305</v>
      </c>
      <c r="Z52" s="24">
        <f t="shared" si="35"/>
        <v>3.672547095303376</v>
      </c>
    </row>
    <row r="53" spans="7:26" ht="12.75">
      <c r="G53" s="8">
        <f t="shared" si="19"/>
        <v>226</v>
      </c>
      <c r="H53" s="8">
        <f t="shared" si="20"/>
        <v>0.1146404616007687</v>
      </c>
      <c r="I53" s="8">
        <f t="shared" si="21"/>
        <v>3.421658150472167</v>
      </c>
      <c r="J53" s="8">
        <f t="shared" si="22"/>
        <v>1.8624840652178623</v>
      </c>
      <c r="K53" s="8">
        <f t="shared" si="23"/>
        <v>1.8584201849863151</v>
      </c>
      <c r="L53" s="8">
        <f t="shared" si="24"/>
        <v>0.00045657096939147324</v>
      </c>
      <c r="M53" s="8">
        <f t="shared" si="25"/>
        <v>0.5213675213675214</v>
      </c>
      <c r="N53" s="8">
        <f t="shared" si="15"/>
        <v>2.0713263253752663</v>
      </c>
      <c r="O53" s="8">
        <f t="shared" si="26"/>
        <v>0.07325223505585884</v>
      </c>
      <c r="P53" s="8">
        <f t="shared" si="27"/>
        <v>0.8925177039838564</v>
      </c>
      <c r="Q53" s="8">
        <f t="shared" si="28"/>
        <v>0.8716442476082873</v>
      </c>
      <c r="R53" s="8">
        <f t="shared" si="29"/>
        <v>0.06779950800763512</v>
      </c>
      <c r="S53" s="8">
        <f t="shared" si="30"/>
        <v>0.7603833865814694</v>
      </c>
      <c r="T53" s="8">
        <f t="shared" si="16"/>
        <v>2.051528322793462</v>
      </c>
      <c r="U53" s="8">
        <f t="shared" si="31"/>
        <v>1.2592225930005336</v>
      </c>
      <c r="V53" s="8">
        <f t="shared" si="32"/>
        <v>3.343461545850683</v>
      </c>
      <c r="W53" s="8">
        <f t="shared" si="17"/>
        <v>2.051528322793462</v>
      </c>
      <c r="X53" s="20">
        <f t="shared" si="33"/>
        <v>2.3288309268747094</v>
      </c>
      <c r="Y53" s="20">
        <f t="shared" si="34"/>
        <v>-0.04939450395901258</v>
      </c>
      <c r="Z53" s="22">
        <f t="shared" si="35"/>
        <v>3.670746358601461</v>
      </c>
    </row>
    <row r="54" spans="7:26" ht="12.75">
      <c r="G54" s="9">
        <f t="shared" si="19"/>
        <v>227</v>
      </c>
      <c r="H54" s="9">
        <f t="shared" si="20"/>
        <v>0.11363263825653248</v>
      </c>
      <c r="I54" s="9">
        <f t="shared" si="21"/>
        <v>3.4087874097211888</v>
      </c>
      <c r="J54" s="9">
        <f t="shared" si="22"/>
        <v>1.846128404814698</v>
      </c>
      <c r="K54" s="9">
        <f t="shared" si="23"/>
        <v>1.8420648437016989</v>
      </c>
      <c r="L54" s="9">
        <f t="shared" si="24"/>
        <v>0.00045657096939147324</v>
      </c>
      <c r="M54" s="9">
        <f t="shared" si="25"/>
        <v>0.5213675213675214</v>
      </c>
      <c r="N54" s="9">
        <f t="shared" si="15"/>
        <v>2.0667731636994735</v>
      </c>
      <c r="O54" s="9">
        <f t="shared" si="26"/>
        <v>0.07325223505585884</v>
      </c>
      <c r="P54" s="9">
        <f t="shared" si="27"/>
        <v>0.8771794213348202</v>
      </c>
      <c r="Q54" s="9">
        <f t="shared" si="28"/>
        <v>0.8634927037092454</v>
      </c>
      <c r="R54" s="9">
        <f t="shared" si="29"/>
        <v>0.06779950800763512</v>
      </c>
      <c r="S54" s="9">
        <f t="shared" si="30"/>
        <v>0.7603833865814694</v>
      </c>
      <c r="T54" s="9">
        <f t="shared" si="16"/>
        <v>2.0481209001044234</v>
      </c>
      <c r="U54" s="9">
        <f t="shared" si="31"/>
        <v>1.2558780000798264</v>
      </c>
      <c r="V54" s="9">
        <f t="shared" si="32"/>
        <v>3.343461545850683</v>
      </c>
      <c r="W54" s="9">
        <f t="shared" si="17"/>
        <v>2.0481209001044234</v>
      </c>
      <c r="X54" s="20">
        <f t="shared" si="33"/>
        <v>2.318571759795966</v>
      </c>
      <c r="Y54" s="23">
        <f t="shared" si="34"/>
        <v>-0.04917690702527243</v>
      </c>
      <c r="Z54" s="24">
        <f t="shared" si="35"/>
        <v>3.6689610315297805</v>
      </c>
    </row>
    <row r="55" spans="7:26" ht="12.75">
      <c r="G55" s="8">
        <f t="shared" si="19"/>
        <v>228</v>
      </c>
      <c r="H55" s="8">
        <f t="shared" si="20"/>
        <v>0.11263804664359922</v>
      </c>
      <c r="I55" s="8">
        <f t="shared" si="21"/>
        <v>3.3960295702048677</v>
      </c>
      <c r="J55" s="8">
        <f t="shared" si="22"/>
        <v>1.8299874781790881</v>
      </c>
      <c r="K55" s="8">
        <f t="shared" si="23"/>
        <v>1.8259242319949238</v>
      </c>
      <c r="L55" s="8">
        <f t="shared" si="24"/>
        <v>0.00045657096939147324</v>
      </c>
      <c r="M55" s="8">
        <f t="shared" si="25"/>
        <v>0.5213675213675214</v>
      </c>
      <c r="N55" s="8">
        <f t="shared" si="15"/>
        <v>2.0622533162107266</v>
      </c>
      <c r="O55" s="8">
        <f t="shared" si="26"/>
        <v>0.07325223505585884</v>
      </c>
      <c r="P55" s="8">
        <f t="shared" si="27"/>
        <v>0.8621728048935674</v>
      </c>
      <c r="Q55" s="8">
        <f t="shared" si="28"/>
        <v>0.855448181580629</v>
      </c>
      <c r="R55" s="8">
        <f t="shared" si="29"/>
        <v>0.06779950800763512</v>
      </c>
      <c r="S55" s="8">
        <f t="shared" si="30"/>
        <v>0.7603833865814694</v>
      </c>
      <c r="T55" s="8">
        <f t="shared" si="16"/>
        <v>2.04473967974497</v>
      </c>
      <c r="U55" s="8">
        <f t="shared" si="31"/>
        <v>1.2525627456935116</v>
      </c>
      <c r="V55" s="8">
        <f t="shared" si="32"/>
        <v>3.343461545850683</v>
      </c>
      <c r="W55" s="8">
        <f t="shared" si="17"/>
        <v>2.04473967974497</v>
      </c>
      <c r="X55" s="20">
        <f t="shared" si="33"/>
        <v>2.308402585410896</v>
      </c>
      <c r="Y55" s="20">
        <f t="shared" si="34"/>
        <v>-0.048961218836565096</v>
      </c>
      <c r="Z55" s="22">
        <f t="shared" si="35"/>
        <v>3.6671909348477607</v>
      </c>
    </row>
    <row r="56" spans="7:26" ht="12.75">
      <c r="G56" s="9">
        <f t="shared" si="19"/>
        <v>229</v>
      </c>
      <c r="H56" s="9">
        <f t="shared" si="20"/>
        <v>0.11165645614539886</v>
      </c>
      <c r="I56" s="9">
        <f t="shared" si="21"/>
        <v>3.3833831528677276</v>
      </c>
      <c r="J56" s="9">
        <f t="shared" si="22"/>
        <v>1.8140575427044292</v>
      </c>
      <c r="K56" s="9">
        <f t="shared" si="23"/>
        <v>1.809994607332409</v>
      </c>
      <c r="L56" s="9">
        <f t="shared" si="24"/>
        <v>0.00045657096939147324</v>
      </c>
      <c r="M56" s="9">
        <f t="shared" si="25"/>
        <v>0.5213675213675214</v>
      </c>
      <c r="N56" s="9">
        <f t="shared" si="15"/>
        <v>2.0577663946781897</v>
      </c>
      <c r="O56" s="9">
        <f t="shared" si="26"/>
        <v>0.07325223505585884</v>
      </c>
      <c r="P56" s="9">
        <f t="shared" si="27"/>
        <v>0.8474892540529813</v>
      </c>
      <c r="Q56" s="9">
        <f t="shared" si="28"/>
        <v>0.847508815934136</v>
      </c>
      <c r="R56" s="9">
        <f t="shared" si="29"/>
        <v>0.06779950800763512</v>
      </c>
      <c r="S56" s="9">
        <f t="shared" si="30"/>
        <v>0.7603833865814694</v>
      </c>
      <c r="T56" s="9">
        <f t="shared" si="16"/>
        <v>2.0413843549604844</v>
      </c>
      <c r="U56" s="9">
        <f t="shared" si="31"/>
        <v>1.2492764454939764</v>
      </c>
      <c r="V56" s="9">
        <f t="shared" si="32"/>
        <v>3.343461545850683</v>
      </c>
      <c r="W56" s="9">
        <f t="shared" si="17"/>
        <v>2.0413843549604844</v>
      </c>
      <c r="X56" s="20">
        <f t="shared" si="33"/>
        <v>2.298322224775914</v>
      </c>
      <c r="Y56" s="23">
        <f t="shared" si="34"/>
        <v>-0.048747414387497134</v>
      </c>
      <c r="Z56" s="24">
        <f t="shared" si="35"/>
        <v>3.665435891942586</v>
      </c>
    </row>
    <row r="57" spans="7:26" ht="12.75">
      <c r="G57" s="8">
        <f t="shared" si="19"/>
        <v>230</v>
      </c>
      <c r="H57" s="8">
        <f t="shared" si="20"/>
        <v>0.11068764114784238</v>
      </c>
      <c r="I57" s="8">
        <f t="shared" si="21"/>
        <v>3.3708467043769983</v>
      </c>
      <c r="J57" s="8">
        <f t="shared" si="22"/>
        <v>1.7983349369678705</v>
      </c>
      <c r="K57" s="8">
        <f t="shared" si="23"/>
        <v>1.7942723083627425</v>
      </c>
      <c r="L57" s="8">
        <f t="shared" si="24"/>
        <v>0.00045657096939147324</v>
      </c>
      <c r="M57" s="8">
        <f t="shared" si="25"/>
        <v>0.5213675213675214</v>
      </c>
      <c r="N57" s="8">
        <f t="shared" si="15"/>
        <v>2.0533120170647723</v>
      </c>
      <c r="O57" s="8">
        <f t="shared" si="26"/>
        <v>0.07325223505585884</v>
      </c>
      <c r="P57" s="8">
        <f t="shared" si="27"/>
        <v>0.8331204276949008</v>
      </c>
      <c r="Q57" s="8">
        <f t="shared" si="28"/>
        <v>0.8396727819428645</v>
      </c>
      <c r="R57" s="8">
        <f t="shared" si="29"/>
        <v>0.06779950800763512</v>
      </c>
      <c r="S57" s="8">
        <f t="shared" si="30"/>
        <v>0.7603833865814694</v>
      </c>
      <c r="T57" s="8">
        <f t="shared" si="16"/>
        <v>2.0380546238946535</v>
      </c>
      <c r="U57" s="8">
        <f t="shared" si="31"/>
        <v>1.2460187218179155</v>
      </c>
      <c r="V57" s="8">
        <f t="shared" si="32"/>
        <v>3.343461545850683</v>
      </c>
      <c r="W57" s="8">
        <f t="shared" si="17"/>
        <v>2.0380546238946535</v>
      </c>
      <c r="X57" s="20">
        <f t="shared" si="33"/>
        <v>2.288329519450801</v>
      </c>
      <c r="Y57" s="20">
        <f t="shared" si="34"/>
        <v>-0.048535469107551486</v>
      </c>
      <c r="Z57" s="22">
        <f t="shared" si="35"/>
        <v>3.66369572877883</v>
      </c>
    </row>
    <row r="58" spans="7:26" ht="12.75">
      <c r="G58" s="9">
        <f t="shared" si="19"/>
        <v>231</v>
      </c>
      <c r="H58" s="9">
        <f t="shared" si="20"/>
        <v>0.10973138090966926</v>
      </c>
      <c r="I58" s="9">
        <f t="shared" si="21"/>
        <v>3.358418796565843</v>
      </c>
      <c r="J58" s="9">
        <f t="shared" si="22"/>
        <v>1.7828160786262215</v>
      </c>
      <c r="K58" s="9">
        <f t="shared" si="23"/>
        <v>1.77875375281263</v>
      </c>
      <c r="L58" s="9">
        <f t="shared" si="24"/>
        <v>0.00045657096939147324</v>
      </c>
      <c r="M58" s="9">
        <f t="shared" si="25"/>
        <v>0.5213675213675214</v>
      </c>
      <c r="N58" s="9">
        <f t="shared" si="15"/>
        <v>2.048889807401911</v>
      </c>
      <c r="O58" s="9">
        <f t="shared" si="26"/>
        <v>0.07325223505585884</v>
      </c>
      <c r="P58" s="9">
        <f t="shared" si="27"/>
        <v>0.8190582352739747</v>
      </c>
      <c r="Q58" s="9">
        <f t="shared" si="28"/>
        <v>0.8319382941926488</v>
      </c>
      <c r="R58" s="9">
        <f t="shared" si="29"/>
        <v>0.06779950800763512</v>
      </c>
      <c r="S58" s="9">
        <f t="shared" si="30"/>
        <v>0.7603833865814694</v>
      </c>
      <c r="T58" s="9">
        <f t="shared" si="16"/>
        <v>2.0347501894903757</v>
      </c>
      <c r="U58" s="9">
        <f t="shared" si="31"/>
        <v>1.2427892035416477</v>
      </c>
      <c r="V58" s="9">
        <f t="shared" si="32"/>
        <v>3.343461545850683</v>
      </c>
      <c r="W58" s="9">
        <f t="shared" si="17"/>
        <v>2.0347501894903757</v>
      </c>
      <c r="X58" s="20">
        <f t="shared" si="33"/>
        <v>2.2784233310549102</v>
      </c>
      <c r="Y58" s="23">
        <f t="shared" si="34"/>
        <v>-0.04832535885167464</v>
      </c>
      <c r="Z58" s="24">
        <f t="shared" si="35"/>
        <v>3.661970273849288</v>
      </c>
    </row>
    <row r="59" spans="7:26" ht="12.75">
      <c r="G59" s="8">
        <f t="shared" si="19"/>
        <v>232</v>
      </c>
      <c r="H59" s="8">
        <f t="shared" si="20"/>
        <v>0.10878745943669854</v>
      </c>
      <c r="I59" s="8">
        <f t="shared" si="21"/>
        <v>3.34609802589099</v>
      </c>
      <c r="J59" s="8">
        <f t="shared" si="22"/>
        <v>1.767497462375212</v>
      </c>
      <c r="K59" s="8">
        <f t="shared" si="23"/>
        <v>1.7634354354461936</v>
      </c>
      <c r="L59" s="8">
        <f t="shared" si="24"/>
        <v>0.00045657096939147324</v>
      </c>
      <c r="M59" s="8">
        <f t="shared" si="25"/>
        <v>0.5213675213675214</v>
      </c>
      <c r="N59" s="8">
        <f t="shared" si="15"/>
        <v>2.0444993956674122</v>
      </c>
      <c r="O59" s="8">
        <f t="shared" si="26"/>
        <v>0.07325223505585884</v>
      </c>
      <c r="P59" s="8">
        <f t="shared" si="27"/>
        <v>0.8052948282448513</v>
      </c>
      <c r="Q59" s="8">
        <f t="shared" si="28"/>
        <v>0.824303605664968</v>
      </c>
      <c r="R59" s="8">
        <f t="shared" si="29"/>
        <v>0.06779950800763512</v>
      </c>
      <c r="S59" s="8">
        <f t="shared" si="30"/>
        <v>0.7603833865814694</v>
      </c>
      <c r="T59" s="8">
        <f t="shared" si="16"/>
        <v>2.031470759393094</v>
      </c>
      <c r="U59" s="8">
        <f t="shared" si="31"/>
        <v>1.2395875259401752</v>
      </c>
      <c r="V59" s="8">
        <f t="shared" si="32"/>
        <v>3.343461545850683</v>
      </c>
      <c r="W59" s="8">
        <f t="shared" si="17"/>
        <v>2.031470759393094</v>
      </c>
      <c r="X59" s="20">
        <f t="shared" si="33"/>
        <v>2.268602540834846</v>
      </c>
      <c r="Y59" s="20">
        <f t="shared" si="34"/>
        <v>-0.048117059891107074</v>
      </c>
      <c r="Z59" s="22">
        <f t="shared" si="35"/>
        <v>3.660259358126937</v>
      </c>
    </row>
    <row r="60" spans="7:26" ht="12.75">
      <c r="G60" s="9">
        <f t="shared" si="19"/>
        <v>233</v>
      </c>
      <c r="H60" s="9">
        <f t="shared" si="20"/>
        <v>0.10785566535984936</v>
      </c>
      <c r="I60" s="9">
        <f t="shared" si="21"/>
        <v>3.3338830129043333</v>
      </c>
      <c r="J60" s="9">
        <f t="shared" si="22"/>
        <v>1.7523756579699223</v>
      </c>
      <c r="K60" s="9">
        <f t="shared" si="23"/>
        <v>1.7483139260854417</v>
      </c>
      <c r="L60" s="9">
        <f t="shared" si="24"/>
        <v>0.00045657096939147324</v>
      </c>
      <c r="M60" s="9">
        <f t="shared" si="25"/>
        <v>0.5213675213675214</v>
      </c>
      <c r="N60" s="9">
        <f t="shared" si="15"/>
        <v>2.040140417666267</v>
      </c>
      <c r="O60" s="9">
        <f t="shared" si="26"/>
        <v>0.07325223505585884</v>
      </c>
      <c r="P60" s="9">
        <f t="shared" si="27"/>
        <v>0.7918225918180695</v>
      </c>
      <c r="Q60" s="9">
        <f t="shared" si="28"/>
        <v>0.816767006750344</v>
      </c>
      <c r="R60" s="9">
        <f t="shared" si="29"/>
        <v>0.06779950800763512</v>
      </c>
      <c r="S60" s="9">
        <f t="shared" si="30"/>
        <v>0.7603833865814694</v>
      </c>
      <c r="T60" s="9">
        <f t="shared" si="16"/>
        <v>2.028216045856482</v>
      </c>
      <c r="U60" s="9">
        <f t="shared" si="31"/>
        <v>1.2364133305498737</v>
      </c>
      <c r="V60" s="9">
        <f t="shared" si="32"/>
        <v>3.343461545850683</v>
      </c>
      <c r="W60" s="9">
        <f t="shared" si="17"/>
        <v>2.028216045856482</v>
      </c>
      <c r="X60" s="20">
        <f t="shared" si="33"/>
        <v>2.25886604924328</v>
      </c>
      <c r="Y60" s="23">
        <f t="shared" si="34"/>
        <v>-0.047910548904449964</v>
      </c>
      <c r="Z60" s="24">
        <f t="shared" si="35"/>
        <v>3.6585628150180107</v>
      </c>
    </row>
    <row r="61" spans="7:26" ht="12.75">
      <c r="G61" s="8">
        <f t="shared" si="19"/>
        <v>234</v>
      </c>
      <c r="H61" s="8">
        <f t="shared" si="20"/>
        <v>0.10693579181680295</v>
      </c>
      <c r="I61" s="8">
        <f t="shared" si="21"/>
        <v>3.3217724017380754</v>
      </c>
      <c r="J61" s="8">
        <f t="shared" si="22"/>
        <v>1.737447308304312</v>
      </c>
      <c r="K61" s="8">
        <f t="shared" si="23"/>
        <v>1.7333858676898355</v>
      </c>
      <c r="L61" s="8">
        <f t="shared" si="24"/>
        <v>0.00045657096939147324</v>
      </c>
      <c r="M61" s="8">
        <f t="shared" si="25"/>
        <v>0.5213675213675214</v>
      </c>
      <c r="N61" s="8">
        <f t="shared" si="15"/>
        <v>2.035812514914359</v>
      </c>
      <c r="O61" s="8">
        <f t="shared" si="26"/>
        <v>0.07325223505585884</v>
      </c>
      <c r="P61" s="8">
        <f t="shared" si="27"/>
        <v>0.7786341370307066</v>
      </c>
      <c r="Q61" s="8">
        <f t="shared" si="28"/>
        <v>0.8093268242911921</v>
      </c>
      <c r="R61" s="8">
        <f t="shared" si="29"/>
        <v>0.06779950800763512</v>
      </c>
      <c r="S61" s="8">
        <f t="shared" si="30"/>
        <v>0.7603833865814694</v>
      </c>
      <c r="T61" s="8">
        <f t="shared" si="16"/>
        <v>2.024985765650417</v>
      </c>
      <c r="U61" s="8">
        <f t="shared" si="31"/>
        <v>1.2332662650347035</v>
      </c>
      <c r="V61" s="8">
        <f t="shared" si="32"/>
        <v>3.343461545850683</v>
      </c>
      <c r="W61" s="8">
        <f t="shared" si="17"/>
        <v>2.024985765650417</v>
      </c>
      <c r="X61" s="20">
        <f t="shared" si="33"/>
        <v>2.2492127755285654</v>
      </c>
      <c r="Y61" s="20">
        <f t="shared" si="34"/>
        <v>-0.04770580296896087</v>
      </c>
      <c r="Z61" s="22">
        <f t="shared" si="35"/>
        <v>3.656880480316173</v>
      </c>
    </row>
    <row r="62" spans="7:26" ht="12.75">
      <c r="G62" s="9">
        <f t="shared" si="19"/>
        <v>235</v>
      </c>
      <c r="H62" s="9">
        <f t="shared" si="20"/>
        <v>0.10602763633718174</v>
      </c>
      <c r="I62" s="9">
        <f t="shared" si="21"/>
        <v>3.3097648596030202</v>
      </c>
      <c r="J62" s="9">
        <f t="shared" si="22"/>
        <v>1.7227091275478286</v>
      </c>
      <c r="K62" s="9">
        <f t="shared" si="23"/>
        <v>1.7186479744929324</v>
      </c>
      <c r="L62" s="9">
        <f t="shared" si="24"/>
        <v>0.00045657096939147324</v>
      </c>
      <c r="M62" s="9">
        <f t="shared" si="25"/>
        <v>0.5213675213675214</v>
      </c>
      <c r="N62" s="9">
        <f t="shared" si="15"/>
        <v>2.031515334524974</v>
      </c>
      <c r="O62" s="9">
        <f t="shared" si="26"/>
        <v>0.07325223505585884</v>
      </c>
      <c r="P62" s="9">
        <f t="shared" si="27"/>
        <v>0.7657222931184826</v>
      </c>
      <c r="Q62" s="9">
        <f t="shared" si="28"/>
        <v>0.801981420653119</v>
      </c>
      <c r="R62" s="9">
        <f t="shared" si="29"/>
        <v>0.06779950800763512</v>
      </c>
      <c r="S62" s="9">
        <f t="shared" si="30"/>
        <v>0.7603833865814694</v>
      </c>
      <c r="T62" s="9">
        <f t="shared" si="16"/>
        <v>2.0217796399711725</v>
      </c>
      <c r="U62" s="9">
        <f t="shared" si="31"/>
        <v>1.2301459830558321</v>
      </c>
      <c r="V62" s="9">
        <f t="shared" si="32"/>
        <v>3.343461545850683</v>
      </c>
      <c r="W62" s="9">
        <f t="shared" si="17"/>
        <v>2.0217796399711725</v>
      </c>
      <c r="X62" s="20">
        <f t="shared" si="33"/>
        <v>2.239641657334827</v>
      </c>
      <c r="Y62" s="23">
        <f t="shared" si="34"/>
        <v>-0.04750279955207168</v>
      </c>
      <c r="Z62" s="24">
        <f t="shared" si="35"/>
        <v>3.65521219215772</v>
      </c>
    </row>
    <row r="63" spans="7:26" ht="12.75">
      <c r="G63" s="8">
        <f t="shared" si="19"/>
        <v>236</v>
      </c>
      <c r="H63" s="8">
        <f t="shared" si="20"/>
        <v>0.10513100073112724</v>
      </c>
      <c r="I63" s="8">
        <f t="shared" si="21"/>
        <v>3.2978590762996176</v>
      </c>
      <c r="J63" s="8">
        <f t="shared" si="22"/>
        <v>1.7081578993371676</v>
      </c>
      <c r="K63" s="8">
        <f t="shared" si="23"/>
        <v>1.7040970301941838</v>
      </c>
      <c r="L63" s="8">
        <f t="shared" si="24"/>
        <v>0.00045657096939147324</v>
      </c>
      <c r="M63" s="8">
        <f t="shared" si="25"/>
        <v>0.5213675213675214</v>
      </c>
      <c r="N63" s="8">
        <f t="shared" si="15"/>
        <v>2.027248529098036</v>
      </c>
      <c r="O63" s="8">
        <f t="shared" si="26"/>
        <v>0.07325223505585884</v>
      </c>
      <c r="P63" s="8">
        <f t="shared" si="27"/>
        <v>0.7530801001766376</v>
      </c>
      <c r="Q63" s="8">
        <f t="shared" si="28"/>
        <v>0.7947291928237107</v>
      </c>
      <c r="R63" s="8">
        <f t="shared" si="29"/>
        <v>0.06779950800763512</v>
      </c>
      <c r="S63" s="8">
        <f t="shared" si="30"/>
        <v>0.7603833865814694</v>
      </c>
      <c r="T63" s="8">
        <f t="shared" si="16"/>
        <v>2.0185973943537743</v>
      </c>
      <c r="U63" s="8">
        <f t="shared" si="31"/>
        <v>1.227052144144579</v>
      </c>
      <c r="V63" s="8">
        <f t="shared" si="32"/>
        <v>3.343461545850683</v>
      </c>
      <c r="W63" s="8">
        <f t="shared" si="17"/>
        <v>2.0185973943537743</v>
      </c>
      <c r="X63" s="20">
        <f t="shared" si="33"/>
        <v>2.2301516503122216</v>
      </c>
      <c r="Y63" s="20">
        <f t="shared" si="34"/>
        <v>-0.04730151650312221</v>
      </c>
      <c r="Z63" s="22">
        <f t="shared" si="35"/>
        <v>3.653557790977825</v>
      </c>
    </row>
    <row r="64" spans="7:26" ht="12.75">
      <c r="G64" s="9">
        <f t="shared" si="19"/>
        <v>237</v>
      </c>
      <c r="H64" s="9">
        <f t="shared" si="20"/>
        <v>0.10424569098116154</v>
      </c>
      <c r="I64" s="9">
        <f t="shared" si="21"/>
        <v>3.286053763741391</v>
      </c>
      <c r="J64" s="9">
        <f t="shared" si="22"/>
        <v>1.6937904750213288</v>
      </c>
      <c r="K64" s="9">
        <f t="shared" si="23"/>
        <v>1.6897298862040226</v>
      </c>
      <c r="L64" s="9">
        <f t="shared" si="24"/>
        <v>0.00045657096939147324</v>
      </c>
      <c r="M64" s="9">
        <f t="shared" si="25"/>
        <v>0.5213675213675214</v>
      </c>
      <c r="N64" s="9">
        <f t="shared" si="15"/>
        <v>2.023011756611998</v>
      </c>
      <c r="O64" s="9">
        <f t="shared" si="26"/>
        <v>0.07325223505585884</v>
      </c>
      <c r="P64" s="9">
        <f t="shared" si="27"/>
        <v>0.7407008020974757</v>
      </c>
      <c r="Q64" s="9">
        <f t="shared" si="28"/>
        <v>0.7875685715378796</v>
      </c>
      <c r="R64" s="9">
        <f t="shared" si="29"/>
        <v>0.06779950800763512</v>
      </c>
      <c r="S64" s="9">
        <f t="shared" si="30"/>
        <v>0.7603833865814694</v>
      </c>
      <c r="T64" s="9">
        <f t="shared" si="16"/>
        <v>2.0154387585864484</v>
      </c>
      <c r="U64" s="9">
        <f t="shared" si="31"/>
        <v>1.223984413578568</v>
      </c>
      <c r="V64" s="9">
        <f t="shared" si="32"/>
        <v>3.343461545850683</v>
      </c>
      <c r="W64" s="9">
        <f t="shared" si="17"/>
        <v>2.0154387585864484</v>
      </c>
      <c r="X64" s="20">
        <f t="shared" si="33"/>
        <v>2.2207417277370642</v>
      </c>
      <c r="Y64" s="23">
        <f t="shared" si="34"/>
        <v>-0.04710193204530313</v>
      </c>
      <c r="Z64" s="24">
        <f t="shared" si="35"/>
        <v>3.6519171194677846</v>
      </c>
    </row>
    <row r="65" spans="7:26" ht="12.75">
      <c r="G65" s="8">
        <f t="shared" si="19"/>
        <v>238</v>
      </c>
      <c r="H65" s="8">
        <f t="shared" si="20"/>
        <v>0.10337151713722305</v>
      </c>
      <c r="I65" s="8">
        <f t="shared" si="21"/>
        <v>3.274347655490377</v>
      </c>
      <c r="J65" s="8">
        <f t="shared" si="22"/>
        <v>1.679603771958182</v>
      </c>
      <c r="K65" s="8">
        <f t="shared" si="23"/>
        <v>1.6755434599404655</v>
      </c>
      <c r="L65" s="8">
        <f t="shared" si="24"/>
        <v>0.00045657096939147324</v>
      </c>
      <c r="M65" s="8">
        <f t="shared" si="25"/>
        <v>0.5213675213675214</v>
      </c>
      <c r="N65" s="8">
        <f t="shared" si="15"/>
        <v>2.0188046803183037</v>
      </c>
      <c r="O65" s="8">
        <f t="shared" si="26"/>
        <v>0.07325223505585884</v>
      </c>
      <c r="P65" s="8">
        <f t="shared" si="27"/>
        <v>0.7285778397730486</v>
      </c>
      <c r="Q65" s="8">
        <f t="shared" si="28"/>
        <v>0.7804980204288862</v>
      </c>
      <c r="R65" s="8">
        <f t="shared" si="29"/>
        <v>0.06779950800763512</v>
      </c>
      <c r="S65" s="8">
        <f t="shared" si="30"/>
        <v>0.7603833865814694</v>
      </c>
      <c r="T65" s="8">
        <f t="shared" si="16"/>
        <v>2.0123034666271136</v>
      </c>
      <c r="U65" s="8">
        <f t="shared" si="31"/>
        <v>1.220942462261011</v>
      </c>
      <c r="V65" s="8">
        <f t="shared" si="32"/>
        <v>3.343461545850683</v>
      </c>
      <c r="W65" s="8">
        <f t="shared" si="17"/>
        <v>2.0123034666271136</v>
      </c>
      <c r="X65" s="20">
        <f t="shared" si="33"/>
        <v>2.2114108801415306</v>
      </c>
      <c r="Y65" s="20">
        <f t="shared" si="34"/>
        <v>-0.046904024767801866</v>
      </c>
      <c r="Z65" s="22">
        <f t="shared" si="35"/>
        <v>3.650290022533217</v>
      </c>
    </row>
    <row r="66" spans="7:26" ht="12.75">
      <c r="G66" s="9">
        <f t="shared" si="19"/>
        <v>239</v>
      </c>
      <c r="H66" s="9">
        <f t="shared" si="20"/>
        <v>0.10250829321476973</v>
      </c>
      <c r="I66" s="9">
        <f t="shared" si="21"/>
        <v>3.2627395063042246</v>
      </c>
      <c r="J66" s="9">
        <f t="shared" si="22"/>
        <v>1.665594771860815</v>
      </c>
      <c r="K66" s="9">
        <f t="shared" si="23"/>
        <v>1.6615347331754897</v>
      </c>
      <c r="L66" s="9">
        <f t="shared" si="24"/>
        <v>0.00045657096939147324</v>
      </c>
      <c r="M66" s="9">
        <f t="shared" si="25"/>
        <v>0.5213675213675214</v>
      </c>
      <c r="N66" s="9">
        <f t="shared" si="15"/>
        <v>2.0146269686383578</v>
      </c>
      <c r="O66" s="9">
        <f t="shared" si="26"/>
        <v>0.07325223505585884</v>
      </c>
      <c r="P66" s="9">
        <f t="shared" si="27"/>
        <v>0.7167048445519423</v>
      </c>
      <c r="Q66" s="9">
        <f t="shared" si="28"/>
        <v>0.7735160352041699</v>
      </c>
      <c r="R66" s="9">
        <f t="shared" si="29"/>
        <v>0.06779950800763512</v>
      </c>
      <c r="S66" s="9">
        <f t="shared" si="30"/>
        <v>0.7603833865814694</v>
      </c>
      <c r="T66" s="9">
        <f t="shared" si="16"/>
        <v>2.009191256521853</v>
      </c>
      <c r="U66" s="9">
        <f t="shared" si="31"/>
        <v>1.217925966603015</v>
      </c>
      <c r="V66" s="9">
        <f t="shared" si="32"/>
        <v>3.343461545850683</v>
      </c>
      <c r="W66" s="9">
        <f t="shared" si="17"/>
        <v>2.009191256521853</v>
      </c>
      <c r="X66" s="20">
        <f t="shared" si="33"/>
        <v>2.202158114952654</v>
      </c>
      <c r="Y66" s="23">
        <f t="shared" si="34"/>
        <v>-0.046707773618145786</v>
      </c>
      <c r="Z66" s="24">
        <f t="shared" si="35"/>
        <v>3.6486763472532147</v>
      </c>
    </row>
    <row r="67" spans="7:26" ht="12.75">
      <c r="G67" s="8">
        <f t="shared" si="19"/>
        <v>240</v>
      </c>
      <c r="H67" s="8">
        <f t="shared" si="20"/>
        <v>0.1016558370958483</v>
      </c>
      <c r="I67" s="8">
        <f t="shared" si="21"/>
        <v>3.251228091694624</v>
      </c>
      <c r="J67" s="8">
        <f t="shared" si="22"/>
        <v>1.6517605191920155</v>
      </c>
      <c r="K67" s="8">
        <f t="shared" si="23"/>
        <v>1.6477007504295498</v>
      </c>
      <c r="L67" s="8">
        <f t="shared" si="24"/>
        <v>0.00045657096939147324</v>
      </c>
      <c r="M67" s="8">
        <f t="shared" si="25"/>
        <v>0.5213675213675214</v>
      </c>
      <c r="N67" s="8">
        <f t="shared" si="15"/>
        <v>2.010478295062926</v>
      </c>
      <c r="O67" s="8">
        <f t="shared" si="26"/>
        <v>0.07325223505585884</v>
      </c>
      <c r="P67" s="8">
        <f t="shared" si="27"/>
        <v>0.7050756319396674</v>
      </c>
      <c r="Q67" s="8">
        <f t="shared" si="28"/>
        <v>0.766621142845171</v>
      </c>
      <c r="R67" s="8">
        <f t="shared" si="29"/>
        <v>0.06779950800763512</v>
      </c>
      <c r="S67" s="8">
        <f t="shared" si="30"/>
        <v>0.7603833865814694</v>
      </c>
      <c r="T67" s="8">
        <f t="shared" si="16"/>
        <v>2.006101870325314</v>
      </c>
      <c r="U67" s="8">
        <f t="shared" si="31"/>
        <v>1.2149346084088357</v>
      </c>
      <c r="V67" s="8">
        <f t="shared" si="32"/>
        <v>3.343461545850683</v>
      </c>
      <c r="W67" s="8">
        <f t="shared" si="17"/>
        <v>2.006101870325314</v>
      </c>
      <c r="X67" s="20">
        <f t="shared" si="33"/>
        <v>2.192982456140351</v>
      </c>
      <c r="Y67" s="20">
        <f t="shared" si="34"/>
        <v>-0.04651315789473684</v>
      </c>
      <c r="Z67" s="22">
        <f t="shared" si="35"/>
        <v>3.647075942840426</v>
      </c>
    </row>
    <row r="68" spans="7:26" ht="12.75">
      <c r="G68" s="9">
        <f t="shared" si="19"/>
        <v>241</v>
      </c>
      <c r="H68" s="9">
        <f t="shared" si="20"/>
        <v>0.1008139704330308</v>
      </c>
      <c r="I68" s="9">
        <f t="shared" si="21"/>
        <v>3.23981220749672</v>
      </c>
      <c r="J68" s="9">
        <f t="shared" si="22"/>
        <v>1.6380981196052868</v>
      </c>
      <c r="K68" s="9">
        <f t="shared" si="23"/>
        <v>1.634038617412621</v>
      </c>
      <c r="L68" s="9">
        <f t="shared" si="24"/>
        <v>0.00045657096939147324</v>
      </c>
      <c r="M68" s="9">
        <f t="shared" si="25"/>
        <v>0.5213675213675214</v>
      </c>
      <c r="N68" s="9">
        <f t="shared" si="15"/>
        <v>2.006358338053907</v>
      </c>
      <c r="O68" s="9">
        <f t="shared" si="26"/>
        <v>0.07325223505585884</v>
      </c>
      <c r="P68" s="9">
        <f t="shared" si="27"/>
        <v>0.6936841955326069</v>
      </c>
      <c r="Q68" s="9">
        <f t="shared" si="28"/>
        <v>0.7598119008303439</v>
      </c>
      <c r="R68" s="9">
        <f t="shared" si="29"/>
        <v>0.06779950800763512</v>
      </c>
      <c r="S68" s="9">
        <f t="shared" si="30"/>
        <v>0.7603833865814694</v>
      </c>
      <c r="T68" s="9">
        <f t="shared" si="16"/>
        <v>2.0030350540229835</v>
      </c>
      <c r="U68" s="9">
        <f t="shared" si="31"/>
        <v>1.2119680747639858</v>
      </c>
      <c r="V68" s="9">
        <f t="shared" si="32"/>
        <v>3.343461545850683</v>
      </c>
      <c r="W68" s="9">
        <f t="shared" si="17"/>
        <v>2.0030350540229835</v>
      </c>
      <c r="X68" s="20">
        <f t="shared" si="33"/>
        <v>2.1838829438742087</v>
      </c>
      <c r="Y68" s="23">
        <f t="shared" si="34"/>
        <v>-0.04632015723957196</v>
      </c>
      <c r="Z68" s="24">
        <f t="shared" si="35"/>
        <v>3.6454886606020107</v>
      </c>
    </row>
    <row r="69" spans="7:26" ht="12.75">
      <c r="G69" s="8">
        <f t="shared" si="19"/>
        <v>242</v>
      </c>
      <c r="H69" s="8">
        <f t="shared" si="20"/>
        <v>0.09998251855612426</v>
      </c>
      <c r="I69" s="8">
        <f t="shared" si="21"/>
        <v>3.2284906694492133</v>
      </c>
      <c r="J69" s="8">
        <f t="shared" si="22"/>
        <v>1.6246047384308682</v>
      </c>
      <c r="K69" s="8">
        <f t="shared" si="23"/>
        <v>1.62054549951025</v>
      </c>
      <c r="L69" s="8">
        <f t="shared" si="24"/>
        <v>0.00045657096939147324</v>
      </c>
      <c r="M69" s="8">
        <f t="shared" si="25"/>
        <v>0.5213675213675214</v>
      </c>
      <c r="N69" s="8">
        <f t="shared" si="15"/>
        <v>2.002266780948401</v>
      </c>
      <c r="O69" s="8">
        <f t="shared" si="26"/>
        <v>0.07325223505585884</v>
      </c>
      <c r="P69" s="8">
        <f t="shared" si="27"/>
        <v>0.6825247011759424</v>
      </c>
      <c r="Q69" s="8">
        <f t="shared" si="28"/>
        <v>0.7530868963805999</v>
      </c>
      <c r="R69" s="8">
        <f t="shared" si="29"/>
        <v>0.06779950800763512</v>
      </c>
      <c r="S69" s="8">
        <f t="shared" si="30"/>
        <v>0.7603833865814694</v>
      </c>
      <c r="T69" s="8">
        <f t="shared" si="16"/>
        <v>1.9999905574552796</v>
      </c>
      <c r="U69" s="8">
        <f t="shared" si="31"/>
        <v>1.2090260579261183</v>
      </c>
      <c r="V69" s="8">
        <f t="shared" si="32"/>
        <v>3.343461545850683</v>
      </c>
      <c r="W69" s="8" t="b">
        <f t="shared" si="17"/>
        <v>0</v>
      </c>
      <c r="X69" s="20">
        <f t="shared" si="33"/>
        <v>2.174858634188778</v>
      </c>
      <c r="Y69" s="20">
        <f t="shared" si="34"/>
        <v>-0.04612875163114397</v>
      </c>
      <c r="Z69" s="22">
        <f t="shared" si="35"/>
        <v>1.2020299045638247</v>
      </c>
    </row>
    <row r="70" spans="7:26" ht="12.75">
      <c r="G70" s="9">
        <f t="shared" si="19"/>
        <v>243</v>
      </c>
      <c r="H70" s="9">
        <f t="shared" si="20"/>
        <v>0.09916131038156212</v>
      </c>
      <c r="I70" s="9">
        <f t="shared" si="21"/>
        <v>3.217262312784814</v>
      </c>
      <c r="J70" s="9">
        <f t="shared" si="22"/>
        <v>1.611277599205273</v>
      </c>
      <c r="K70" s="9">
        <f t="shared" si="23"/>
        <v>1.6072186203131231</v>
      </c>
      <c r="L70" s="9">
        <f t="shared" si="24"/>
        <v>0.00045657096939147324</v>
      </c>
      <c r="M70" s="9">
        <f t="shared" si="25"/>
        <v>0.5213675213675214</v>
      </c>
      <c r="N70" s="9">
        <f t="shared" si="15"/>
        <v>1.998203311865022</v>
      </c>
      <c r="O70" s="9">
        <f t="shared" si="26"/>
        <v>0.07325223505585884</v>
      </c>
      <c r="P70" s="9">
        <f t="shared" si="27"/>
        <v>0.671591481336399</v>
      </c>
      <c r="Q70" s="9">
        <f t="shared" si="28"/>
        <v>0.7464447457264408</v>
      </c>
      <c r="R70" s="9">
        <f t="shared" si="29"/>
        <v>0.06779950800763512</v>
      </c>
      <c r="S70" s="9">
        <f t="shared" si="30"/>
        <v>0.7603833865814694</v>
      </c>
      <c r="T70" s="9">
        <f t="shared" si="16"/>
        <v>1.9969681342434242</v>
      </c>
      <c r="U70" s="9">
        <f t="shared" si="31"/>
        <v>1.2061082552186033</v>
      </c>
      <c r="V70" s="9">
        <f t="shared" si="32"/>
        <v>3.343461545850683</v>
      </c>
      <c r="W70" s="9">
        <f t="shared" si="17"/>
        <v>1.998203311865022</v>
      </c>
      <c r="X70" s="20">
        <f t="shared" si="33"/>
        <v>2.165908598657137</v>
      </c>
      <c r="Y70" s="23">
        <f t="shared" si="34"/>
        <v>-0.04593892137751787</v>
      </c>
      <c r="Z70" s="24">
        <f t="shared" si="35"/>
        <v>3.633013513971694</v>
      </c>
    </row>
    <row r="71" spans="2:26" ht="12.75">
      <c r="B71" s="13"/>
      <c r="G71" s="8">
        <f t="shared" si="19"/>
        <v>244</v>
      </c>
      <c r="H71" s="8">
        <f aca="true" t="shared" si="36" ref="H71:H102">(Iout*(Vout_nom^2)*2.5*Rsense*K_1)/(eff*(G71^2)*K_FQ)*us</f>
        <v>0.09835017832438965</v>
      </c>
      <c r="I71" s="8">
        <f aca="true" t="shared" si="37" ref="I71:I102">(1*10^-9*(5*10^8*SQRT(fsw*kHz)+(1.09655978*10^10)*SQRT(ftyp)*SQRT(H71)))/SQRT(fsw*kHz)</f>
        <v>3.2061259918307776</v>
      </c>
      <c r="J71" s="8">
        <f aca="true" t="shared" si="38" ref="J71:J102">(b_1^3/(27*a_1^3))-(d_1^3/27)+SQRT((ftyp)^2*H71^2/(4*a_1^2*c_1^2*(fsw*kHz)^2))+(b_1^3*(ftyp)*H71/(27*a_1^4*c_1*(fsw*kHz))-(d_1^3*(ftyp)*H71/(27*a_1*c_1*(fsw*kHz)))+(b_1*d_1^2*(ftyp)*H71/(9*a_1^2*c_1*(fsw*kHz)))-(b_1^2*d_1*(ftyp)*H71/(9*a_1^3*c_1*(fsw*kHz))))</f>
        <v>1.5981139822429302</v>
      </c>
      <c r="K71" s="8">
        <f aca="true" t="shared" si="39" ref="K71:K102">(b_1*d_1^2/(9*a_1))-(b_1^2*d_1/(9*a_1^2))+(ftyp*H71/(2*a_1*c_1*fsw*kHz))</f>
        <v>1.594055260188733</v>
      </c>
      <c r="L71" s="8">
        <f aca="true" t="shared" si="40" ref="L71:L102">(d_1^2/9)+(b_1^2/(9*a_1^2))-(2*b_1*d_1/(9*a_1))</f>
        <v>0.00045657096939147324</v>
      </c>
      <c r="M71" s="8">
        <f aca="true" t="shared" si="41" ref="M71:M102">((b_1*c_1*fsw*kHz)+(2*a_1*c_1*d_1*fsw*kHz))/(3*a_1*c_1*fsw*kHz)</f>
        <v>0.5213675213675214</v>
      </c>
      <c r="N71" s="8">
        <f t="shared" si="15"/>
        <v>1.9941676236123818</v>
      </c>
      <c r="O71" s="8">
        <f aca="true" t="shared" si="42" ref="O71:O102">(b_2^3/(27*a_2^3))-(d_2^3/27)</f>
        <v>0.07325223505585884</v>
      </c>
      <c r="P71" s="8">
        <f aca="true" t="shared" si="43" ref="P71:P102">(ftyp^2*H71^2/(4*a_2^2*c_2^2*(fsw*kHz)^2))+(b_2^3*ftyp*H71/(27*a_2^4*c_2*(fsw*kHz)))-(d_2^3*ftyp*H71/(27*a_2*c_2*(fsw*kHz)))+(b_2*d_2^2*ftyp*H71/(9*a_2^2*c_2*(fsw*kHz)))-(b_2^2*d_2*ftyp*H71/(9*a_2^3*c_2*(fsw*kHz)))</f>
        <v>0.6608790296810706</v>
      </c>
      <c r="Q71" s="8">
        <f aca="true" t="shared" si="44" ref="Q71:Q102">(b_2*d_2^2/(9*a_2))-(b_2^2*d_2/(9*a_2^2))+(ftyp*H71/(2*a_2*c_2*(fsw*kHz)))</f>
        <v>0.7398840933960739</v>
      </c>
      <c r="R71" s="8">
        <f aca="true" t="shared" si="45" ref="R71:R102">(d_2^2/9)+(b_2^2/(9*a_2^2))-(2*b_2*d_2/(9*a_2))</f>
        <v>0.06779950800763512</v>
      </c>
      <c r="S71" s="8">
        <f aca="true" t="shared" si="46" ref="S71:S102">(b_2*c_2*(fsw*kHz)+2*a_2*c_2*d_2*(fsw*kHz))/(3*a_2*c_2*(fsw*kHz))</f>
        <v>0.7603833865814694</v>
      </c>
      <c r="T71" s="8">
        <f t="shared" si="16"/>
        <v>1.9939675417170304</v>
      </c>
      <c r="U71" s="8">
        <f aca="true" t="shared" si="47" ref="U71:U102">c_3+(SQRT(ftyp)*SQRT(H71)/(SQRT(a_3)*SQRT(b_3)*SQRT(fsw*kHz)))</f>
        <v>1.2032143689267238</v>
      </c>
      <c r="V71" s="8">
        <f aca="true" t="shared" si="48" ref="V71:V102">(a_4*(fsw*kHz)*b_4/ftyp)</f>
        <v>3.343461545850683</v>
      </c>
      <c r="W71" s="8">
        <f t="shared" si="17"/>
        <v>1.9941676236123818</v>
      </c>
      <c r="X71" s="20">
        <f aca="true" t="shared" si="49" ref="X71:X102">Pin_max/G71</f>
        <v>2.1570319240724767</v>
      </c>
      <c r="Y71" s="20">
        <f aca="true" t="shared" si="50" ref="Y71:Y102">-X71*Rsense*1.414</f>
        <v>-0.04575064710957722</v>
      </c>
      <c r="Z71" s="22">
        <f aca="true" t="shared" si="51" ref="Z71:Z102">MIN(6,MAX(0.5,Beta*G*($Y71-Voff_trim)/(MAX(0,MIN(4.5,W71)-Alpha1_A)+MAX(0,MIN(4.5,W71)-Alpha1_B)-Alpha1_C)+Alpha2))</f>
        <v>3.627131093232681</v>
      </c>
    </row>
    <row r="72" spans="7:26" ht="12.75">
      <c r="G72" s="9">
        <f t="shared" si="19"/>
        <v>245</v>
      </c>
      <c r="H72" s="9">
        <f t="shared" si="36"/>
        <v>0.09754895821275905</v>
      </c>
      <c r="I72" s="9">
        <f t="shared" si="37"/>
        <v>3.1950805796192236</v>
      </c>
      <c r="J72" s="9">
        <f t="shared" si="38"/>
        <v>1.5851112232485485</v>
      </c>
      <c r="K72" s="9">
        <f t="shared" si="39"/>
        <v>1.5810527548937718</v>
      </c>
      <c r="L72" s="9">
        <f t="shared" si="40"/>
        <v>0.00045657096939147324</v>
      </c>
      <c r="M72" s="9">
        <f t="shared" si="41"/>
        <v>0.5213675213675214</v>
      </c>
      <c r="N72" s="9">
        <f aca="true" t="shared" si="52" ref="N72:N135">(J72+K72)^(1/3)+(L72/(J72^(1/3)))+M72</f>
        <v>1.9901594135996992</v>
      </c>
      <c r="O72" s="9">
        <f t="shared" si="42"/>
        <v>0.07325223505585884</v>
      </c>
      <c r="P72" s="9">
        <f t="shared" si="43"/>
        <v>0.6503819958539675</v>
      </c>
      <c r="Q72" s="9">
        <f t="shared" si="44"/>
        <v>0.7334036115238248</v>
      </c>
      <c r="R72" s="9">
        <f t="shared" si="45"/>
        <v>0.06779950800763512</v>
      </c>
      <c r="S72" s="9">
        <f t="shared" si="46"/>
        <v>0.7603833865814694</v>
      </c>
      <c r="T72" s="9">
        <f aca="true" t="shared" si="53" ref="T72:T135">((O72+SQRT(P72)+Q72)^(1/3))+(R72/((O72+SQRT(P72)+Q72)^(1/3)))+S72</f>
        <v>1.990988540843373</v>
      </c>
      <c r="U72" s="9">
        <f t="shared" si="47"/>
        <v>1.2003441061964106</v>
      </c>
      <c r="V72" s="9">
        <f t="shared" si="48"/>
        <v>3.343461545850683</v>
      </c>
      <c r="W72" s="9">
        <f aca="true" t="shared" si="54" ref="W72:W135">IF(I72&gt;=0.5,IF(I72&lt;1,I72,IF(N72&gt;=1,IF(N72&lt;2,N72,IF(T72&gt;=2,IF(T72&lt;4.5,T72,IF(U72&gt;=4.5,IF(U72&lt;4.6,U72,V72))))))))</f>
        <v>1.9901594135996992</v>
      </c>
      <c r="X72" s="20">
        <f t="shared" si="49"/>
        <v>2.1482277121374866</v>
      </c>
      <c r="Y72" s="23">
        <f t="shared" si="50"/>
        <v>-0.04556390977443609</v>
      </c>
      <c r="Z72" s="24">
        <f t="shared" si="51"/>
        <v>3.621275792348516</v>
      </c>
    </row>
    <row r="73" spans="7:26" ht="12.75">
      <c r="G73" s="8">
        <f aca="true" t="shared" si="55" ref="G73:G81">G72+1</f>
        <v>246</v>
      </c>
      <c r="H73" s="8">
        <f t="shared" si="36"/>
        <v>0.09675748920485264</v>
      </c>
      <c r="I73" s="8">
        <f t="shared" si="37"/>
        <v>3.1841249675069503</v>
      </c>
      <c r="J73" s="8">
        <f t="shared" si="38"/>
        <v>1.5722667119688885</v>
      </c>
      <c r="K73" s="8">
        <f t="shared" si="39"/>
        <v>1.5682084942259302</v>
      </c>
      <c r="L73" s="8">
        <f t="shared" si="40"/>
        <v>0.00045657096939147324</v>
      </c>
      <c r="M73" s="8">
        <f t="shared" si="41"/>
        <v>0.5213675213675214</v>
      </c>
      <c r="N73" s="8">
        <f t="shared" si="52"/>
        <v>1.9861783837494622</v>
      </c>
      <c r="O73" s="8">
        <f t="shared" si="42"/>
        <v>0.07325223505585884</v>
      </c>
      <c r="P73" s="8">
        <f t="shared" si="43"/>
        <v>0.6400951804423073</v>
      </c>
      <c r="Q73" s="8">
        <f t="shared" si="44"/>
        <v>0.7270019991781913</v>
      </c>
      <c r="R73" s="8">
        <f t="shared" si="45"/>
        <v>0.06779950800763512</v>
      </c>
      <c r="S73" s="8">
        <f t="shared" si="46"/>
        <v>0.7603833865814694</v>
      </c>
      <c r="T73" s="8">
        <f t="shared" si="53"/>
        <v>1.9880308961582873</v>
      </c>
      <c r="U73" s="8">
        <f t="shared" si="47"/>
        <v>1.1974971789354498</v>
      </c>
      <c r="V73" s="8">
        <f t="shared" si="48"/>
        <v>3.343461545850683</v>
      </c>
      <c r="W73" s="8">
        <f t="shared" si="54"/>
        <v>1.9861783837494622</v>
      </c>
      <c r="X73" s="20">
        <f t="shared" si="49"/>
        <v>2.139495079161318</v>
      </c>
      <c r="Y73" s="20">
        <f t="shared" si="50"/>
        <v>-0.04537869062901155</v>
      </c>
      <c r="Z73" s="22">
        <f t="shared" si="51"/>
        <v>3.6154473586739995</v>
      </c>
    </row>
    <row r="74" spans="7:26" ht="12.75">
      <c r="G74" s="9">
        <f t="shared" si="55"/>
        <v>247</v>
      </c>
      <c r="H74" s="9">
        <f t="shared" si="36"/>
        <v>0.09597561370815556</v>
      </c>
      <c r="I74" s="9">
        <f t="shared" si="37"/>
        <v>3.173258064804493</v>
      </c>
      <c r="J74" s="9">
        <f t="shared" si="38"/>
        <v>1.559577890882665</v>
      </c>
      <c r="K74" s="9">
        <f t="shared" si="39"/>
        <v>1.5555199207138224</v>
      </c>
      <c r="L74" s="9">
        <f t="shared" si="40"/>
        <v>0.00045657096939147324</v>
      </c>
      <c r="M74" s="9">
        <f t="shared" si="41"/>
        <v>0.5213675213675214</v>
      </c>
      <c r="N74" s="9">
        <f t="shared" si="52"/>
        <v>1.9822242404121009</v>
      </c>
      <c r="O74" s="9">
        <f t="shared" si="42"/>
        <v>0.07325223505585884</v>
      </c>
      <c r="P74" s="9">
        <f t="shared" si="43"/>
        <v>0.630013530124915</v>
      </c>
      <c r="Q74" s="9">
        <f t="shared" si="44"/>
        <v>0.720677981708898</v>
      </c>
      <c r="R74" s="9">
        <f t="shared" si="45"/>
        <v>0.06779950800763512</v>
      </c>
      <c r="S74" s="9">
        <f t="shared" si="46"/>
        <v>0.7603833865814694</v>
      </c>
      <c r="T74" s="9">
        <f t="shared" si="53"/>
        <v>1.985094375698655</v>
      </c>
      <c r="U74" s="9">
        <f t="shared" si="47"/>
        <v>1.1946733037170876</v>
      </c>
      <c r="V74" s="9">
        <f t="shared" si="48"/>
        <v>3.343461545850683</v>
      </c>
      <c r="W74" s="9">
        <f t="shared" si="54"/>
        <v>1.9822242404121009</v>
      </c>
      <c r="X74" s="20">
        <f t="shared" si="49"/>
        <v>2.130833155763904</v>
      </c>
      <c r="Y74" s="23">
        <f t="shared" si="50"/>
        <v>-0.04519497123375241</v>
      </c>
      <c r="Z74" s="24">
        <f t="shared" si="51"/>
        <v>3.6096455429506404</v>
      </c>
    </row>
    <row r="75" spans="7:26" ht="12.75">
      <c r="G75" s="8">
        <f t="shared" si="55"/>
        <v>248</v>
      </c>
      <c r="H75" s="8">
        <f t="shared" si="36"/>
        <v>0.09520317730100256</v>
      </c>
      <c r="I75" s="8">
        <f t="shared" si="37"/>
        <v>3.162478798414152</v>
      </c>
      <c r="J75" s="8">
        <f t="shared" si="38"/>
        <v>1.5470422539273518</v>
      </c>
      <c r="K75" s="8">
        <f t="shared" si="39"/>
        <v>1.5429845283438188</v>
      </c>
      <c r="L75" s="8">
        <f t="shared" si="40"/>
        <v>0.00045657096939147324</v>
      </c>
      <c r="M75" s="8">
        <f t="shared" si="41"/>
        <v>0.5213675213675214</v>
      </c>
      <c r="N75" s="8">
        <f t="shared" si="52"/>
        <v>1.9782966942826095</v>
      </c>
      <c r="O75" s="8">
        <f t="shared" si="42"/>
        <v>0.07325223505585884</v>
      </c>
      <c r="P75" s="8">
        <f t="shared" si="43"/>
        <v>0.6201321329954435</v>
      </c>
      <c r="Q75" s="8">
        <f t="shared" si="44"/>
        <v>0.7144303101123467</v>
      </c>
      <c r="R75" s="8">
        <f t="shared" si="45"/>
        <v>0.06779950800763512</v>
      </c>
      <c r="S75" s="8">
        <f t="shared" si="46"/>
        <v>0.7603833865814694</v>
      </c>
      <c r="T75" s="8">
        <f t="shared" si="53"/>
        <v>1.9821787509364346</v>
      </c>
      <c r="U75" s="8">
        <f t="shared" si="47"/>
        <v>1.1918722016859702</v>
      </c>
      <c r="V75" s="8">
        <f t="shared" si="48"/>
        <v>3.343461545850683</v>
      </c>
      <c r="W75" s="8">
        <f t="shared" si="54"/>
        <v>1.9782966942826095</v>
      </c>
      <c r="X75" s="20">
        <f t="shared" si="49"/>
        <v>2.1222410865874366</v>
      </c>
      <c r="Y75" s="20">
        <f t="shared" si="50"/>
        <v>-0.04501273344651952</v>
      </c>
      <c r="Z75" s="22">
        <f t="shared" si="51"/>
        <v>3.603870099247647</v>
      </c>
    </row>
    <row r="76" spans="7:26" ht="12.75">
      <c r="G76" s="9">
        <f t="shared" si="55"/>
        <v>249</v>
      </c>
      <c r="H76" s="9">
        <f t="shared" si="36"/>
        <v>0.09444002865632589</v>
      </c>
      <c r="I76" s="9">
        <f t="shared" si="37"/>
        <v>3.1517861124767457</v>
      </c>
      <c r="J76" s="9">
        <f t="shared" si="38"/>
        <v>1.5346573452617103</v>
      </c>
      <c r="K76" s="9">
        <f t="shared" si="39"/>
        <v>1.5305998613225975</v>
      </c>
      <c r="L76" s="9">
        <f t="shared" si="40"/>
        <v>0.00045657096939147324</v>
      </c>
      <c r="M76" s="9">
        <f t="shared" si="41"/>
        <v>0.5213675213675214</v>
      </c>
      <c r="N76" s="9">
        <f t="shared" si="52"/>
        <v>1.9743954603190645</v>
      </c>
      <c r="O76" s="9">
        <f t="shared" si="42"/>
        <v>0.07325223505585884</v>
      </c>
      <c r="P76" s="9">
        <f t="shared" si="43"/>
        <v>0.6104462140534384</v>
      </c>
      <c r="Q76" s="9">
        <f t="shared" si="44"/>
        <v>0.708257760414869</v>
      </c>
      <c r="R76" s="9">
        <f t="shared" si="45"/>
        <v>0.06779950800763512</v>
      </c>
      <c r="S76" s="9">
        <f t="shared" si="46"/>
        <v>0.7603833865814694</v>
      </c>
      <c r="T76" s="9">
        <f t="shared" si="53"/>
        <v>1.979283796714196</v>
      </c>
      <c r="U76" s="9">
        <f t="shared" si="47"/>
        <v>1.1890935984663478</v>
      </c>
      <c r="V76" s="9">
        <f t="shared" si="48"/>
        <v>3.343461545850683</v>
      </c>
      <c r="W76" s="9">
        <f t="shared" si="54"/>
        <v>1.9743954603190645</v>
      </c>
      <c r="X76" s="20">
        <f t="shared" si="49"/>
        <v>2.1137180300147964</v>
      </c>
      <c r="Y76" s="23">
        <f t="shared" si="50"/>
        <v>-0.044831959416613824</v>
      </c>
      <c r="Z76" s="24">
        <f t="shared" si="51"/>
        <v>3.598120784904202</v>
      </c>
    </row>
    <row r="77" spans="7:26" ht="12.75">
      <c r="G77" s="8">
        <f t="shared" si="55"/>
        <v>250</v>
      </c>
      <c r="H77" s="8">
        <f t="shared" si="36"/>
        <v>0.0936860194675338</v>
      </c>
      <c r="I77" s="8">
        <f t="shared" si="37"/>
        <v>3.1411789680268387</v>
      </c>
      <c r="J77" s="8">
        <f t="shared" si="38"/>
        <v>1.5224207580628943</v>
      </c>
      <c r="K77" s="8">
        <f t="shared" si="39"/>
        <v>1.5183635128742718</v>
      </c>
      <c r="L77" s="8">
        <f t="shared" si="40"/>
        <v>0.00045657096939147324</v>
      </c>
      <c r="M77" s="8">
        <f t="shared" si="41"/>
        <v>0.5213675213675214</v>
      </c>
      <c r="N77" s="8">
        <f t="shared" si="52"/>
        <v>1.9705202576629977</v>
      </c>
      <c r="O77" s="8">
        <f t="shared" si="42"/>
        <v>0.07325223505585884</v>
      </c>
      <c r="P77" s="8">
        <f t="shared" si="43"/>
        <v>0.6009511308565778</v>
      </c>
      <c r="Q77" s="8">
        <f t="shared" si="44"/>
        <v>0.7021591330732114</v>
      </c>
      <c r="R77" s="8">
        <f t="shared" si="45"/>
        <v>0.06779950800763512</v>
      </c>
      <c r="S77" s="8">
        <f t="shared" si="46"/>
        <v>0.7603833865814694</v>
      </c>
      <c r="T77" s="8">
        <f t="shared" si="53"/>
        <v>1.9764092911821178</v>
      </c>
      <c r="U77" s="8">
        <f t="shared" si="47"/>
        <v>1.1863372240724823</v>
      </c>
      <c r="V77" s="8">
        <f t="shared" si="48"/>
        <v>3.343461545850683</v>
      </c>
      <c r="W77" s="8">
        <f t="shared" si="54"/>
        <v>1.9705202576629977</v>
      </c>
      <c r="X77" s="20">
        <f t="shared" si="49"/>
        <v>2.105263157894737</v>
      </c>
      <c r="Y77" s="20">
        <f t="shared" si="50"/>
        <v>-0.04465263157894737</v>
      </c>
      <c r="Z77" s="22">
        <f t="shared" si="51"/>
        <v>3.592397360472934</v>
      </c>
    </row>
    <row r="78" spans="7:26" ht="12.75">
      <c r="G78" s="9">
        <f t="shared" si="55"/>
        <v>251</v>
      </c>
      <c r="H78" s="9">
        <f t="shared" si="36"/>
        <v>0.09294100437645215</v>
      </c>
      <c r="I78" s="9">
        <f t="shared" si="37"/>
        <v>3.1306563426562137</v>
      </c>
      <c r="J78" s="9">
        <f t="shared" si="38"/>
        <v>1.5103301333570354</v>
      </c>
      <c r="K78" s="9">
        <f t="shared" si="39"/>
        <v>1.5062731240709997</v>
      </c>
      <c r="L78" s="9">
        <f t="shared" si="40"/>
        <v>0.00045657096939147324</v>
      </c>
      <c r="M78" s="9">
        <f t="shared" si="41"/>
        <v>0.5213675213675214</v>
      </c>
      <c r="N78" s="9">
        <f t="shared" si="52"/>
        <v>1.9666708095615593</v>
      </c>
      <c r="O78" s="9">
        <f t="shared" si="42"/>
        <v>0.07325223505585884</v>
      </c>
      <c r="P78" s="9">
        <f t="shared" si="43"/>
        <v>0.5916423693277121</v>
      </c>
      <c r="Q78" s="9">
        <f t="shared" si="44"/>
        <v>0.6961332523917084</v>
      </c>
      <c r="R78" s="9">
        <f t="shared" si="45"/>
        <v>0.06779950800763512</v>
      </c>
      <c r="S78" s="9">
        <f t="shared" si="46"/>
        <v>0.7603833865814694</v>
      </c>
      <c r="T78" s="9">
        <f t="shared" si="53"/>
        <v>1.9735550157364061</v>
      </c>
      <c r="U78" s="9">
        <f t="shared" si="47"/>
        <v>1.1836028128211975</v>
      </c>
      <c r="V78" s="9">
        <f t="shared" si="48"/>
        <v>3.343461545850683</v>
      </c>
      <c r="W78" s="9">
        <f t="shared" si="54"/>
        <v>1.9666708095615593</v>
      </c>
      <c r="X78" s="20">
        <f t="shared" si="49"/>
        <v>2.0968756552736427</v>
      </c>
      <c r="Y78" s="23">
        <f t="shared" si="50"/>
        <v>-0.04447473264835396</v>
      </c>
      <c r="Z78" s="24">
        <f t="shared" si="51"/>
        <v>3.5866995896646214</v>
      </c>
    </row>
    <row r="79" spans="7:26" ht="12.75">
      <c r="G79" s="8">
        <f t="shared" si="55"/>
        <v>252</v>
      </c>
      <c r="H79" s="8">
        <f t="shared" si="36"/>
        <v>0.09220484090326377</v>
      </c>
      <c r="I79" s="8">
        <f t="shared" si="37"/>
        <v>3.120217230185356</v>
      </c>
      <c r="J79" s="8">
        <f t="shared" si="38"/>
        <v>1.4983831588822498</v>
      </c>
      <c r="K79" s="8">
        <f t="shared" si="39"/>
        <v>1.4943263826960127</v>
      </c>
      <c r="L79" s="8">
        <f t="shared" si="40"/>
        <v>0.00045657096939147324</v>
      </c>
      <c r="M79" s="8">
        <f t="shared" si="41"/>
        <v>0.5213675213675214</v>
      </c>
      <c r="N79" s="8">
        <f t="shared" si="52"/>
        <v>1.9628468432914397</v>
      </c>
      <c r="O79" s="8">
        <f t="shared" si="42"/>
        <v>0.07325223505585884</v>
      </c>
      <c r="P79" s="8">
        <f t="shared" si="43"/>
        <v>0.5825155397105992</v>
      </c>
      <c r="Q79" s="8">
        <f t="shared" si="44"/>
        <v>0.6901789659556127</v>
      </c>
      <c r="R79" s="8">
        <f t="shared" si="45"/>
        <v>0.06779950800763512</v>
      </c>
      <c r="S79" s="8">
        <f t="shared" si="46"/>
        <v>0.7603833865814694</v>
      </c>
      <c r="T79" s="8">
        <f t="shared" si="53"/>
        <v>1.9707207549591028</v>
      </c>
      <c r="U79" s="8">
        <f t="shared" si="47"/>
        <v>1.1808901032465102</v>
      </c>
      <c r="V79" s="8">
        <f t="shared" si="48"/>
        <v>3.343461545850683</v>
      </c>
      <c r="W79" s="8">
        <f t="shared" si="54"/>
        <v>1.9628468432914397</v>
      </c>
      <c r="X79" s="20">
        <f t="shared" si="49"/>
        <v>2.0885547201336676</v>
      </c>
      <c r="Y79" s="20">
        <f t="shared" si="50"/>
        <v>-0.04429824561403508</v>
      </c>
      <c r="Z79" s="22">
        <f t="shared" si="51"/>
        <v>3.581027239294042</v>
      </c>
    </row>
    <row r="80" spans="7:26" ht="12.75">
      <c r="G80" s="9">
        <f t="shared" si="55"/>
        <v>253</v>
      </c>
      <c r="H80" s="9">
        <f t="shared" si="36"/>
        <v>0.09147738937838214</v>
      </c>
      <c r="I80" s="9">
        <f t="shared" si="37"/>
        <v>3.109860640342726</v>
      </c>
      <c r="J80" s="9">
        <f t="shared" si="38"/>
        <v>1.4865775679830384</v>
      </c>
      <c r="K80" s="9">
        <f t="shared" si="39"/>
        <v>1.4825210221380372</v>
      </c>
      <c r="L80" s="9">
        <f t="shared" si="40"/>
        <v>0.00045657096939147324</v>
      </c>
      <c r="M80" s="9">
        <f t="shared" si="41"/>
        <v>0.5213675213675214</v>
      </c>
      <c r="N80" s="9">
        <f t="shared" si="52"/>
        <v>1.9590480900844938</v>
      </c>
      <c r="O80" s="9">
        <f t="shared" si="42"/>
        <v>0.07325223505585884</v>
      </c>
      <c r="P80" s="9">
        <f t="shared" si="43"/>
        <v>0.5735663726684991</v>
      </c>
      <c r="Q80" s="9">
        <f t="shared" si="44"/>
        <v>0.6842951440800721</v>
      </c>
      <c r="R80" s="9">
        <f t="shared" si="45"/>
        <v>0.06779950800763512</v>
      </c>
      <c r="S80" s="9">
        <f t="shared" si="46"/>
        <v>0.7603833865814694</v>
      </c>
      <c r="T80" s="9">
        <f t="shared" si="53"/>
        <v>1.967906296559243</v>
      </c>
      <c r="U80" s="9">
        <f t="shared" si="47"/>
        <v>1.178198838016287</v>
      </c>
      <c r="V80" s="9">
        <f t="shared" si="48"/>
        <v>3.343461545850683</v>
      </c>
      <c r="W80" s="9">
        <f t="shared" si="54"/>
        <v>1.9590480900844938</v>
      </c>
      <c r="X80" s="20">
        <f t="shared" si="49"/>
        <v>2.080299563137092</v>
      </c>
      <c r="Y80" s="23">
        <f t="shared" si="50"/>
        <v>-0.04412315373413772</v>
      </c>
      <c r="Z80" s="24">
        <f t="shared" si="51"/>
        <v>3.5753800792269774</v>
      </c>
    </row>
    <row r="81" spans="7:26" ht="12.75">
      <c r="G81" s="8">
        <f t="shared" si="55"/>
        <v>254</v>
      </c>
      <c r="H81" s="8">
        <f t="shared" si="36"/>
        <v>0.0907585128761991</v>
      </c>
      <c r="I81" s="8">
        <f t="shared" si="37"/>
        <v>3.0995855984516125</v>
      </c>
      <c r="J81" s="8">
        <f t="shared" si="38"/>
        <v>1.4749111385350968</v>
      </c>
      <c r="K81" s="8">
        <f t="shared" si="39"/>
        <v>1.4708548203161242</v>
      </c>
      <c r="L81" s="8">
        <f t="shared" si="40"/>
        <v>0.00045657096939147324</v>
      </c>
      <c r="M81" s="8">
        <f t="shared" si="41"/>
        <v>0.5213675213675214</v>
      </c>
      <c r="N81" s="8">
        <f t="shared" si="52"/>
        <v>1.955274285055025</v>
      </c>
      <c r="O81" s="8">
        <f t="shared" si="42"/>
        <v>0.07325223505585884</v>
      </c>
      <c r="P81" s="8">
        <f t="shared" si="43"/>
        <v>0.5647907155200388</v>
      </c>
      <c r="Q81" s="8">
        <f t="shared" si="44"/>
        <v>0.6784806792742625</v>
      </c>
      <c r="R81" s="8">
        <f t="shared" si="45"/>
        <v>0.06779950800763512</v>
      </c>
      <c r="S81" s="8">
        <f t="shared" si="46"/>
        <v>0.7603833865814694</v>
      </c>
      <c r="T81" s="8">
        <f t="shared" si="53"/>
        <v>1.9651114313153246</v>
      </c>
      <c r="U81" s="8">
        <f t="shared" si="47"/>
        <v>1.1755287638508685</v>
      </c>
      <c r="V81" s="8">
        <f t="shared" si="48"/>
        <v>3.343461545850683</v>
      </c>
      <c r="W81" s="8">
        <f t="shared" si="54"/>
        <v>1.955274285055025</v>
      </c>
      <c r="X81" s="20">
        <f t="shared" si="49"/>
        <v>2.07210940737671</v>
      </c>
      <c r="Y81" s="20">
        <f t="shared" si="50"/>
        <v>-0.043949440530460016</v>
      </c>
      <c r="Z81" s="22">
        <f t="shared" si="51"/>
        <v>3.569757882328314</v>
      </c>
    </row>
    <row r="82" spans="7:26" ht="12.75">
      <c r="G82" s="9">
        <f aca="true" t="shared" si="56" ref="G82:G100">G81+1</f>
        <v>255</v>
      </c>
      <c r="H82" s="9">
        <f t="shared" si="36"/>
        <v>0.09004807715064762</v>
      </c>
      <c r="I82" s="9">
        <f t="shared" si="37"/>
        <v>3.0893911451243516</v>
      </c>
      <c r="J82" s="9">
        <f t="shared" si="38"/>
        <v>1.463381691899584</v>
      </c>
      <c r="K82" s="9">
        <f t="shared" si="39"/>
        <v>1.4593255986339413</v>
      </c>
      <c r="L82" s="9">
        <f t="shared" si="40"/>
        <v>0.00045657096939147324</v>
      </c>
      <c r="M82" s="9">
        <f t="shared" si="41"/>
        <v>0.5213675213675214</v>
      </c>
      <c r="N82" s="9">
        <f t="shared" si="52"/>
        <v>1.9515251671286875</v>
      </c>
      <c r="O82" s="9">
        <f t="shared" si="42"/>
        <v>0.07325223505585884</v>
      </c>
      <c r="P82" s="9">
        <f t="shared" si="43"/>
        <v>0.5561845286070038</v>
      </c>
      <c r="Q82" s="9">
        <f t="shared" si="44"/>
        <v>0.6727344857202032</v>
      </c>
      <c r="R82" s="9">
        <f t="shared" si="45"/>
        <v>0.06779950800763512</v>
      </c>
      <c r="S82" s="9">
        <f t="shared" si="46"/>
        <v>0.7603833865814694</v>
      </c>
      <c r="T82" s="9">
        <f t="shared" si="53"/>
        <v>1.9623359530190592</v>
      </c>
      <c r="U82" s="9">
        <f t="shared" si="47"/>
        <v>1.1728796314436103</v>
      </c>
      <c r="V82" s="9">
        <f t="shared" si="48"/>
        <v>3.343461545850683</v>
      </c>
      <c r="W82" s="9">
        <f t="shared" si="54"/>
        <v>1.9515251671286875</v>
      </c>
      <c r="X82" s="20">
        <f t="shared" si="49"/>
        <v>2.063983488132095</v>
      </c>
      <c r="Y82" s="23">
        <f t="shared" si="50"/>
        <v>-0.04377708978328173</v>
      </c>
      <c r="Z82" s="24">
        <f t="shared" si="51"/>
        <v>3.5641604244112415</v>
      </c>
    </row>
    <row r="83" spans="2:26" ht="12.75">
      <c r="B83" s="13"/>
      <c r="G83" s="8">
        <f t="shared" si="56"/>
        <v>256</v>
      </c>
      <c r="H83" s="8">
        <f t="shared" si="36"/>
        <v>0.08934595057252293</v>
      </c>
      <c r="I83" s="8">
        <f t="shared" si="37"/>
        <v>3.07927633596371</v>
      </c>
      <c r="J83" s="8">
        <f t="shared" si="38"/>
        <v>1.4519870919059248</v>
      </c>
      <c r="K83" s="8">
        <f t="shared" si="39"/>
        <v>1.4479312209625925</v>
      </c>
      <c r="L83" s="8">
        <f t="shared" si="40"/>
        <v>0.00045657096939147324</v>
      </c>
      <c r="M83" s="8">
        <f t="shared" si="41"/>
        <v>0.5213675213675214</v>
      </c>
      <c r="N83" s="8">
        <f t="shared" si="52"/>
        <v>1.9478004789729604</v>
      </c>
      <c r="O83" s="8">
        <f t="shared" si="42"/>
        <v>0.07325223505585884</v>
      </c>
      <c r="P83" s="8">
        <f t="shared" si="43"/>
        <v>0.547743881788931</v>
      </c>
      <c r="Q83" s="8">
        <f t="shared" si="44"/>
        <v>0.6670554987657931</v>
      </c>
      <c r="R83" s="8">
        <f t="shared" si="45"/>
        <v>0.06779950800763512</v>
      </c>
      <c r="S83" s="8">
        <f t="shared" si="46"/>
        <v>0.7603833865814694</v>
      </c>
      <c r="T83" s="8">
        <f t="shared" si="53"/>
        <v>1.9595796584203709</v>
      </c>
      <c r="U83" s="8">
        <f t="shared" si="47"/>
        <v>1.1702511953832837</v>
      </c>
      <c r="V83" s="8">
        <f t="shared" si="48"/>
        <v>3.343461545850683</v>
      </c>
      <c r="W83" s="8">
        <f t="shared" si="54"/>
        <v>1.9478004789729604</v>
      </c>
      <c r="X83" s="20">
        <f t="shared" si="49"/>
        <v>2.055921052631579</v>
      </c>
      <c r="Y83" s="20">
        <f t="shared" si="50"/>
        <v>-0.04360608552631579</v>
      </c>
      <c r="Z83" s="22">
        <f t="shared" si="51"/>
        <v>3.55858748418751</v>
      </c>
    </row>
    <row r="84" spans="7:26" ht="12.75">
      <c r="G84" s="9">
        <f t="shared" si="56"/>
        <v>257</v>
      </c>
      <c r="H84" s="9">
        <f t="shared" si="36"/>
        <v>0.08865200406850765</v>
      </c>
      <c r="I84" s="9">
        <f t="shared" si="37"/>
        <v>3.0692402412712436</v>
      </c>
      <c r="J84" s="9">
        <f t="shared" si="38"/>
        <v>1.4407252438622695</v>
      </c>
      <c r="K84" s="9">
        <f t="shared" si="39"/>
        <v>1.4366695926510975</v>
      </c>
      <c r="L84" s="9">
        <f t="shared" si="40"/>
        <v>0.00045657096939147324</v>
      </c>
      <c r="M84" s="9">
        <f t="shared" si="41"/>
        <v>0.5213675213675214</v>
      </c>
      <c r="N84" s="9">
        <f t="shared" si="52"/>
        <v>1.944099966929162</v>
      </c>
      <c r="O84" s="9">
        <f t="shared" si="42"/>
        <v>0.07325223505585884</v>
      </c>
      <c r="P84" s="9">
        <f t="shared" si="43"/>
        <v>0.5394649510596098</v>
      </c>
      <c r="Q84" s="9">
        <f t="shared" si="44"/>
        <v>0.6614426744316293</v>
      </c>
      <c r="R84" s="9">
        <f t="shared" si="45"/>
        <v>0.06779950800763512</v>
      </c>
      <c r="S84" s="9">
        <f t="shared" si="46"/>
        <v>0.7603833865814694</v>
      </c>
      <c r="T84" s="9">
        <f t="shared" si="53"/>
        <v>1.9568423471736063</v>
      </c>
      <c r="U84" s="9">
        <f t="shared" si="47"/>
        <v>1.1676432140782902</v>
      </c>
      <c r="V84" s="9">
        <f t="shared" si="48"/>
        <v>3.343461545850683</v>
      </c>
      <c r="W84" s="9">
        <f t="shared" si="54"/>
        <v>1.944099966929162</v>
      </c>
      <c r="X84" s="20">
        <f t="shared" si="49"/>
        <v>2.047921359819783</v>
      </c>
      <c r="Y84" s="23">
        <f t="shared" si="50"/>
        <v>-0.043436412041777596</v>
      </c>
      <c r="Z84" s="24">
        <f t="shared" si="51"/>
        <v>3.5530388432186912</v>
      </c>
    </row>
    <row r="85" spans="7:26" ht="12.75">
      <c r="G85" s="8">
        <f t="shared" si="56"/>
        <v>258</v>
      </c>
      <c r="H85" s="8">
        <f t="shared" si="36"/>
        <v>0.08796611106184818</v>
      </c>
      <c r="I85" s="8">
        <f t="shared" si="37"/>
        <v>3.0592819457624407</v>
      </c>
      <c r="J85" s="8">
        <f t="shared" si="38"/>
        <v>1.4295940935927454</v>
      </c>
      <c r="K85" s="8">
        <f t="shared" si="39"/>
        <v>1.4255386595636637</v>
      </c>
      <c r="L85" s="8">
        <f t="shared" si="40"/>
        <v>0.00045657096939147324</v>
      </c>
      <c r="M85" s="8">
        <f t="shared" si="41"/>
        <v>0.5213675213675214</v>
      </c>
      <c r="N85" s="8">
        <f t="shared" si="52"/>
        <v>1.9404233809459521</v>
      </c>
      <c r="O85" s="8">
        <f t="shared" si="42"/>
        <v>0.07325223505585884</v>
      </c>
      <c r="P85" s="8">
        <f t="shared" si="43"/>
        <v>0.5313440152807908</v>
      </c>
      <c r="Q85" s="8">
        <f t="shared" si="44"/>
        <v>0.6558949889311831</v>
      </c>
      <c r="R85" s="8">
        <f t="shared" si="45"/>
        <v>0.06779950800763512</v>
      </c>
      <c r="S85" s="8">
        <f t="shared" si="46"/>
        <v>0.7603833865814694</v>
      </c>
      <c r="T85" s="8">
        <f t="shared" si="53"/>
        <v>1.9541238217849308</v>
      </c>
      <c r="U85" s="8">
        <f t="shared" si="47"/>
        <v>1.165055449682638</v>
      </c>
      <c r="V85" s="8">
        <f t="shared" si="48"/>
        <v>3.343461545850683</v>
      </c>
      <c r="W85" s="8">
        <f t="shared" si="54"/>
        <v>1.9404233809459521</v>
      </c>
      <c r="X85" s="20">
        <f t="shared" si="49"/>
        <v>2.0399836801305593</v>
      </c>
      <c r="Y85" s="20">
        <f t="shared" si="50"/>
        <v>-0.04326805385556916</v>
      </c>
      <c r="Z85" s="22">
        <f t="shared" si="51"/>
        <v>3.5475142858684876</v>
      </c>
    </row>
    <row r="86" spans="7:26" ht="12.75">
      <c r="G86" s="9">
        <f t="shared" si="56"/>
        <v>259</v>
      </c>
      <c r="H86" s="9">
        <f t="shared" si="36"/>
        <v>0.087288147414631</v>
      </c>
      <c r="I86" s="9">
        <f t="shared" si="37"/>
        <v>3.049400548288455</v>
      </c>
      <c r="J86" s="9">
        <f t="shared" si="38"/>
        <v>1.4185916265006795</v>
      </c>
      <c r="K86" s="9">
        <f t="shared" si="39"/>
        <v>1.414536407142925</v>
      </c>
      <c r="L86" s="9">
        <f t="shared" si="40"/>
        <v>0.00045657096939147324</v>
      </c>
      <c r="M86" s="9">
        <f t="shared" si="41"/>
        <v>0.5213675213675214</v>
      </c>
      <c r="N86" s="9">
        <f t="shared" si="52"/>
        <v>1.9367704745142924</v>
      </c>
      <c r="O86" s="9">
        <f t="shared" si="42"/>
        <v>0.07325223505585884</v>
      </c>
      <c r="P86" s="9">
        <f t="shared" si="43"/>
        <v>0.5233774530286085</v>
      </c>
      <c r="Q86" s="9">
        <f t="shared" si="44"/>
        <v>0.6504114382039139</v>
      </c>
      <c r="R86" s="9">
        <f t="shared" si="45"/>
        <v>0.06779950800763512</v>
      </c>
      <c r="S86" s="9">
        <f t="shared" si="46"/>
        <v>0.7603833865814694</v>
      </c>
      <c r="T86" s="9">
        <f t="shared" si="53"/>
        <v>1.9514238875608725</v>
      </c>
      <c r="U86" s="9">
        <f t="shared" si="47"/>
        <v>1.1624876680236316</v>
      </c>
      <c r="V86" s="9">
        <f t="shared" si="48"/>
        <v>3.343461545850683</v>
      </c>
      <c r="W86" s="9">
        <f t="shared" si="54"/>
        <v>1.9367704745142924</v>
      </c>
      <c r="X86" s="20">
        <f t="shared" si="49"/>
        <v>2.0321072952651904</v>
      </c>
      <c r="Y86" s="23">
        <f t="shared" si="50"/>
        <v>-0.043100995732574685</v>
      </c>
      <c r="Z86" s="24">
        <f t="shared" si="51"/>
        <v>3.542013599255984</v>
      </c>
    </row>
    <row r="87" spans="7:26" ht="12.75">
      <c r="G87" s="8">
        <f t="shared" si="56"/>
        <v>260</v>
      </c>
      <c r="H87" s="8">
        <f t="shared" si="36"/>
        <v>0.08661799137161037</v>
      </c>
      <c r="I87" s="8">
        <f t="shared" si="37"/>
        <v>3.0395951615642685</v>
      </c>
      <c r="J87" s="8">
        <f t="shared" si="38"/>
        <v>1.4077158666569933</v>
      </c>
      <c r="K87" s="8">
        <f t="shared" si="39"/>
        <v>1.4036608594983555</v>
      </c>
      <c r="L87" s="8">
        <f t="shared" si="40"/>
        <v>0.00045657096939147324</v>
      </c>
      <c r="M87" s="8">
        <f t="shared" si="41"/>
        <v>0.5213675213675214</v>
      </c>
      <c r="N87" s="8">
        <f t="shared" si="52"/>
        <v>1.9331410046038262</v>
      </c>
      <c r="O87" s="8">
        <f t="shared" si="42"/>
        <v>0.07325223505585884</v>
      </c>
      <c r="P87" s="8">
        <f t="shared" si="43"/>
        <v>0.5155617395484124</v>
      </c>
      <c r="Q87" s="8">
        <f t="shared" si="44"/>
        <v>0.6449910374609336</v>
      </c>
      <c r="R87" s="8">
        <f t="shared" si="45"/>
        <v>0.06779950800763512</v>
      </c>
      <c r="S87" s="8">
        <f t="shared" si="46"/>
        <v>0.7603833865814694</v>
      </c>
      <c r="T87" s="8">
        <f t="shared" si="53"/>
        <v>1.948742352557994</v>
      </c>
      <c r="U87" s="8">
        <f t="shared" si="47"/>
        <v>1.1599396385312333</v>
      </c>
      <c r="V87" s="8">
        <f t="shared" si="48"/>
        <v>3.343461545850683</v>
      </c>
      <c r="W87" s="8">
        <f t="shared" si="54"/>
        <v>1.9331410046038262</v>
      </c>
      <c r="X87" s="20">
        <f t="shared" si="49"/>
        <v>2.024291497975709</v>
      </c>
      <c r="Y87" s="20">
        <f t="shared" si="50"/>
        <v>-0.04293522267206478</v>
      </c>
      <c r="Z87" s="22">
        <f t="shared" si="51"/>
        <v>3.536536573209879</v>
      </c>
    </row>
    <row r="88" spans="7:26" ht="12.75">
      <c r="G88" s="9">
        <f t="shared" si="56"/>
        <v>261</v>
      </c>
      <c r="H88" s="9">
        <f t="shared" si="36"/>
        <v>0.08595552350553959</v>
      </c>
      <c r="I88" s="9">
        <f t="shared" si="37"/>
        <v>3.0298649119031027</v>
      </c>
      <c r="J88" s="9">
        <f t="shared" si="38"/>
        <v>1.3969648759130013</v>
      </c>
      <c r="K88" s="9">
        <f t="shared" si="39"/>
        <v>1.3929100785190853</v>
      </c>
      <c r="L88" s="9">
        <f t="shared" si="40"/>
        <v>0.00045657096939147324</v>
      </c>
      <c r="M88" s="9">
        <f t="shared" si="41"/>
        <v>0.5213675213675214</v>
      </c>
      <c r="N88" s="9">
        <f t="shared" si="52"/>
        <v>1.92953473160064</v>
      </c>
      <c r="O88" s="9">
        <f t="shared" si="42"/>
        <v>0.07325223505585884</v>
      </c>
      <c r="P88" s="9">
        <f t="shared" si="43"/>
        <v>0.5078934438138824</v>
      </c>
      <c r="Q88" s="9">
        <f t="shared" si="44"/>
        <v>0.6396328207428309</v>
      </c>
      <c r="R88" s="9">
        <f t="shared" si="45"/>
        <v>0.06779950800763512</v>
      </c>
      <c r="S88" s="9">
        <f t="shared" si="46"/>
        <v>0.7603833865814694</v>
      </c>
      <c r="T88" s="9">
        <f t="shared" si="53"/>
        <v>1.9460790275336546</v>
      </c>
      <c r="U88" s="9">
        <f t="shared" si="47"/>
        <v>1.1574111341690445</v>
      </c>
      <c r="V88" s="9">
        <f t="shared" si="48"/>
        <v>3.343461545850683</v>
      </c>
      <c r="W88" s="9">
        <f t="shared" si="54"/>
        <v>1.92953473160064</v>
      </c>
      <c r="X88" s="20">
        <f t="shared" si="49"/>
        <v>2.0165355918531964</v>
      </c>
      <c r="Y88" s="23">
        <f t="shared" si="50"/>
        <v>-0.04277071990320629</v>
      </c>
      <c r="Z88" s="24">
        <f t="shared" si="51"/>
        <v>3.531083000223646</v>
      </c>
    </row>
    <row r="89" spans="7:26" ht="12.75">
      <c r="G89" s="8">
        <f t="shared" si="56"/>
        <v>262</v>
      </c>
      <c r="H89" s="8">
        <f t="shared" si="36"/>
        <v>0.08530062666395989</v>
      </c>
      <c r="I89" s="8">
        <f t="shared" si="37"/>
        <v>3.0202089389569076</v>
      </c>
      <c r="J89" s="8">
        <f t="shared" si="38"/>
        <v>1.3863367530368638</v>
      </c>
      <c r="K89" s="8">
        <f t="shared" si="39"/>
        <v>1.3822821630103703</v>
      </c>
      <c r="L89" s="8">
        <f t="shared" si="40"/>
        <v>0.00045657096939147324</v>
      </c>
      <c r="M89" s="8">
        <f t="shared" si="41"/>
        <v>0.5213675213675214</v>
      </c>
      <c r="N89" s="8">
        <f t="shared" si="52"/>
        <v>1.92595141924637</v>
      </c>
      <c r="O89" s="8">
        <f t="shared" si="42"/>
        <v>0.07325223505585884</v>
      </c>
      <c r="P89" s="8">
        <f t="shared" si="43"/>
        <v>0.500369225686463</v>
      </c>
      <c r="Q89" s="8">
        <f t="shared" si="44"/>
        <v>0.634335840489286</v>
      </c>
      <c r="R89" s="8">
        <f t="shared" si="45"/>
        <v>0.06779950800763512</v>
      </c>
      <c r="S89" s="8">
        <f t="shared" si="46"/>
        <v>0.7603833865814694</v>
      </c>
      <c r="T89" s="8">
        <f t="shared" si="53"/>
        <v>1.943433725897838</v>
      </c>
      <c r="U89" s="8">
        <f t="shared" si="47"/>
        <v>1.1549019313668727</v>
      </c>
      <c r="V89" s="8">
        <f t="shared" si="48"/>
        <v>3.343461545850683</v>
      </c>
      <c r="W89" s="8">
        <f t="shared" si="54"/>
        <v>1.92595141924637</v>
      </c>
      <c r="X89" s="20">
        <f t="shared" si="49"/>
        <v>2.0088388911209325</v>
      </c>
      <c r="Y89" s="20">
        <f t="shared" si="50"/>
        <v>-0.04260747288067498</v>
      </c>
      <c r="Z89" s="22">
        <f t="shared" si="51"/>
        <v>3.5256526754115995</v>
      </c>
    </row>
    <row r="90" spans="7:26" ht="12.75">
      <c r="G90" s="9">
        <f t="shared" si="56"/>
        <v>263</v>
      </c>
      <c r="H90" s="9">
        <f t="shared" si="36"/>
        <v>0.0846531859174032</v>
      </c>
      <c r="I90" s="9">
        <f t="shared" si="37"/>
        <v>3.0106263954627743</v>
      </c>
      <c r="J90" s="9">
        <f t="shared" si="38"/>
        <v>1.3758296328729844</v>
      </c>
      <c r="K90" s="9">
        <f t="shared" si="39"/>
        <v>1.3717752478530056</v>
      </c>
      <c r="L90" s="9">
        <f t="shared" si="40"/>
        <v>0.00045657096939147324</v>
      </c>
      <c r="M90" s="9">
        <f t="shared" si="41"/>
        <v>0.5213675213675214</v>
      </c>
      <c r="N90" s="9">
        <f t="shared" si="52"/>
        <v>1.9223908345786245</v>
      </c>
      <c r="O90" s="9">
        <f t="shared" si="42"/>
        <v>0.07325223505585884</v>
      </c>
      <c r="P90" s="9">
        <f t="shared" si="43"/>
        <v>0.49298583317134514</v>
      </c>
      <c r="Q90" s="9">
        <f t="shared" si="44"/>
        <v>0.6290991671201203</v>
      </c>
      <c r="R90" s="9">
        <f t="shared" si="45"/>
        <v>0.06779950800763512</v>
      </c>
      <c r="S90" s="9">
        <f t="shared" si="46"/>
        <v>0.7603833865814694</v>
      </c>
      <c r="T90" s="9">
        <f t="shared" si="53"/>
        <v>1.9408062636660253</v>
      </c>
      <c r="U90" s="9">
        <f t="shared" si="47"/>
        <v>1.152411809954831</v>
      </c>
      <c r="V90" s="9">
        <f t="shared" si="48"/>
        <v>3.343461545850683</v>
      </c>
      <c r="W90" s="9">
        <f t="shared" si="54"/>
        <v>1.9223908345786245</v>
      </c>
      <c r="X90" s="20">
        <f t="shared" si="49"/>
        <v>2.0012007204322595</v>
      </c>
      <c r="Y90" s="23">
        <f t="shared" si="50"/>
        <v>-0.04244546728036822</v>
      </c>
      <c r="Z90" s="24">
        <f t="shared" si="51"/>
        <v>3.5202453964658553</v>
      </c>
    </row>
    <row r="91" spans="7:26" ht="12.75">
      <c r="G91" s="8">
        <f t="shared" si="56"/>
        <v>264</v>
      </c>
      <c r="H91" s="8">
        <f t="shared" si="36"/>
        <v>0.08401308850896555</v>
      </c>
      <c r="I91" s="8">
        <f t="shared" si="37"/>
        <v>3.0011164469951126</v>
      </c>
      <c r="J91" s="8">
        <f t="shared" si="38"/>
        <v>1.3654416855236542</v>
      </c>
      <c r="K91" s="8">
        <f t="shared" si="39"/>
        <v>1.3613875031849854</v>
      </c>
      <c r="L91" s="8">
        <f t="shared" si="40"/>
        <v>0.00045657096939147324</v>
      </c>
      <c r="M91" s="8">
        <f t="shared" si="41"/>
        <v>0.5213675213675214</v>
      </c>
      <c r="N91" s="8">
        <f t="shared" si="52"/>
        <v>1.9188527478726844</v>
      </c>
      <c r="O91" s="8">
        <f t="shared" si="42"/>
        <v>0.07325223505585884</v>
      </c>
      <c r="P91" s="8">
        <f t="shared" si="43"/>
        <v>0.485740099766347</v>
      </c>
      <c r="Q91" s="8">
        <f t="shared" si="44"/>
        <v>0.6239218886274328</v>
      </c>
      <c r="R91" s="8">
        <f t="shared" si="45"/>
        <v>0.06779950800763512</v>
      </c>
      <c r="S91" s="8">
        <f t="shared" si="46"/>
        <v>0.7603833865814694</v>
      </c>
      <c r="T91" s="8">
        <f t="shared" si="53"/>
        <v>1.9381964594130707</v>
      </c>
      <c r="U91" s="8">
        <f t="shared" si="47"/>
        <v>1.1499405530989417</v>
      </c>
      <c r="V91" s="8">
        <f t="shared" si="48"/>
        <v>3.343461545850683</v>
      </c>
      <c r="W91" s="8">
        <f t="shared" si="54"/>
        <v>1.9188527478726844</v>
      </c>
      <c r="X91" s="20">
        <f t="shared" si="49"/>
        <v>1.9936204146730465</v>
      </c>
      <c r="Y91" s="20">
        <f t="shared" si="50"/>
        <v>-0.042284688995215314</v>
      </c>
      <c r="Z91" s="22">
        <f t="shared" si="51"/>
        <v>3.5148609636141597</v>
      </c>
    </row>
    <row r="92" spans="7:26" ht="12.75">
      <c r="G92" s="9">
        <f t="shared" si="56"/>
        <v>265</v>
      </c>
      <c r="H92" s="9">
        <f t="shared" si="36"/>
        <v>0.08338022380520985</v>
      </c>
      <c r="I92" s="9">
        <f t="shared" si="37"/>
        <v>2.991678271723433</v>
      </c>
      <c r="J92" s="9">
        <f t="shared" si="38"/>
        <v>1.3551711155522654</v>
      </c>
      <c r="K92" s="9">
        <f t="shared" si="39"/>
        <v>1.3511171336047327</v>
      </c>
      <c r="L92" s="9">
        <f t="shared" si="40"/>
        <v>0.00045657096939147324</v>
      </c>
      <c r="M92" s="9">
        <f t="shared" si="41"/>
        <v>0.5213675213675214</v>
      </c>
      <c r="N92" s="9">
        <f t="shared" si="52"/>
        <v>1.915336932584451</v>
      </c>
      <c r="O92" s="9">
        <f t="shared" si="42"/>
        <v>0.07325223505585884</v>
      </c>
      <c r="P92" s="9">
        <f t="shared" si="43"/>
        <v>0.4786289419002138</v>
      </c>
      <c r="Q92" s="9">
        <f t="shared" si="44"/>
        <v>0.618803110178489</v>
      </c>
      <c r="R92" s="9">
        <f t="shared" si="45"/>
        <v>0.06779950800763512</v>
      </c>
      <c r="S92" s="9">
        <f t="shared" si="46"/>
        <v>0.7603833865814694</v>
      </c>
      <c r="T92" s="9">
        <f t="shared" si="53"/>
        <v>1.9356041342280745</v>
      </c>
      <c r="U92" s="9">
        <f t="shared" si="47"/>
        <v>1.147487947238191</v>
      </c>
      <c r="V92" s="9">
        <f t="shared" si="48"/>
        <v>3.343461545850683</v>
      </c>
      <c r="W92" s="9">
        <f t="shared" si="54"/>
        <v>1.915336932584451</v>
      </c>
      <c r="X92" s="20">
        <f t="shared" si="49"/>
        <v>1.98609731876862</v>
      </c>
      <c r="Y92" s="23">
        <f t="shared" si="50"/>
        <v>-0.04212512413108243</v>
      </c>
      <c r="Z92" s="24">
        <f t="shared" si="51"/>
        <v>3.5094991795785644</v>
      </c>
    </row>
    <row r="93" spans="7:26" ht="12.75">
      <c r="G93" s="8">
        <f t="shared" si="56"/>
        <v>266</v>
      </c>
      <c r="H93" s="8">
        <f t="shared" si="36"/>
        <v>0.0827544832483586</v>
      </c>
      <c r="I93" s="8">
        <f t="shared" si="37"/>
        <v>2.9823110601755998</v>
      </c>
      <c r="J93" s="8">
        <f t="shared" si="38"/>
        <v>1.3450161612074618</v>
      </c>
      <c r="K93" s="8">
        <f t="shared" si="39"/>
        <v>1.3409623773952664</v>
      </c>
      <c r="L93" s="8">
        <f t="shared" si="40"/>
        <v>0.00045657096939147324</v>
      </c>
      <c r="M93" s="8">
        <f t="shared" si="41"/>
        <v>0.5213675213675214</v>
      </c>
      <c r="N93" s="8">
        <f t="shared" si="52"/>
        <v>1.9118431652946093</v>
      </c>
      <c r="O93" s="8">
        <f t="shared" si="42"/>
        <v>0.07325223505585884</v>
      </c>
      <c r="P93" s="8">
        <f t="shared" si="43"/>
        <v>0.4716493564570061</v>
      </c>
      <c r="Q93" s="8">
        <f t="shared" si="44"/>
        <v>0.6137419537290426</v>
      </c>
      <c r="R93" s="8">
        <f t="shared" si="45"/>
        <v>0.06779950800763512</v>
      </c>
      <c r="S93" s="8">
        <f t="shared" si="46"/>
        <v>0.7603833865814694</v>
      </c>
      <c r="T93" s="8">
        <f t="shared" si="53"/>
        <v>1.933029111670213</v>
      </c>
      <c r="U93" s="8">
        <f t="shared" si="47"/>
        <v>1.1450537820230098</v>
      </c>
      <c r="V93" s="8">
        <f t="shared" si="48"/>
        <v>3.343461545850683</v>
      </c>
      <c r="W93" s="8">
        <f t="shared" si="54"/>
        <v>1.9118431652946093</v>
      </c>
      <c r="X93" s="20">
        <f t="shared" si="49"/>
        <v>1.9786307874950537</v>
      </c>
      <c r="Y93" s="20">
        <f t="shared" si="50"/>
        <v>-0.04196675900277008</v>
      </c>
      <c r="Z93" s="22">
        <f t="shared" si="51"/>
        <v>3.504159849534929</v>
      </c>
    </row>
    <row r="94" spans="7:26" ht="12.75">
      <c r="G94" s="9">
        <f t="shared" si="56"/>
        <v>267</v>
      </c>
      <c r="H94" s="9">
        <f t="shared" si="36"/>
        <v>0.0821357603097373</v>
      </c>
      <c r="I94" s="9">
        <f t="shared" si="37"/>
        <v>2.9730140150064037</v>
      </c>
      <c r="J94" s="9">
        <f t="shared" si="38"/>
        <v>1.3349750936675875</v>
      </c>
      <c r="K94" s="9">
        <f t="shared" si="39"/>
        <v>1.330921505768661</v>
      </c>
      <c r="L94" s="9">
        <f t="shared" si="40"/>
        <v>0.00045657096939147324</v>
      </c>
      <c r="M94" s="9">
        <f t="shared" si="41"/>
        <v>0.5213675213675214</v>
      </c>
      <c r="N94" s="9">
        <f t="shared" si="52"/>
        <v>1.9083712256539798</v>
      </c>
      <c r="O94" s="9">
        <f t="shared" si="42"/>
        <v>0.07325223505585884</v>
      </c>
      <c r="P94" s="9">
        <f t="shared" si="43"/>
        <v>0.4647984183833596</v>
      </c>
      <c r="Q94" s="9">
        <f t="shared" si="44"/>
        <v>0.6087375576467727</v>
      </c>
      <c r="R94" s="9">
        <f t="shared" si="45"/>
        <v>0.06779950800763512</v>
      </c>
      <c r="S94" s="9">
        <f t="shared" si="46"/>
        <v>0.7603833865814694</v>
      </c>
      <c r="T94" s="9">
        <f t="shared" si="53"/>
        <v>1.9304712177255068</v>
      </c>
      <c r="U94" s="9">
        <f t="shared" si="47"/>
        <v>1.1426378502551333</v>
      </c>
      <c r="V94" s="9">
        <f t="shared" si="48"/>
        <v>3.343461545850683</v>
      </c>
      <c r="W94" s="9">
        <f t="shared" si="54"/>
        <v>1.9083712256539798</v>
      </c>
      <c r="X94" s="20">
        <f t="shared" si="49"/>
        <v>1.9712201852946976</v>
      </c>
      <c r="Y94" s="23">
        <f t="shared" si="50"/>
        <v>-0.041809580130100533</v>
      </c>
      <c r="Z94" s="24">
        <f t="shared" si="51"/>
        <v>3.4988427810732348</v>
      </c>
    </row>
    <row r="95" spans="7:26" ht="12.75">
      <c r="G95" s="8">
        <f t="shared" si="56"/>
        <v>268</v>
      </c>
      <c r="H95" s="8">
        <f t="shared" si="36"/>
        <v>0.0815239504444317</v>
      </c>
      <c r="I95" s="8">
        <f t="shared" si="37"/>
        <v>2.963786350771305</v>
      </c>
      <c r="J95" s="8">
        <f t="shared" si="38"/>
        <v>1.3250462163048313</v>
      </c>
      <c r="K95" s="8">
        <f t="shared" si="39"/>
        <v>1.320992822130209</v>
      </c>
      <c r="L95" s="8">
        <f t="shared" si="40"/>
        <v>0.00045657096939147324</v>
      </c>
      <c r="M95" s="8">
        <f t="shared" si="41"/>
        <v>0.5213675213675214</v>
      </c>
      <c r="N95" s="8">
        <f t="shared" si="52"/>
        <v>1.9049208963300237</v>
      </c>
      <c r="O95" s="8">
        <f t="shared" si="42"/>
        <v>0.07325223505585884</v>
      </c>
      <c r="P95" s="8">
        <f t="shared" si="43"/>
        <v>0.45807327837555456</v>
      </c>
      <c r="Q95" s="8">
        <f t="shared" si="44"/>
        <v>0.603789076344541</v>
      </c>
      <c r="R95" s="8">
        <f t="shared" si="45"/>
        <v>0.06779950800763512</v>
      </c>
      <c r="S95" s="8">
        <f t="shared" si="46"/>
        <v>0.7603833865814694</v>
      </c>
      <c r="T95" s="8">
        <f t="shared" si="53"/>
        <v>1.9279302807645062</v>
      </c>
      <c r="U95" s="8">
        <f t="shared" si="47"/>
        <v>1.140239947828808</v>
      </c>
      <c r="V95" s="8">
        <f t="shared" si="48"/>
        <v>3.343461545850683</v>
      </c>
      <c r="W95" s="8">
        <f t="shared" si="54"/>
        <v>1.9049208963300237</v>
      </c>
      <c r="X95" s="20">
        <f t="shared" si="49"/>
        <v>1.9638648860958368</v>
      </c>
      <c r="Y95" s="20">
        <f t="shared" si="50"/>
        <v>-0.041653574234092695</v>
      </c>
      <c r="Z95" s="22">
        <f t="shared" si="51"/>
        <v>3.493547784158677</v>
      </c>
    </row>
    <row r="96" spans="7:26" ht="12.75">
      <c r="G96" s="9">
        <f t="shared" si="56"/>
        <v>269</v>
      </c>
      <c r="H96" s="9">
        <f t="shared" si="36"/>
        <v>0.08091895104712292</v>
      </c>
      <c r="I96" s="9">
        <f t="shared" si="37"/>
        <v>2.9546272937052405</v>
      </c>
      <c r="J96" s="9">
        <f t="shared" si="38"/>
        <v>1.3152278639684898</v>
      </c>
      <c r="K96" s="9">
        <f t="shared" si="39"/>
        <v>1.3111746613616952</v>
      </c>
      <c r="L96" s="9">
        <f t="shared" si="40"/>
        <v>0.00045657096939147324</v>
      </c>
      <c r="M96" s="9">
        <f t="shared" si="41"/>
        <v>0.5213675213675214</v>
      </c>
      <c r="N96" s="9">
        <f t="shared" si="52"/>
        <v>1.9014919629544775</v>
      </c>
      <c r="O96" s="9">
        <f t="shared" si="42"/>
        <v>0.07325223505585884</v>
      </c>
      <c r="P96" s="9">
        <f t="shared" si="43"/>
        <v>0.4514711606434414</v>
      </c>
      <c r="Q96" s="9">
        <f t="shared" si="44"/>
        <v>0.5988956799231733</v>
      </c>
      <c r="R96" s="9">
        <f t="shared" si="45"/>
        <v>0.06779950800763512</v>
      </c>
      <c r="S96" s="9">
        <f t="shared" si="46"/>
        <v>0.7603833865814694</v>
      </c>
      <c r="T96" s="9">
        <f t="shared" si="53"/>
        <v>1.9254061315008695</v>
      </c>
      <c r="U96" s="9">
        <f t="shared" si="47"/>
        <v>1.1378598736733108</v>
      </c>
      <c r="V96" s="9">
        <f t="shared" si="48"/>
        <v>3.343461545850683</v>
      </c>
      <c r="W96" s="9">
        <f t="shared" si="54"/>
        <v>1.9014919629544775</v>
      </c>
      <c r="X96" s="20">
        <f t="shared" si="49"/>
        <v>1.9565642731363728</v>
      </c>
      <c r="Y96" s="23">
        <f t="shared" si="50"/>
        <v>-0.04149872823322246</v>
      </c>
      <c r="Z96" s="24">
        <f t="shared" si="51"/>
        <v>3.4882746710935355</v>
      </c>
    </row>
    <row r="97" spans="7:26" ht="12.75">
      <c r="G97" s="8">
        <f t="shared" si="56"/>
        <v>270</v>
      </c>
      <c r="H97" s="8">
        <f t="shared" si="36"/>
        <v>0.08032066140906531</v>
      </c>
      <c r="I97" s="8">
        <f t="shared" si="37"/>
        <v>2.945536081506332</v>
      </c>
      <c r="J97" s="8">
        <f t="shared" si="38"/>
        <v>1.3055184022867716</v>
      </c>
      <c r="K97" s="8">
        <f t="shared" si="39"/>
        <v>1.3014653891232182</v>
      </c>
      <c r="L97" s="8">
        <f t="shared" si="40"/>
        <v>0.00045657096939147324</v>
      </c>
      <c r="M97" s="8">
        <f t="shared" si="41"/>
        <v>0.5213675213675214</v>
      </c>
      <c r="N97" s="8">
        <f t="shared" si="52"/>
        <v>1.8980842140720848</v>
      </c>
      <c r="O97" s="8">
        <f t="shared" si="42"/>
        <v>0.07325223505585884</v>
      </c>
      <c r="P97" s="8">
        <f t="shared" si="43"/>
        <v>0.44498936074839807</v>
      </c>
      <c r="Q97" s="8">
        <f t="shared" si="44"/>
        <v>0.594056553823485</v>
      </c>
      <c r="R97" s="8">
        <f t="shared" si="45"/>
        <v>0.06779950800763512</v>
      </c>
      <c r="S97" s="8">
        <f t="shared" si="46"/>
        <v>0.7603833865814694</v>
      </c>
      <c r="T97" s="8">
        <f t="shared" si="53"/>
        <v>1.9228986029508102</v>
      </c>
      <c r="U97" s="8">
        <f t="shared" si="47"/>
        <v>1.135497429696743</v>
      </c>
      <c r="V97" s="8">
        <f t="shared" si="48"/>
        <v>3.343461545850683</v>
      </c>
      <c r="W97" s="8">
        <f t="shared" si="54"/>
        <v>1.8980842140720848</v>
      </c>
      <c r="X97" s="20">
        <f t="shared" si="49"/>
        <v>1.9493177387914233</v>
      </c>
      <c r="Y97" s="20">
        <f t="shared" si="50"/>
        <v>-0.04134502923976609</v>
      </c>
      <c r="Z97" s="22">
        <f t="shared" si="51"/>
        <v>3.483023256479803</v>
      </c>
    </row>
    <row r="98" spans="7:26" ht="12.75">
      <c r="G98" s="9">
        <f t="shared" si="56"/>
        <v>271</v>
      </c>
      <c r="H98" s="9">
        <f t="shared" si="36"/>
        <v>0.07972898267617354</v>
      </c>
      <c r="I98" s="9">
        <f t="shared" si="37"/>
        <v>2.9365119631243894</v>
      </c>
      <c r="J98" s="9">
        <f t="shared" si="38"/>
        <v>1.2959162269866091</v>
      </c>
      <c r="K98" s="9">
        <f t="shared" si="39"/>
        <v>1.2918634011730106</v>
      </c>
      <c r="L98" s="9">
        <f t="shared" si="40"/>
        <v>0.00045657096939147324</v>
      </c>
      <c r="M98" s="9">
        <f t="shared" si="41"/>
        <v>0.5213675213675214</v>
      </c>
      <c r="N98" s="9">
        <f t="shared" si="52"/>
        <v>1.8946974410904045</v>
      </c>
      <c r="O98" s="9">
        <f t="shared" si="42"/>
        <v>0.07325223505585884</v>
      </c>
      <c r="P98" s="9">
        <f t="shared" si="43"/>
        <v>0.4386252435126001</v>
      </c>
      <c r="Q98" s="9">
        <f t="shared" si="44"/>
        <v>0.5892708984872793</v>
      </c>
      <c r="R98" s="9">
        <f t="shared" si="45"/>
        <v>0.06779950800763512</v>
      </c>
      <c r="S98" s="9">
        <f t="shared" si="46"/>
        <v>0.7603833865814694</v>
      </c>
      <c r="T98" s="9">
        <f t="shared" si="53"/>
        <v>1.9204075303933914</v>
      </c>
      <c r="U98" s="9">
        <f t="shared" si="47"/>
        <v>1.1331524207310724</v>
      </c>
      <c r="V98" s="9">
        <f t="shared" si="48"/>
        <v>3.343461545850683</v>
      </c>
      <c r="W98" s="9">
        <f t="shared" si="54"/>
        <v>1.8946974410904045</v>
      </c>
      <c r="X98" s="20">
        <f t="shared" si="49"/>
        <v>1.942124684404739</v>
      </c>
      <c r="Y98" s="23">
        <f t="shared" si="50"/>
        <v>-0.041192464556224516</v>
      </c>
      <c r="Z98" s="24">
        <f t="shared" si="51"/>
        <v>3.47779335718253</v>
      </c>
    </row>
    <row r="99" spans="7:26" ht="12.75">
      <c r="G99" s="8">
        <f t="shared" si="56"/>
        <v>272</v>
      </c>
      <c r="H99" s="8">
        <f t="shared" si="36"/>
        <v>0.07914381780818638</v>
      </c>
      <c r="I99" s="8">
        <f t="shared" si="37"/>
        <v>2.927554198554079</v>
      </c>
      <c r="J99" s="8">
        <f t="shared" si="38"/>
        <v>1.2864197632309362</v>
      </c>
      <c r="K99" s="8">
        <f t="shared" si="39"/>
        <v>1.2823671227047335</v>
      </c>
      <c r="L99" s="8">
        <f t="shared" si="40"/>
        <v>0.00045657096939147324</v>
      </c>
      <c r="M99" s="8">
        <f t="shared" si="41"/>
        <v>0.5213675213675214</v>
      </c>
      <c r="N99" s="8">
        <f t="shared" si="52"/>
        <v>1.8913314382306634</v>
      </c>
      <c r="O99" s="8">
        <f t="shared" si="42"/>
        <v>0.07325223505585884</v>
      </c>
      <c r="P99" s="8">
        <f t="shared" si="43"/>
        <v>0.4323762409970037</v>
      </c>
      <c r="Q99" s="8">
        <f t="shared" si="44"/>
        <v>0.5845379290270517</v>
      </c>
      <c r="R99" s="8">
        <f t="shared" si="45"/>
        <v>0.06779950800763512</v>
      </c>
      <c r="S99" s="8">
        <f t="shared" si="46"/>
        <v>0.7603833865814694</v>
      </c>
      <c r="T99" s="8">
        <f t="shared" si="53"/>
        <v>1.9179327513316538</v>
      </c>
      <c r="U99" s="8">
        <f t="shared" si="47"/>
        <v>1.1308246544783844</v>
      </c>
      <c r="V99" s="8">
        <f t="shared" si="48"/>
        <v>3.343461545850683</v>
      </c>
      <c r="W99" s="8">
        <f t="shared" si="54"/>
        <v>1.8913314382306634</v>
      </c>
      <c r="X99" s="20">
        <f t="shared" si="49"/>
        <v>1.9349845201238391</v>
      </c>
      <c r="Y99" s="20">
        <f t="shared" si="50"/>
        <v>-0.041041021671826626</v>
      </c>
      <c r="Z99" s="22">
        <f t="shared" si="51"/>
        <v>3.472584792293901</v>
      </c>
    </row>
    <row r="100" spans="7:26" ht="12.75">
      <c r="G100" s="9">
        <f t="shared" si="56"/>
        <v>273</v>
      </c>
      <c r="H100" s="9">
        <f t="shared" si="36"/>
        <v>0.07856507153887562</v>
      </c>
      <c r="I100" s="9">
        <f t="shared" si="37"/>
        <v>2.9186620586326364</v>
      </c>
      <c r="J100" s="9">
        <f t="shared" si="38"/>
        <v>1.2770274649729325</v>
      </c>
      <c r="K100" s="9">
        <f t="shared" si="39"/>
        <v>1.2729750077017323</v>
      </c>
      <c r="L100" s="9">
        <f t="shared" si="40"/>
        <v>0.00045657096939147324</v>
      </c>
      <c r="M100" s="9">
        <f t="shared" si="41"/>
        <v>0.5213675213675214</v>
      </c>
      <c r="N100" s="9">
        <f t="shared" si="52"/>
        <v>1.8879860024796273</v>
      </c>
      <c r="O100" s="9">
        <f t="shared" si="42"/>
        <v>0.07325223505585884</v>
      </c>
      <c r="P100" s="9">
        <f t="shared" si="43"/>
        <v>0.4262398505455364</v>
      </c>
      <c r="Q100" s="9">
        <f t="shared" si="44"/>
        <v>0.5798568749041502</v>
      </c>
      <c r="R100" s="9">
        <f t="shared" si="45"/>
        <v>0.06779950800763512</v>
      </c>
      <c r="S100" s="9">
        <f t="shared" si="46"/>
        <v>0.7603833865814694</v>
      </c>
      <c r="T100" s="9">
        <f t="shared" si="53"/>
        <v>1.9154741054545439</v>
      </c>
      <c r="U100" s="9">
        <f t="shared" si="47"/>
        <v>1.1285139414583174</v>
      </c>
      <c r="V100" s="9">
        <f t="shared" si="48"/>
        <v>3.343461545850683</v>
      </c>
      <c r="W100" s="9">
        <f t="shared" si="54"/>
        <v>1.8879860024796273</v>
      </c>
      <c r="X100" s="20">
        <f t="shared" si="49"/>
        <v>1.9278966647387703</v>
      </c>
      <c r="Y100" s="23">
        <f t="shared" si="50"/>
        <v>-0.04089068825910932</v>
      </c>
      <c r="Z100" s="24">
        <f t="shared" si="51"/>
        <v>3.4673973830980147</v>
      </c>
    </row>
    <row r="101" spans="7:26" ht="12.75">
      <c r="G101" s="8">
        <f aca="true" t="shared" si="57" ref="G101:G114">G100+1</f>
        <v>274</v>
      </c>
      <c r="H101" s="8">
        <f t="shared" si="36"/>
        <v>0.07799265033726974</v>
      </c>
      <c r="I101" s="8">
        <f t="shared" si="37"/>
        <v>2.9098348248420063</v>
      </c>
      <c r="J101" s="8">
        <f t="shared" si="38"/>
        <v>1.267737814326735</v>
      </c>
      <c r="K101" s="8">
        <f t="shared" si="39"/>
        <v>1.2636855383077588</v>
      </c>
      <c r="L101" s="8">
        <f t="shared" si="40"/>
        <v>0.00045657096939147324</v>
      </c>
      <c r="M101" s="8">
        <f t="shared" si="41"/>
        <v>0.5213675213675214</v>
      </c>
      <c r="N101" s="8">
        <f t="shared" si="52"/>
        <v>1.8846609335424738</v>
      </c>
      <c r="O101" s="8">
        <f t="shared" si="42"/>
        <v>0.07325223505585884</v>
      </c>
      <c r="P101" s="8">
        <f t="shared" si="43"/>
        <v>0.420213632893098</v>
      </c>
      <c r="Q101" s="8">
        <f t="shared" si="44"/>
        <v>0.575226979615141</v>
      </c>
      <c r="R101" s="8">
        <f t="shared" si="45"/>
        <v>0.06779950800763512</v>
      </c>
      <c r="S101" s="8">
        <f t="shared" si="46"/>
        <v>0.7603833865814694</v>
      </c>
      <c r="T101" s="8">
        <f t="shared" si="53"/>
        <v>1.9130314345996395</v>
      </c>
      <c r="U101" s="8">
        <f t="shared" si="47"/>
        <v>1.1262200949566445</v>
      </c>
      <c r="V101" s="8">
        <f t="shared" si="48"/>
        <v>3.343461545850683</v>
      </c>
      <c r="W101" s="8">
        <f t="shared" si="54"/>
        <v>1.8846609335424738</v>
      </c>
      <c r="X101" s="20">
        <f t="shared" si="49"/>
        <v>1.9208605455243952</v>
      </c>
      <c r="Y101" s="20">
        <f t="shared" si="50"/>
        <v>-0.04074145217057242</v>
      </c>
      <c r="Z101" s="22">
        <f t="shared" si="51"/>
        <v>3.4622309530363276</v>
      </c>
    </row>
    <row r="102" spans="7:26" ht="12.75">
      <c r="G102" s="9">
        <f t="shared" si="57"/>
        <v>275</v>
      </c>
      <c r="H102" s="9">
        <f t="shared" si="36"/>
        <v>0.07742646236986263</v>
      </c>
      <c r="I102" s="9">
        <f t="shared" si="37"/>
        <v>2.9010717891153077</v>
      </c>
      <c r="J102" s="9">
        <f t="shared" si="38"/>
        <v>1.2585493209541323</v>
      </c>
      <c r="K102" s="9">
        <f t="shared" si="39"/>
        <v>1.2544972242136807</v>
      </c>
      <c r="L102" s="9">
        <f t="shared" si="40"/>
        <v>0.00045657096939147324</v>
      </c>
      <c r="M102" s="9">
        <f t="shared" si="41"/>
        <v>0.5213675213675214</v>
      </c>
      <c r="N102" s="9">
        <f t="shared" si="52"/>
        <v>1.8813560337966293</v>
      </c>
      <c r="O102" s="9">
        <f t="shared" si="42"/>
        <v>0.07325223505585884</v>
      </c>
      <c r="P102" s="9">
        <f t="shared" si="43"/>
        <v>0.4142952103350622</v>
      </c>
      <c r="Q102" s="9">
        <f t="shared" si="44"/>
        <v>0.5706475003861436</v>
      </c>
      <c r="R102" s="9">
        <f t="shared" si="45"/>
        <v>0.06779950800763512</v>
      </c>
      <c r="S102" s="9">
        <f t="shared" si="46"/>
        <v>0.7603833865814694</v>
      </c>
      <c r="T102" s="9">
        <f t="shared" si="53"/>
        <v>1.9106045827166342</v>
      </c>
      <c r="U102" s="9">
        <f t="shared" si="47"/>
        <v>1.123942930974984</v>
      </c>
      <c r="V102" s="9">
        <f t="shared" si="48"/>
        <v>3.343461545850683</v>
      </c>
      <c r="W102" s="9">
        <f t="shared" si="54"/>
        <v>1.8813560337966293</v>
      </c>
      <c r="X102" s="20">
        <f t="shared" si="49"/>
        <v>1.9138755980861246</v>
      </c>
      <c r="Y102" s="23">
        <f t="shared" si="50"/>
        <v>-0.040593301435406695</v>
      </c>
      <c r="Z102" s="24">
        <f t="shared" si="51"/>
        <v>3.4570853276737954</v>
      </c>
    </row>
    <row r="103" spans="7:26" ht="12.75">
      <c r="G103" s="8">
        <f t="shared" si="57"/>
        <v>276</v>
      </c>
      <c r="H103" s="8">
        <f aca="true" t="shared" si="58" ref="H103:H134">(Iout*(Vout_nom^2)*2.5*Rsense*K_1)/(eff*(G103^2)*K_FQ)*us</f>
        <v>0.07686641746377944</v>
      </c>
      <c r="I103" s="8">
        <f aca="true" t="shared" si="59" ref="I103:I134">(1*10^-9*(5*10^8*SQRT(fsw*kHz)+(1.09655978*10^10)*SQRT(ftyp)*SQRT(H103)))/SQRT(fsw*kHz)</f>
        <v>2.892372253647499</v>
      </c>
      <c r="J103" s="8">
        <f aca="true" t="shared" si="60" ref="J103:J134">(b_1^3/(27*a_1^3))-(d_1^3/27)+SQRT((ftyp)^2*H103^2/(4*a_1^2*c_1^2*(fsw*kHz)^2))+(b_1^3*(ftyp)*H103/(27*a_1^4*c_1*(fsw*kHz))-(d_1^3*(ftyp)*H103/(27*a_1*c_1*(fsw*kHz)))+(b_1*d_1^2*(ftyp)*H103/(9*a_1^2*c_1*(fsw*kHz)))-(b_1^2*d_1*(ftyp)*H103/(9*a_1^3*c_1*(fsw*kHz))))</f>
        <v>1.249460521466797</v>
      </c>
      <c r="K103" s="8">
        <f aca="true" t="shared" si="61" ref="K103:K134">(b_1*d_1^2/(9*a_1))-(b_1^2*d_1/(9*a_1^2))+(ftyp*H103/(2*a_1*c_1*fsw*kHz))</f>
        <v>1.2454086020597226</v>
      </c>
      <c r="L103" s="8">
        <f aca="true" t="shared" si="62" ref="L103:L134">(d_1^2/9)+(b_1^2/(9*a_1^2))-(2*b_1*d_1/(9*a_1))</f>
        <v>0.00045657096939147324</v>
      </c>
      <c r="M103" s="8">
        <f aca="true" t="shared" si="63" ref="M103:M134">((b_1*c_1*fsw*kHz)+(2*a_1*c_1*d_1*fsw*kHz))/(3*a_1*c_1*fsw*kHz)</f>
        <v>0.5213675213675214</v>
      </c>
      <c r="N103" s="8">
        <f t="shared" si="52"/>
        <v>1.8780711082465626</v>
      </c>
      <c r="O103" s="8">
        <f aca="true" t="shared" si="64" ref="O103:O134">(b_2^3/(27*a_2^3))-(d_2^3/27)</f>
        <v>0.07325223505585884</v>
      </c>
      <c r="P103" s="8">
        <f aca="true" t="shared" si="65" ref="P103:P134">(ftyp^2*H103^2/(4*a_2^2*c_2^2*(fsw*kHz)^2))+(b_2^3*ftyp*H103/(27*a_2^4*c_2*(fsw*kHz)))-(d_2^3*ftyp*H103/(27*a_2*c_2*(fsw*kHz)))+(b_2*d_2^2*ftyp*H103/(9*a_2^2*c_2*(fsw*kHz)))-(b_2^2*d_2*ftyp*H103/(9*a_2^3*c_2*(fsw*kHz)))</f>
        <v>0.4084822649560706</v>
      </c>
      <c r="Q103" s="8">
        <f aca="true" t="shared" si="66" ref="Q103:Q134">(b_2*d_2^2/(9*a_2))-(b_2^2*d_2/(9*a_2^2))+(ftyp*H103/(2*a_2*c_2*(fsw*kHz)))</f>
        <v>0.5661177078749058</v>
      </c>
      <c r="R103" s="8">
        <f aca="true" t="shared" si="67" ref="R103:R134">(d_2^2/9)+(b_2^2/(9*a_2^2))-(2*b_2*d_2/(9*a_2))</f>
        <v>0.06779950800763512</v>
      </c>
      <c r="S103" s="8">
        <f aca="true" t="shared" si="68" ref="S103:S134">(b_2*c_2*(fsw*kHz)+2*a_2*c_2*d_2*(fsw*kHz))/(3*a_2*c_2*(fsw*kHz))</f>
        <v>0.7603833865814694</v>
      </c>
      <c r="T103" s="8">
        <f t="shared" si="53"/>
        <v>1.9081933958315824</v>
      </c>
      <c r="U103" s="8">
        <f aca="true" t="shared" si="69" ref="U103:U134">c_3+(SQRT(ftyp)*SQRT(H103)/(SQRT(a_3)*SQRT(b_3)*SQRT(fsw*kHz)))</f>
        <v>1.1216822681815963</v>
      </c>
      <c r="V103" s="8">
        <f aca="true" t="shared" si="70" ref="V103:V134">(a_4*(fsw*kHz)*b_4/ftyp)</f>
        <v>3.343461545850683</v>
      </c>
      <c r="W103" s="8">
        <f t="shared" si="54"/>
        <v>1.8780711082465626</v>
      </c>
      <c r="X103" s="20">
        <f aca="true" t="shared" si="71" ref="X103:X134">Pin_max/G103</f>
        <v>1.906941266209001</v>
      </c>
      <c r="Y103" s="20">
        <f aca="true" t="shared" si="72" ref="Y103:Y134">-X103*Rsense*1.414</f>
        <v>-0.04044622425629291</v>
      </c>
      <c r="Z103" s="22">
        <f aca="true" t="shared" si="73" ref="Z103:Z134">MIN(6,MAX(0.5,Beta*G*($Y103-Voff_trim)/(MAX(0,MIN(4.5,W103)-Alpha1_A)+MAX(0,MIN(4.5,W103)-Alpha1_B)-Alpha1_C)+Alpha2))</f>
        <v>3.451960334665643</v>
      </c>
    </row>
    <row r="104" spans="7:26" ht="12.75">
      <c r="G104" s="9">
        <f t="shared" si="57"/>
        <v>277</v>
      </c>
      <c r="H104" s="9">
        <f t="shared" si="58"/>
        <v>0.076312427070871</v>
      </c>
      <c r="I104" s="9">
        <f t="shared" si="59"/>
        <v>2.8837355307101435</v>
      </c>
      <c r="J104" s="9">
        <f t="shared" si="60"/>
        <v>1.2404699788435831</v>
      </c>
      <c r="K104" s="9">
        <f t="shared" si="61"/>
        <v>1.2364182348527766</v>
      </c>
      <c r="L104" s="9">
        <f t="shared" si="62"/>
        <v>0.00045657096939147324</v>
      </c>
      <c r="M104" s="9">
        <f t="shared" si="63"/>
        <v>0.5213675213675214</v>
      </c>
      <c r="N104" s="9">
        <f t="shared" si="52"/>
        <v>1.874805964479496</v>
      </c>
      <c r="O104" s="9">
        <f t="shared" si="64"/>
        <v>0.07325223505585884</v>
      </c>
      <c r="P104" s="9">
        <f t="shared" si="65"/>
        <v>0.4027725369159835</v>
      </c>
      <c r="Q104" s="9">
        <f t="shared" si="66"/>
        <v>0.5616368858803895</v>
      </c>
      <c r="R104" s="9">
        <f t="shared" si="67"/>
        <v>0.06779950800763512</v>
      </c>
      <c r="S104" s="9">
        <f t="shared" si="68"/>
        <v>0.7603833865814694</v>
      </c>
      <c r="T104" s="9">
        <f t="shared" si="53"/>
        <v>1.9057977220118683</v>
      </c>
      <c r="U104" s="9">
        <f t="shared" si="69"/>
        <v>1.1194379278632511</v>
      </c>
      <c r="V104" s="9">
        <f t="shared" si="70"/>
        <v>3.343461545850683</v>
      </c>
      <c r="W104" s="9">
        <f t="shared" si="54"/>
        <v>1.874805964479496</v>
      </c>
      <c r="X104" s="20">
        <f t="shared" si="71"/>
        <v>1.9000570017100515</v>
      </c>
      <c r="Y104" s="23">
        <f t="shared" si="72"/>
        <v>-0.04030020900627019</v>
      </c>
      <c r="Z104" s="24">
        <f t="shared" si="73"/>
        <v>3.4468558037247865</v>
      </c>
    </row>
    <row r="105" spans="7:26" ht="12.75">
      <c r="G105" s="8">
        <f t="shared" si="57"/>
        <v>278</v>
      </c>
      <c r="H105" s="8">
        <f t="shared" si="58"/>
        <v>0.07576440423271132</v>
      </c>
      <c r="I105" s="8">
        <f t="shared" si="59"/>
        <v>2.875160942470179</v>
      </c>
      <c r="J105" s="8">
        <f t="shared" si="60"/>
        <v>1.2315762818624807</v>
      </c>
      <c r="K105" s="8">
        <f t="shared" si="61"/>
        <v>1.2275247113983674</v>
      </c>
      <c r="L105" s="8">
        <f t="shared" si="62"/>
        <v>0.00045657096939147324</v>
      </c>
      <c r="M105" s="8">
        <f t="shared" si="63"/>
        <v>0.5213675213675214</v>
      </c>
      <c r="N105" s="8">
        <f t="shared" si="52"/>
        <v>1.8715604126220269</v>
      </c>
      <c r="O105" s="8">
        <f t="shared" si="64"/>
        <v>0.07325223505585884</v>
      </c>
      <c r="P105" s="8">
        <f t="shared" si="65"/>
        <v>0.397163822790955</v>
      </c>
      <c r="Q105" s="8">
        <f t="shared" si="66"/>
        <v>0.5572043310596616</v>
      </c>
      <c r="R105" s="8">
        <f t="shared" si="67"/>
        <v>0.06779950800763512</v>
      </c>
      <c r="S105" s="8">
        <f t="shared" si="68"/>
        <v>0.7603833865814694</v>
      </c>
      <c r="T105" s="8">
        <f t="shared" si="53"/>
        <v>1.903417411331894</v>
      </c>
      <c r="U105" s="8">
        <f t="shared" si="69"/>
        <v>1.1172097338781315</v>
      </c>
      <c r="V105" s="8">
        <f t="shared" si="70"/>
        <v>3.343461545850683</v>
      </c>
      <c r="W105" s="8">
        <f t="shared" si="54"/>
        <v>1.8715604126220269</v>
      </c>
      <c r="X105" s="20">
        <f t="shared" si="71"/>
        <v>1.8932222642938283</v>
      </c>
      <c r="Y105" s="20">
        <f t="shared" si="72"/>
        <v>-0.04015524422567209</v>
      </c>
      <c r="Z105" s="22">
        <f t="shared" si="73"/>
        <v>3.4417715665898743</v>
      </c>
    </row>
    <row r="106" spans="7:26" ht="12.75">
      <c r="G106" s="9">
        <f t="shared" si="57"/>
        <v>279</v>
      </c>
      <c r="H106" s="9">
        <f t="shared" si="58"/>
        <v>0.07522226354647116</v>
      </c>
      <c r="I106" s="9">
        <f t="shared" si="59"/>
        <v>2.8666478208125796</v>
      </c>
      <c r="J106" s="9">
        <f t="shared" si="60"/>
        <v>1.2227780445467906</v>
      </c>
      <c r="K106" s="9">
        <f t="shared" si="61"/>
        <v>1.2187266457468384</v>
      </c>
      <c r="L106" s="9">
        <f t="shared" si="62"/>
        <v>0.00045657096939147324</v>
      </c>
      <c r="M106" s="9">
        <f t="shared" si="63"/>
        <v>0.5213675213675214</v>
      </c>
      <c r="N106" s="9">
        <f t="shared" si="52"/>
        <v>1.868334265297623</v>
      </c>
      <c r="O106" s="9">
        <f t="shared" si="64"/>
        <v>0.07325223505585884</v>
      </c>
      <c r="P106" s="9">
        <f t="shared" si="65"/>
        <v>0.3916539739676589</v>
      </c>
      <c r="Q106" s="9">
        <f t="shared" si="66"/>
        <v>0.5528193526518709</v>
      </c>
      <c r="R106" s="9">
        <f t="shared" si="67"/>
        <v>0.06779950800763512</v>
      </c>
      <c r="S106" s="9">
        <f t="shared" si="68"/>
        <v>0.7603833865814694</v>
      </c>
      <c r="T106" s="9">
        <f t="shared" si="53"/>
        <v>1.9010523158394657</v>
      </c>
      <c r="U106" s="9">
        <f t="shared" si="69"/>
        <v>1.1149975126097513</v>
      </c>
      <c r="V106" s="9">
        <f t="shared" si="70"/>
        <v>3.343461545850683</v>
      </c>
      <c r="W106" s="9">
        <f t="shared" si="54"/>
        <v>1.868334265297623</v>
      </c>
      <c r="X106" s="20">
        <f t="shared" si="71"/>
        <v>1.8864365214110548</v>
      </c>
      <c r="Y106" s="23">
        <f t="shared" si="72"/>
        <v>-0.04001131861912847</v>
      </c>
      <c r="Z106" s="24">
        <f t="shared" si="73"/>
        <v>3.4367074569939438</v>
      </c>
    </row>
    <row r="107" spans="7:26" ht="12.75">
      <c r="G107" s="8">
        <f t="shared" si="57"/>
        <v>280</v>
      </c>
      <c r="H107" s="8">
        <f t="shared" si="58"/>
        <v>0.07468592113164366</v>
      </c>
      <c r="I107" s="8">
        <f t="shared" si="59"/>
        <v>2.8581955071668204</v>
      </c>
      <c r="J107" s="8">
        <f t="shared" si="60"/>
        <v>1.214073905625123</v>
      </c>
      <c r="K107" s="8">
        <f t="shared" si="61"/>
        <v>1.2100226766533593</v>
      </c>
      <c r="L107" s="8">
        <f t="shared" si="62"/>
        <v>0.00045657096939147324</v>
      </c>
      <c r="M107" s="8">
        <f t="shared" si="63"/>
        <v>0.5213675213675214</v>
      </c>
      <c r="N107" s="8">
        <f t="shared" si="52"/>
        <v>1.8651273375849877</v>
      </c>
      <c r="O107" s="8">
        <f t="shared" si="64"/>
        <v>0.07325223505585884</v>
      </c>
      <c r="P107" s="8">
        <f t="shared" si="65"/>
        <v>0.38624089508878584</v>
      </c>
      <c r="Q107" s="8">
        <f t="shared" si="66"/>
        <v>0.5484812722091145</v>
      </c>
      <c r="R107" s="8">
        <f t="shared" si="67"/>
        <v>0.06779950800763512</v>
      </c>
      <c r="S107" s="8">
        <f t="shared" si="68"/>
        <v>0.7603833865814694</v>
      </c>
      <c r="T107" s="8">
        <f t="shared" si="53"/>
        <v>1.8987022895228591</v>
      </c>
      <c r="U107" s="8">
        <f t="shared" si="69"/>
        <v>1.1128010929218592</v>
      </c>
      <c r="V107" s="8">
        <f t="shared" si="70"/>
        <v>3.343461545850683</v>
      </c>
      <c r="W107" s="8">
        <f t="shared" si="54"/>
        <v>1.8651273375849877</v>
      </c>
      <c r="X107" s="20">
        <f t="shared" si="71"/>
        <v>1.879699248120301</v>
      </c>
      <c r="Y107" s="20">
        <f t="shared" si="72"/>
        <v>-0.03986842105263158</v>
      </c>
      <c r="Z107" s="22">
        <f t="shared" si="73"/>
        <v>3.431663310633661</v>
      </c>
    </row>
    <row r="108" spans="7:26" ht="12.75">
      <c r="G108" s="9">
        <f t="shared" si="57"/>
        <v>281</v>
      </c>
      <c r="H108" s="9">
        <f t="shared" si="58"/>
        <v>0.07415529459759707</v>
      </c>
      <c r="I108" s="9">
        <f t="shared" si="59"/>
        <v>2.849803352337045</v>
      </c>
      <c r="J108" s="9">
        <f t="shared" si="60"/>
        <v>1.2054625280048206</v>
      </c>
      <c r="K108" s="9">
        <f t="shared" si="61"/>
        <v>1.201411467051361</v>
      </c>
      <c r="L108" s="9">
        <f t="shared" si="62"/>
        <v>0.00045657096939147324</v>
      </c>
      <c r="M108" s="9">
        <f t="shared" si="63"/>
        <v>0.5213675213675214</v>
      </c>
      <c r="N108" s="9">
        <f t="shared" si="52"/>
        <v>1.861939446977257</v>
      </c>
      <c r="O108" s="9">
        <f t="shared" si="64"/>
        <v>0.07325223505585884</v>
      </c>
      <c r="P108" s="9">
        <f t="shared" si="65"/>
        <v>0.3809225425479967</v>
      </c>
      <c r="Q108" s="9">
        <f t="shared" si="66"/>
        <v>0.544189423333997</v>
      </c>
      <c r="R108" s="9">
        <f t="shared" si="67"/>
        <v>0.06779950800763512</v>
      </c>
      <c r="S108" s="9">
        <f t="shared" si="68"/>
        <v>0.7603833865814694</v>
      </c>
      <c r="T108" s="9">
        <f t="shared" si="53"/>
        <v>1.8963671882785489</v>
      </c>
      <c r="U108" s="9">
        <f t="shared" si="69"/>
        <v>1.110620306114308</v>
      </c>
      <c r="V108" s="9">
        <f t="shared" si="70"/>
        <v>3.343461545850683</v>
      </c>
      <c r="W108" s="9">
        <f t="shared" si="54"/>
        <v>1.861939446977257</v>
      </c>
      <c r="X108" s="20">
        <f t="shared" si="71"/>
        <v>1.873009926952613</v>
      </c>
      <c r="Y108" s="23">
        <f t="shared" si="72"/>
        <v>-0.03972654055066492</v>
      </c>
      <c r="Z108" s="24">
        <f t="shared" si="73"/>
        <v>3.42663896513916</v>
      </c>
    </row>
    <row r="109" spans="7:26" ht="12.75">
      <c r="G109" s="8">
        <f t="shared" si="57"/>
        <v>282</v>
      </c>
      <c r="H109" s="8">
        <f t="shared" si="58"/>
        <v>0.07363030301193177</v>
      </c>
      <c r="I109" s="8">
        <f t="shared" si="59"/>
        <v>2.8414707163358504</v>
      </c>
      <c r="J109" s="8">
        <f t="shared" si="60"/>
        <v>1.1969425982584347</v>
      </c>
      <c r="K109" s="8">
        <f t="shared" si="61"/>
        <v>1.1928917035390212</v>
      </c>
      <c r="L109" s="8">
        <f t="shared" si="62"/>
        <v>0.00045657096939147324</v>
      </c>
      <c r="M109" s="8">
        <f t="shared" si="63"/>
        <v>0.5213675213675214</v>
      </c>
      <c r="N109" s="8">
        <f t="shared" si="52"/>
        <v>1.8587704133420218</v>
      </c>
      <c r="O109" s="8">
        <f t="shared" si="64"/>
        <v>0.07325223505585884</v>
      </c>
      <c r="P109" s="8">
        <f t="shared" si="65"/>
        <v>0.375696923032589</v>
      </c>
      <c r="Q109" s="8">
        <f t="shared" si="66"/>
        <v>0.5399431514236935</v>
      </c>
      <c r="R109" s="8">
        <f t="shared" si="67"/>
        <v>0.06779950800763512</v>
      </c>
      <c r="S109" s="8">
        <f t="shared" si="68"/>
        <v>0.7603833865814694</v>
      </c>
      <c r="T109" s="8">
        <f t="shared" si="53"/>
        <v>1.8940468698795918</v>
      </c>
      <c r="U109" s="8">
        <f t="shared" si="69"/>
        <v>1.1084549858798605</v>
      </c>
      <c r="V109" s="8">
        <f t="shared" si="70"/>
        <v>3.343461545850683</v>
      </c>
      <c r="W109" s="8">
        <f t="shared" si="54"/>
        <v>1.8587704133420218</v>
      </c>
      <c r="X109" s="20">
        <f t="shared" si="71"/>
        <v>1.8663680477790223</v>
      </c>
      <c r="Y109" s="20">
        <f t="shared" si="72"/>
        <v>-0.039585666293393065</v>
      </c>
      <c r="Z109" s="22">
        <f t="shared" si="73"/>
        <v>3.4216342600444394</v>
      </c>
    </row>
    <row r="110" spans="7:26" ht="12.75">
      <c r="G110" s="9">
        <f t="shared" si="57"/>
        <v>283</v>
      </c>
      <c r="H110" s="9">
        <f t="shared" si="58"/>
        <v>0.07311086686961832</v>
      </c>
      <c r="I110" s="9">
        <f t="shared" si="59"/>
        <v>2.8331969682215883</v>
      </c>
      <c r="J110" s="9">
        <f t="shared" si="60"/>
        <v>1.1885128261228755</v>
      </c>
      <c r="K110" s="9">
        <f t="shared" si="61"/>
        <v>1.1844620958784253</v>
      </c>
      <c r="L110" s="9">
        <f t="shared" si="62"/>
        <v>0.00045657096939147324</v>
      </c>
      <c r="M110" s="9">
        <f t="shared" si="63"/>
        <v>0.5213675213675214</v>
      </c>
      <c r="N110" s="9">
        <f t="shared" si="52"/>
        <v>1.8556200588821499</v>
      </c>
      <c r="O110" s="9">
        <f t="shared" si="64"/>
        <v>0.07325223505585884</v>
      </c>
      <c r="P110" s="9">
        <f t="shared" si="65"/>
        <v>0.37056209211219937</v>
      </c>
      <c r="Q110" s="9">
        <f t="shared" si="66"/>
        <v>0.5357418134203294</v>
      </c>
      <c r="R110" s="9">
        <f t="shared" si="67"/>
        <v>0.06779950800763512</v>
      </c>
      <c r="S110" s="9">
        <f t="shared" si="68"/>
        <v>0.7603833865814694</v>
      </c>
      <c r="T110" s="9">
        <f t="shared" si="53"/>
        <v>1.8917411939446391</v>
      </c>
      <c r="U110" s="9">
        <f t="shared" si="69"/>
        <v>1.1063049682619104</v>
      </c>
      <c r="V110" s="9">
        <f t="shared" si="70"/>
        <v>3.343461545850683</v>
      </c>
      <c r="W110" s="9">
        <f t="shared" si="54"/>
        <v>1.8556200588821499</v>
      </c>
      <c r="X110" s="20">
        <f t="shared" si="71"/>
        <v>1.8597731076808632</v>
      </c>
      <c r="Y110" s="23">
        <f t="shared" si="72"/>
        <v>-0.039445787613911105</v>
      </c>
      <c r="Z110" s="24">
        <f t="shared" si="73"/>
        <v>3.4166490367583164</v>
      </c>
    </row>
    <row r="111" spans="7:26" ht="12.75">
      <c r="G111" s="8">
        <f t="shared" si="57"/>
        <v>284</v>
      </c>
      <c r="H111" s="8">
        <f t="shared" si="58"/>
        <v>0.07259690806289502</v>
      </c>
      <c r="I111" s="8">
        <f t="shared" si="59"/>
        <v>2.8249814859391185</v>
      </c>
      <c r="J111" s="8">
        <f t="shared" si="60"/>
        <v>1.1801719440108895</v>
      </c>
      <c r="K111" s="8">
        <f t="shared" si="61"/>
        <v>1.1761213765070517</v>
      </c>
      <c r="L111" s="8">
        <f t="shared" si="62"/>
        <v>0.00045657096939147324</v>
      </c>
      <c r="M111" s="8">
        <f t="shared" si="63"/>
        <v>0.5213675213675214</v>
      </c>
      <c r="N111" s="8">
        <f t="shared" si="52"/>
        <v>1.8524882080973892</v>
      </c>
      <c r="O111" s="8">
        <f t="shared" si="64"/>
        <v>0.07325223505585884</v>
      </c>
      <c r="P111" s="8">
        <f t="shared" si="65"/>
        <v>0.3655161528719357</v>
      </c>
      <c r="Q111" s="8">
        <f t="shared" si="66"/>
        <v>0.5315847775675042</v>
      </c>
      <c r="R111" s="8">
        <f t="shared" si="67"/>
        <v>0.06779950800763512</v>
      </c>
      <c r="S111" s="8">
        <f t="shared" si="68"/>
        <v>0.7603833865814694</v>
      </c>
      <c r="T111" s="8">
        <f t="shared" si="53"/>
        <v>1.8894500219075687</v>
      </c>
      <c r="U111" s="8">
        <f t="shared" si="69"/>
        <v>1.1041700916131005</v>
      </c>
      <c r="V111" s="8">
        <f t="shared" si="70"/>
        <v>3.343461545850683</v>
      </c>
      <c r="W111" s="8">
        <f t="shared" si="54"/>
        <v>1.8524882080973892</v>
      </c>
      <c r="X111" s="20">
        <f t="shared" si="71"/>
        <v>1.8532246108228319</v>
      </c>
      <c r="Y111" s="20">
        <f t="shared" si="72"/>
        <v>-0.03930689399555226</v>
      </c>
      <c r="Z111" s="22">
        <f t="shared" si="73"/>
        <v>3.4116831385359356</v>
      </c>
    </row>
    <row r="112" spans="7:26" ht="12.75">
      <c r="G112" s="9">
        <f t="shared" si="57"/>
        <v>285</v>
      </c>
      <c r="H112" s="9">
        <f t="shared" si="58"/>
        <v>0.0720883498519035</v>
      </c>
      <c r="I112" s="9">
        <f t="shared" si="59"/>
        <v>2.8168236561638933</v>
      </c>
      <c r="J112" s="9">
        <f t="shared" si="60"/>
        <v>1.1719187065345122</v>
      </c>
      <c r="K112" s="9">
        <f t="shared" si="61"/>
        <v>1.1678683000612349</v>
      </c>
      <c r="L112" s="9">
        <f t="shared" si="62"/>
        <v>0.00045657096939147324</v>
      </c>
      <c r="M112" s="9">
        <f t="shared" si="63"/>
        <v>0.5213675213675214</v>
      </c>
      <c r="N112" s="9">
        <f t="shared" si="52"/>
        <v>1.8493746877467365</v>
      </c>
      <c r="O112" s="9">
        <f t="shared" si="64"/>
        <v>0.07325223505585884</v>
      </c>
      <c r="P112" s="9">
        <f t="shared" si="65"/>
        <v>0.3605572545883847</v>
      </c>
      <c r="Q112" s="9">
        <f t="shared" si="66"/>
        <v>0.5274714231727841</v>
      </c>
      <c r="R112" s="9">
        <f t="shared" si="67"/>
        <v>0.06779950800763512</v>
      </c>
      <c r="S112" s="9">
        <f t="shared" si="68"/>
        <v>0.7603833865814694</v>
      </c>
      <c r="T112" s="9">
        <f t="shared" si="53"/>
        <v>1.8871732169877244</v>
      </c>
      <c r="U112" s="9">
        <f t="shared" si="69"/>
        <v>1.102050196554809</v>
      </c>
      <c r="V112" s="9">
        <f t="shared" si="70"/>
        <v>3.343461545850683</v>
      </c>
      <c r="W112" s="9">
        <f t="shared" si="54"/>
        <v>1.8493746877467365</v>
      </c>
      <c r="X112" s="20">
        <f t="shared" si="71"/>
        <v>1.8467220683287167</v>
      </c>
      <c r="Y112" s="23">
        <f t="shared" si="72"/>
        <v>-0.03916897506925208</v>
      </c>
      <c r="Z112" s="24">
        <f t="shared" si="73"/>
        <v>3.4067364104508</v>
      </c>
    </row>
    <row r="113" spans="7:26" ht="12.75">
      <c r="G113" s="8">
        <f t="shared" si="57"/>
        <v>286</v>
      </c>
      <c r="H113" s="8">
        <f t="shared" si="58"/>
        <v>0.07158511683604163</v>
      </c>
      <c r="I113" s="8">
        <f t="shared" si="59"/>
        <v>2.8087228741493346</v>
      </c>
      <c r="J113" s="8">
        <f t="shared" si="60"/>
        <v>1.1637518900401649</v>
      </c>
      <c r="K113" s="8">
        <f t="shared" si="61"/>
        <v>1.1597016429112708</v>
      </c>
      <c r="L113" s="8">
        <f t="shared" si="62"/>
        <v>0.00045657096939147324</v>
      </c>
      <c r="M113" s="8">
        <f t="shared" si="63"/>
        <v>0.5213675213675214</v>
      </c>
      <c r="N113" s="8">
        <f t="shared" si="52"/>
        <v>1.846279326811552</v>
      </c>
      <c r="O113" s="8">
        <f t="shared" si="64"/>
        <v>0.07325223505585884</v>
      </c>
      <c r="P113" s="8">
        <f t="shared" si="65"/>
        <v>0.35568359144700823</v>
      </c>
      <c r="Q113" s="8">
        <f t="shared" si="66"/>
        <v>0.5234011403759968</v>
      </c>
      <c r="R113" s="8">
        <f t="shared" si="67"/>
        <v>0.06779950800763512</v>
      </c>
      <c r="S113" s="8">
        <f t="shared" si="68"/>
        <v>0.7603833865814694</v>
      </c>
      <c r="T113" s="8">
        <f t="shared" si="53"/>
        <v>1.8849106441607417</v>
      </c>
      <c r="U113" s="8">
        <f t="shared" si="69"/>
        <v>1.0999451259374844</v>
      </c>
      <c r="V113" s="8">
        <f t="shared" si="70"/>
        <v>3.343461545850683</v>
      </c>
      <c r="W113" s="8">
        <f t="shared" si="54"/>
        <v>1.846279326811552</v>
      </c>
      <c r="X113" s="20">
        <f t="shared" si="71"/>
        <v>1.8402649981597352</v>
      </c>
      <c r="Y113" s="20">
        <f t="shared" si="72"/>
        <v>-0.039032020610967985</v>
      </c>
      <c r="Z113" s="22">
        <f t="shared" si="73"/>
        <v>3.4018086993673182</v>
      </c>
    </row>
    <row r="114" spans="7:26" ht="12.75">
      <c r="G114" s="9">
        <f t="shared" si="57"/>
        <v>287</v>
      </c>
      <c r="H114" s="9">
        <f t="shared" si="58"/>
        <v>0.07108713492601418</v>
      </c>
      <c r="I114" s="9">
        <f t="shared" si="59"/>
        <v>2.8006785435773858</v>
      </c>
      <c r="J114" s="9">
        <f t="shared" si="60"/>
        <v>1.1556702921550703</v>
      </c>
      <c r="K114" s="9">
        <f t="shared" si="61"/>
        <v>1.1516202027078424</v>
      </c>
      <c r="L114" s="9">
        <f t="shared" si="62"/>
        <v>0.00045657096939147324</v>
      </c>
      <c r="M114" s="9">
        <f t="shared" si="63"/>
        <v>0.5213675213675214</v>
      </c>
      <c r="N114" s="9">
        <f t="shared" si="52"/>
        <v>1.8432019564593998</v>
      </c>
      <c r="O114" s="9">
        <f t="shared" si="64"/>
        <v>0.07325223505585884</v>
      </c>
      <c r="P114" s="9">
        <f t="shared" si="65"/>
        <v>0.3508934012994944</v>
      </c>
      <c r="Q114" s="9">
        <f t="shared" si="66"/>
        <v>0.51937332992317</v>
      </c>
      <c r="R114" s="9">
        <f t="shared" si="67"/>
        <v>0.06779950800763512</v>
      </c>
      <c r="S114" s="9">
        <f t="shared" si="68"/>
        <v>0.7603833865814694</v>
      </c>
      <c r="T114" s="9">
        <f t="shared" si="53"/>
        <v>1.8826621701299553</v>
      </c>
      <c r="U114" s="9">
        <f t="shared" si="69"/>
        <v>1.097854724801814</v>
      </c>
      <c r="V114" s="9">
        <f t="shared" si="70"/>
        <v>3.343461545850683</v>
      </c>
      <c r="W114" s="9">
        <f t="shared" si="54"/>
        <v>1.8432019564593998</v>
      </c>
      <c r="X114" s="20">
        <f t="shared" si="71"/>
        <v>1.8338529249954156</v>
      </c>
      <c r="Y114" s="23">
        <f t="shared" si="72"/>
        <v>-0.03889602053915276</v>
      </c>
      <c r="Z114" s="24">
        <f t="shared" si="73"/>
        <v>3.39689985391388</v>
      </c>
    </row>
    <row r="115" spans="7:26" ht="12.75">
      <c r="G115" s="8">
        <f aca="true" t="shared" si="74" ref="G115:G121">G114+1</f>
        <v>288</v>
      </c>
      <c r="H115" s="8">
        <f t="shared" si="58"/>
        <v>0.07059433131656132</v>
      </c>
      <c r="I115" s="8">
        <f t="shared" si="59"/>
        <v>2.7926900764121863</v>
      </c>
      <c r="J115" s="8">
        <f t="shared" si="60"/>
        <v>1.1476727313446755</v>
      </c>
      <c r="K115" s="8">
        <f t="shared" si="61"/>
        <v>1.1436227979394498</v>
      </c>
      <c r="L115" s="8">
        <f t="shared" si="62"/>
        <v>0.00045657096939147324</v>
      </c>
      <c r="M115" s="8">
        <f t="shared" si="63"/>
        <v>0.5213675213675214</v>
      </c>
      <c r="N115" s="8">
        <f t="shared" si="52"/>
        <v>1.840142410008606</v>
      </c>
      <c r="O115" s="8">
        <f t="shared" si="64"/>
        <v>0.07325223505585884</v>
      </c>
      <c r="P115" s="8">
        <f t="shared" si="65"/>
        <v>0.34618496445968405</v>
      </c>
      <c r="Q115" s="8">
        <f t="shared" si="66"/>
        <v>0.5153874029459519</v>
      </c>
      <c r="R115" s="8">
        <f t="shared" si="67"/>
        <v>0.06779950800763512</v>
      </c>
      <c r="S115" s="8">
        <f t="shared" si="68"/>
        <v>0.7603833865814694</v>
      </c>
      <c r="T115" s="8">
        <f t="shared" si="53"/>
        <v>1.8804276632983634</v>
      </c>
      <c r="U115" s="8">
        <f t="shared" si="69"/>
        <v>1.0957788403406965</v>
      </c>
      <c r="V115" s="8">
        <f t="shared" si="70"/>
        <v>3.343461545850683</v>
      </c>
      <c r="W115" s="8">
        <f t="shared" si="54"/>
        <v>1.840142410008606</v>
      </c>
      <c r="X115" s="20">
        <f t="shared" si="71"/>
        <v>1.8274853801169593</v>
      </c>
      <c r="Y115" s="20">
        <f t="shared" si="72"/>
        <v>-0.038760964912280704</v>
      </c>
      <c r="Z115" s="22">
        <f t="shared" si="73"/>
        <v>3.392009724456407</v>
      </c>
    </row>
    <row r="116" spans="7:26" ht="12.75">
      <c r="G116" s="9">
        <f t="shared" si="74"/>
        <v>289</v>
      </c>
      <c r="H116" s="9">
        <f t="shared" si="58"/>
        <v>0.07010663445984677</v>
      </c>
      <c r="I116" s="9">
        <f t="shared" si="59"/>
        <v>2.7847568927567807</v>
      </c>
      <c r="J116" s="9">
        <f t="shared" si="60"/>
        <v>1.1397580464807733</v>
      </c>
      <c r="K116" s="9">
        <f t="shared" si="61"/>
        <v>1.1357082675005403</v>
      </c>
      <c r="L116" s="9">
        <f t="shared" si="62"/>
        <v>0.00045657096939147324</v>
      </c>
      <c r="M116" s="9">
        <f t="shared" si="63"/>
        <v>0.5213675213675214</v>
      </c>
      <c r="N116" s="9">
        <f t="shared" si="52"/>
        <v>1.837100522893505</v>
      </c>
      <c r="O116" s="9">
        <f t="shared" si="64"/>
        <v>0.07325223505585884</v>
      </c>
      <c r="P116" s="9">
        <f t="shared" si="65"/>
        <v>0.3415566025367472</v>
      </c>
      <c r="Q116" s="9">
        <f t="shared" si="66"/>
        <v>0.5114427807463676</v>
      </c>
      <c r="R116" s="9">
        <f t="shared" si="67"/>
        <v>0.06779950800763512</v>
      </c>
      <c r="S116" s="9">
        <f t="shared" si="68"/>
        <v>0.7603833865814694</v>
      </c>
      <c r="T116" s="9">
        <f t="shared" si="53"/>
        <v>1.8782069937411494</v>
      </c>
      <c r="U116" s="9">
        <f t="shared" si="69"/>
        <v>1.0937173218620089</v>
      </c>
      <c r="V116" s="9">
        <f t="shared" si="70"/>
        <v>3.343461545850683</v>
      </c>
      <c r="W116" s="9">
        <f t="shared" si="54"/>
        <v>1.837100522893505</v>
      </c>
      <c r="X116" s="20">
        <f t="shared" si="71"/>
        <v>1.8211619012930251</v>
      </c>
      <c r="Y116" s="23">
        <f t="shared" si="72"/>
        <v>-0.038626843926425056</v>
      </c>
      <c r="Z116" s="24">
        <f t="shared" si="73"/>
        <v>3.387138163072408</v>
      </c>
    </row>
    <row r="117" spans="7:26" ht="12.75">
      <c r="G117" s="8">
        <f t="shared" si="74"/>
        <v>290</v>
      </c>
      <c r="H117" s="8">
        <f t="shared" si="58"/>
        <v>0.06962397403948706</v>
      </c>
      <c r="I117" s="8">
        <f t="shared" si="59"/>
        <v>2.776878420712792</v>
      </c>
      <c r="J117" s="8">
        <f t="shared" si="60"/>
        <v>1.1319250964200316</v>
      </c>
      <c r="K117" s="8">
        <f t="shared" si="61"/>
        <v>1.1278754702700478</v>
      </c>
      <c r="L117" s="8">
        <f t="shared" si="62"/>
        <v>0.00045657096939147324</v>
      </c>
      <c r="M117" s="8">
        <f t="shared" si="63"/>
        <v>0.5213675213675214</v>
      </c>
      <c r="N117" s="8">
        <f t="shared" si="52"/>
        <v>1.8340761326303712</v>
      </c>
      <c r="O117" s="8">
        <f t="shared" si="64"/>
        <v>0.07325223505585884</v>
      </c>
      <c r="P117" s="8">
        <f t="shared" si="65"/>
        <v>0.3370066773043318</v>
      </c>
      <c r="Q117" s="8">
        <f t="shared" si="66"/>
        <v>0.507538894586761</v>
      </c>
      <c r="R117" s="8">
        <f t="shared" si="67"/>
        <v>0.06779950800763512</v>
      </c>
      <c r="S117" s="8">
        <f t="shared" si="68"/>
        <v>0.7603833865814694</v>
      </c>
      <c r="T117" s="8">
        <f t="shared" si="53"/>
        <v>1.8760000331787339</v>
      </c>
      <c r="U117" s="8">
        <f t="shared" si="69"/>
        <v>1.0916700207521401</v>
      </c>
      <c r="V117" s="8">
        <f t="shared" si="70"/>
        <v>3.343461545850683</v>
      </c>
      <c r="W117" s="8">
        <f t="shared" si="54"/>
        <v>1.8340761326303712</v>
      </c>
      <c r="X117" s="20">
        <f t="shared" si="71"/>
        <v>1.8148820326678767</v>
      </c>
      <c r="Y117" s="20">
        <f t="shared" si="72"/>
        <v>-0.03849364791288566</v>
      </c>
      <c r="Z117" s="22">
        <f t="shared" si="73"/>
        <v>3.3822850235255015</v>
      </c>
    </row>
    <row r="118" spans="7:26" ht="12.75">
      <c r="G118" s="9">
        <f t="shared" si="74"/>
        <v>291</v>
      </c>
      <c r="H118" s="9">
        <f t="shared" si="58"/>
        <v>0.0691462809452045</v>
      </c>
      <c r="I118" s="9">
        <f t="shared" si="59"/>
        <v>2.769054096242989</v>
      </c>
      <c r="J118" s="9">
        <f t="shared" si="60"/>
        <v>1.124172759592645</v>
      </c>
      <c r="K118" s="9">
        <f t="shared" si="61"/>
        <v>1.1201232847000493</v>
      </c>
      <c r="L118" s="9">
        <f t="shared" si="62"/>
        <v>0.00045657096939147324</v>
      </c>
      <c r="M118" s="9">
        <f t="shared" si="63"/>
        <v>0.5213675213675214</v>
      </c>
      <c r="N118" s="9">
        <f t="shared" si="52"/>
        <v>1.8310690787840116</v>
      </c>
      <c r="O118" s="9">
        <f t="shared" si="64"/>
        <v>0.07325223505585884</v>
      </c>
      <c r="P118" s="9">
        <f t="shared" si="65"/>
        <v>0.33253358960445756</v>
      </c>
      <c r="Q118" s="9">
        <f t="shared" si="66"/>
        <v>0.503675185484781</v>
      </c>
      <c r="R118" s="9">
        <f t="shared" si="67"/>
        <v>0.06779950800763512</v>
      </c>
      <c r="S118" s="9">
        <f t="shared" si="68"/>
        <v>0.7603833865814694</v>
      </c>
      <c r="T118" s="9">
        <f t="shared" si="53"/>
        <v>1.8738066549503585</v>
      </c>
      <c r="U118" s="9">
        <f t="shared" si="69"/>
        <v>1.089636790440277</v>
      </c>
      <c r="V118" s="9">
        <f t="shared" si="70"/>
        <v>3.343461545850683</v>
      </c>
      <c r="W118" s="9">
        <f t="shared" si="54"/>
        <v>1.8310690787840116</v>
      </c>
      <c r="X118" s="20">
        <f t="shared" si="71"/>
        <v>1.808645324651836</v>
      </c>
      <c r="Y118" s="23">
        <f t="shared" si="72"/>
        <v>-0.03836136733586544</v>
      </c>
      <c r="Z118" s="24">
        <f t="shared" si="73"/>
        <v>3.377450161240404</v>
      </c>
    </row>
    <row r="119" spans="7:26" ht="12.75">
      <c r="G119" s="8">
        <f t="shared" si="74"/>
        <v>292</v>
      </c>
      <c r="H119" s="8">
        <f t="shared" si="58"/>
        <v>0.06867348724808667</v>
      </c>
      <c r="I119" s="8">
        <f t="shared" si="59"/>
        <v>2.761283363036677</v>
      </c>
      <c r="J119" s="8">
        <f t="shared" si="60"/>
        <v>1.1164999336008279</v>
      </c>
      <c r="K119" s="8">
        <f t="shared" si="61"/>
        <v>1.1124506084142682</v>
      </c>
      <c r="L119" s="8">
        <f t="shared" si="62"/>
        <v>0.00045657096939147324</v>
      </c>
      <c r="M119" s="8">
        <f t="shared" si="63"/>
        <v>0.5213675213675214</v>
      </c>
      <c r="N119" s="8">
        <f t="shared" si="52"/>
        <v>1.8280792029350081</v>
      </c>
      <c r="O119" s="8">
        <f t="shared" si="64"/>
        <v>0.07325223505585884</v>
      </c>
      <c r="P119" s="8">
        <f t="shared" si="65"/>
        <v>0.32813577828497026</v>
      </c>
      <c r="Q119" s="8">
        <f t="shared" si="66"/>
        <v>0.4998511040132736</v>
      </c>
      <c r="R119" s="8">
        <f t="shared" si="67"/>
        <v>0.06779950800763512</v>
      </c>
      <c r="S119" s="8">
        <f t="shared" si="68"/>
        <v>0.7603833865814694</v>
      </c>
      <c r="T119" s="8">
        <f t="shared" si="53"/>
        <v>1.8716267339881787</v>
      </c>
      <c r="U119" s="8">
        <f t="shared" si="69"/>
        <v>1.0876174863634267</v>
      </c>
      <c r="V119" s="8">
        <f t="shared" si="70"/>
        <v>3.343461545850683</v>
      </c>
      <c r="W119" s="8">
        <f t="shared" si="54"/>
        <v>1.8280792029350081</v>
      </c>
      <c r="X119" s="20">
        <f t="shared" si="71"/>
        <v>1.8024513338139871</v>
      </c>
      <c r="Y119" s="20">
        <f t="shared" si="72"/>
        <v>-0.038229992790194664</v>
      </c>
      <c r="Z119" s="22">
        <f t="shared" si="73"/>
        <v>3.3726334332783785</v>
      </c>
    </row>
    <row r="120" spans="7:26" ht="12.75">
      <c r="G120" s="9">
        <f t="shared" si="74"/>
        <v>293</v>
      </c>
      <c r="H120" s="9">
        <f t="shared" si="58"/>
        <v>0.06820552617643609</v>
      </c>
      <c r="I120" s="9">
        <f t="shared" si="59"/>
        <v>2.753565672377849</v>
      </c>
      <c r="J120" s="9">
        <f t="shared" si="60"/>
        <v>1.108905534826886</v>
      </c>
      <c r="K120" s="9">
        <f t="shared" si="61"/>
        <v>1.1048563578161537</v>
      </c>
      <c r="L120" s="9">
        <f t="shared" si="62"/>
        <v>0.00045657096939147324</v>
      </c>
      <c r="M120" s="9">
        <f t="shared" si="63"/>
        <v>0.5213675213675214</v>
      </c>
      <c r="N120" s="9">
        <f t="shared" si="52"/>
        <v>1.825106348647593</v>
      </c>
      <c r="O120" s="9">
        <f t="shared" si="64"/>
        <v>0.07325223505585884</v>
      </c>
      <c r="P120" s="9">
        <f t="shared" si="65"/>
        <v>0.32381171916942086</v>
      </c>
      <c r="Q120" s="9">
        <f t="shared" si="66"/>
        <v>0.49606611010494805</v>
      </c>
      <c r="R120" s="9">
        <f t="shared" si="67"/>
        <v>0.06779950800763512</v>
      </c>
      <c r="S120" s="9">
        <f t="shared" si="68"/>
        <v>0.7603833865814694</v>
      </c>
      <c r="T120" s="9">
        <f t="shared" si="53"/>
        <v>1.8694601467918597</v>
      </c>
      <c r="U120" s="9">
        <f t="shared" si="69"/>
        <v>1.0856119659321521</v>
      </c>
      <c r="V120" s="9">
        <f t="shared" si="70"/>
        <v>3.343461545850683</v>
      </c>
      <c r="W120" s="9">
        <f t="shared" si="54"/>
        <v>1.825106348647593</v>
      </c>
      <c r="X120" s="20">
        <f t="shared" si="71"/>
        <v>1.7962996227770796</v>
      </c>
      <c r="Y120" s="23">
        <f t="shared" si="72"/>
        <v>-0.03809951499910185</v>
      </c>
      <c r="Z120" s="24">
        <f t="shared" si="73"/>
        <v>3.3678346983131275</v>
      </c>
    </row>
    <row r="121" spans="7:26" ht="12.75">
      <c r="G121" s="8">
        <f t="shared" si="74"/>
        <v>294</v>
      </c>
      <c r="H121" s="8">
        <f t="shared" si="58"/>
        <v>0.06774233209219378</v>
      </c>
      <c r="I121" s="8">
        <f t="shared" si="59"/>
        <v>2.7459004830160194</v>
      </c>
      <c r="J121" s="8">
        <f t="shared" si="60"/>
        <v>1.1013884980506012</v>
      </c>
      <c r="K121" s="8">
        <f t="shared" si="61"/>
        <v>1.0973394677062707</v>
      </c>
      <c r="L121" s="8">
        <f t="shared" si="62"/>
        <v>0.00045657096939147324</v>
      </c>
      <c r="M121" s="8">
        <f t="shared" si="63"/>
        <v>0.5213675213675214</v>
      </c>
      <c r="N121" s="8">
        <f t="shared" si="52"/>
        <v>1.822150361438144</v>
      </c>
      <c r="O121" s="8">
        <f t="shared" si="64"/>
        <v>0.07325223505585884</v>
      </c>
      <c r="P121" s="8">
        <f t="shared" si="65"/>
        <v>0.31955992405827055</v>
      </c>
      <c r="Q121" s="8">
        <f t="shared" si="66"/>
        <v>0.49231967286168377</v>
      </c>
      <c r="R121" s="8">
        <f t="shared" si="67"/>
        <v>0.06779950800763512</v>
      </c>
      <c r="S121" s="8">
        <f t="shared" si="68"/>
        <v>0.7603833865814694</v>
      </c>
      <c r="T121" s="8">
        <f t="shared" si="53"/>
        <v>1.8673067714036633</v>
      </c>
      <c r="U121" s="8">
        <f t="shared" si="69"/>
        <v>1.0836200884970089</v>
      </c>
      <c r="V121" s="8">
        <f t="shared" si="70"/>
        <v>3.343461545850683</v>
      </c>
      <c r="W121" s="8">
        <f t="shared" si="54"/>
        <v>1.822150361438144</v>
      </c>
      <c r="X121" s="20">
        <f t="shared" si="71"/>
        <v>1.7901897601145724</v>
      </c>
      <c r="Y121" s="20">
        <f t="shared" si="72"/>
        <v>-0.03796992481203008</v>
      </c>
      <c r="Z121" s="22">
        <f t="shared" si="73"/>
        <v>3.3630538166071196</v>
      </c>
    </row>
    <row r="122" spans="7:26" ht="12.75">
      <c r="G122" s="9">
        <f aca="true" t="shared" si="75" ref="G122:G132">G121+1</f>
        <v>295</v>
      </c>
      <c r="H122" s="9">
        <f t="shared" si="58"/>
        <v>0.06728384046792141</v>
      </c>
      <c r="I122" s="9">
        <f t="shared" si="59"/>
        <v>2.7382872610396936</v>
      </c>
      <c r="J122" s="9">
        <f t="shared" si="60"/>
        <v>1.0939477760756826</v>
      </c>
      <c r="K122" s="9">
        <f t="shared" si="61"/>
        <v>1.089898890908761</v>
      </c>
      <c r="L122" s="9">
        <f t="shared" si="62"/>
        <v>0.00045657096939147324</v>
      </c>
      <c r="M122" s="9">
        <f t="shared" si="63"/>
        <v>0.5213675213675214</v>
      </c>
      <c r="N122" s="9">
        <f t="shared" si="52"/>
        <v>1.8192110887442863</v>
      </c>
      <c r="O122" s="9">
        <f t="shared" si="64"/>
        <v>0.07325223505585884</v>
      </c>
      <c r="P122" s="9">
        <f t="shared" si="65"/>
        <v>0.3153789397603682</v>
      </c>
      <c r="Q122" s="9">
        <f t="shared" si="66"/>
        <v>0.48861127036835617</v>
      </c>
      <c r="R122" s="9">
        <f t="shared" si="67"/>
        <v>0.06779950800763512</v>
      </c>
      <c r="S122" s="9">
        <f t="shared" si="68"/>
        <v>0.7603833865814694</v>
      </c>
      <c r="T122" s="9">
        <f t="shared" si="53"/>
        <v>1.865166487384013</v>
      </c>
      <c r="U122" s="9">
        <f t="shared" si="69"/>
        <v>1.081641715315663</v>
      </c>
      <c r="V122" s="9">
        <f t="shared" si="70"/>
        <v>3.343461545850683</v>
      </c>
      <c r="W122" s="9">
        <f t="shared" si="54"/>
        <v>1.8192110887442863</v>
      </c>
      <c r="X122" s="20">
        <f t="shared" si="71"/>
        <v>1.7841213202497772</v>
      </c>
      <c r="Y122" s="23">
        <f t="shared" si="72"/>
        <v>-0.037841213202497774</v>
      </c>
      <c r="Z122" s="24">
        <f t="shared" si="73"/>
        <v>3.358290649988348</v>
      </c>
    </row>
    <row r="123" spans="7:26" ht="12.75">
      <c r="G123" s="8">
        <f t="shared" si="75"/>
        <v>296</v>
      </c>
      <c r="H123" s="8">
        <f t="shared" si="58"/>
        <v>0.06682998786432685</v>
      </c>
      <c r="I123" s="8">
        <f t="shared" si="59"/>
        <v>2.7307254797523974</v>
      </c>
      <c r="J123" s="8">
        <f t="shared" si="60"/>
        <v>1.0865823393650358</v>
      </c>
      <c r="K123" s="8">
        <f t="shared" si="61"/>
        <v>1.0825335979066166</v>
      </c>
      <c r="L123" s="8">
        <f t="shared" si="62"/>
        <v>0.00045657096939147324</v>
      </c>
      <c r="M123" s="8">
        <f t="shared" si="63"/>
        <v>0.5213675213675214</v>
      </c>
      <c r="N123" s="8">
        <f t="shared" si="52"/>
        <v>1.8162883798945844</v>
      </c>
      <c r="O123" s="8">
        <f t="shared" si="64"/>
        <v>0.07325223505585884</v>
      </c>
      <c r="P123" s="8">
        <f t="shared" si="65"/>
        <v>0.3112673471536837</v>
      </c>
      <c r="Q123" s="8">
        <f t="shared" si="66"/>
        <v>0.48494038951105745</v>
      </c>
      <c r="R123" s="8">
        <f t="shared" si="67"/>
        <v>0.06779950800763512</v>
      </c>
      <c r="S123" s="8">
        <f t="shared" si="68"/>
        <v>0.7603833865814694</v>
      </c>
      <c r="T123" s="8">
        <f t="shared" si="53"/>
        <v>1.8630391757875264</v>
      </c>
      <c r="U123" s="8">
        <f t="shared" si="69"/>
        <v>1.0796767095206778</v>
      </c>
      <c r="V123" s="8">
        <f t="shared" si="70"/>
        <v>3.343461545850683</v>
      </c>
      <c r="W123" s="8">
        <f t="shared" si="54"/>
        <v>1.8162883798945844</v>
      </c>
      <c r="X123" s="20">
        <f t="shared" si="71"/>
        <v>1.7780938833570414</v>
      </c>
      <c r="Y123" s="20">
        <f t="shared" si="72"/>
        <v>-0.03771337126600285</v>
      </c>
      <c r="Z123" s="22">
        <f t="shared" si="73"/>
        <v>3.3535450618275013</v>
      </c>
    </row>
    <row r="124" spans="7:26" ht="12.75">
      <c r="G124" s="9">
        <f t="shared" si="75"/>
        <v>297</v>
      </c>
      <c r="H124" s="9">
        <f t="shared" si="58"/>
        <v>0.06638071190831843</v>
      </c>
      <c r="I124" s="9">
        <f t="shared" si="59"/>
        <v>2.723214619551211</v>
      </c>
      <c r="J124" s="9">
        <f t="shared" si="60"/>
        <v>1.0792911756846097</v>
      </c>
      <c r="K124" s="9">
        <f t="shared" si="61"/>
        <v>1.0752425764855376</v>
      </c>
      <c r="L124" s="9">
        <f t="shared" si="62"/>
        <v>0.00045657096939147324</v>
      </c>
      <c r="M124" s="9">
        <f t="shared" si="63"/>
        <v>0.5213675213675214</v>
      </c>
      <c r="N124" s="9">
        <f t="shared" si="52"/>
        <v>1.8133820860788128</v>
      </c>
      <c r="O124" s="9">
        <f t="shared" si="64"/>
        <v>0.07325223505585884</v>
      </c>
      <c r="P124" s="9">
        <f t="shared" si="65"/>
        <v>0.3072237602743156</v>
      </c>
      <c r="Q124" s="9">
        <f t="shared" si="66"/>
        <v>0.481306525799593</v>
      </c>
      <c r="R124" s="9">
        <f t="shared" si="67"/>
        <v>0.06779950800763512</v>
      </c>
      <c r="S124" s="9">
        <f t="shared" si="68"/>
        <v>0.7603833865814694</v>
      </c>
      <c r="T124" s="9">
        <f t="shared" si="53"/>
        <v>1.8609247191395082</v>
      </c>
      <c r="U124" s="9">
        <f t="shared" si="69"/>
        <v>1.077724936087948</v>
      </c>
      <c r="V124" s="9">
        <f t="shared" si="70"/>
        <v>3.343461545850683</v>
      </c>
      <c r="W124" s="9">
        <f t="shared" si="54"/>
        <v>1.8133820860788128</v>
      </c>
      <c r="X124" s="20">
        <f t="shared" si="71"/>
        <v>1.7721070352649302</v>
      </c>
      <c r="Y124" s="23">
        <f t="shared" si="72"/>
        <v>-0.03758639021796917</v>
      </c>
      <c r="Z124" s="24">
        <f t="shared" si="73"/>
        <v>3.348816917015552</v>
      </c>
    </row>
    <row r="125" spans="7:26" ht="12.75">
      <c r="G125" s="8">
        <f t="shared" si="75"/>
        <v>298</v>
      </c>
      <c r="H125" s="8">
        <f t="shared" si="58"/>
        <v>0.06593595127157403</v>
      </c>
      <c r="I125" s="8">
        <f t="shared" si="59"/>
        <v>2.715754167807751</v>
      </c>
      <c r="J125" s="8">
        <f t="shared" si="60"/>
        <v>1.0720732897556036</v>
      </c>
      <c r="K125" s="8">
        <f t="shared" si="61"/>
        <v>1.0680248313861416</v>
      </c>
      <c r="L125" s="8">
        <f t="shared" si="62"/>
        <v>0.00045657096939147324</v>
      </c>
      <c r="M125" s="8">
        <f t="shared" si="63"/>
        <v>0.5213675213675214</v>
      </c>
      <c r="N125" s="8">
        <f t="shared" si="52"/>
        <v>1.8104920603187948</v>
      </c>
      <c r="O125" s="8">
        <f t="shared" si="64"/>
        <v>0.07325223505585884</v>
      </c>
      <c r="P125" s="8">
        <f t="shared" si="65"/>
        <v>0.3032468254328351</v>
      </c>
      <c r="Q125" s="8">
        <f t="shared" si="66"/>
        <v>0.47770918319414324</v>
      </c>
      <c r="R125" s="8">
        <f t="shared" si="67"/>
        <v>0.06779950800763512</v>
      </c>
      <c r="S125" s="8">
        <f t="shared" si="68"/>
        <v>0.7603833865814694</v>
      </c>
      <c r="T125" s="8">
        <f t="shared" si="53"/>
        <v>1.8588230014128873</v>
      </c>
      <c r="U125" s="8">
        <f t="shared" si="69"/>
        <v>1.0757862618057739</v>
      </c>
      <c r="V125" s="8">
        <f t="shared" si="70"/>
        <v>3.343461545850683</v>
      </c>
      <c r="W125" s="8">
        <f t="shared" si="54"/>
        <v>1.8104920603187948</v>
      </c>
      <c r="X125" s="20">
        <f t="shared" si="71"/>
        <v>1.7661603673613566</v>
      </c>
      <c r="Y125" s="20">
        <f t="shared" si="72"/>
        <v>-0.03746026139173437</v>
      </c>
      <c r="Z125" s="22">
        <f t="shared" si="73"/>
        <v>3.3441060819417343</v>
      </c>
    </row>
    <row r="126" spans="7:26" ht="12.75">
      <c r="G126" s="9">
        <f t="shared" si="75"/>
        <v>299</v>
      </c>
      <c r="H126" s="9">
        <f t="shared" si="58"/>
        <v>0.06549564564961087</v>
      </c>
      <c r="I126" s="9">
        <f t="shared" si="59"/>
        <v>2.7083436187515373</v>
      </c>
      <c r="J126" s="9">
        <f t="shared" si="60"/>
        <v>1.0649277029147954</v>
      </c>
      <c r="K126" s="9">
        <f t="shared" si="61"/>
        <v>1.0608793839643016</v>
      </c>
      <c r="L126" s="9">
        <f t="shared" si="62"/>
        <v>0.00045657096939147324</v>
      </c>
      <c r="M126" s="9">
        <f t="shared" si="63"/>
        <v>0.5213675213675214</v>
      </c>
      <c r="N126" s="9">
        <f t="shared" si="52"/>
        <v>1.8076181574397912</v>
      </c>
      <c r="O126" s="9">
        <f t="shared" si="64"/>
        <v>0.07325223505585884</v>
      </c>
      <c r="P126" s="9">
        <f t="shared" si="65"/>
        <v>0.2993352203570516</v>
      </c>
      <c r="Q126" s="9">
        <f t="shared" si="66"/>
        <v>0.4741478739359738</v>
      </c>
      <c r="R126" s="9">
        <f t="shared" si="67"/>
        <v>0.06779950800763512</v>
      </c>
      <c r="S126" s="9">
        <f t="shared" si="68"/>
        <v>0.7603833865814694</v>
      </c>
      <c r="T126" s="9">
        <f t="shared" si="53"/>
        <v>1.856733908005594</v>
      </c>
      <c r="U126" s="9">
        <f t="shared" si="69"/>
        <v>1.0738605552445504</v>
      </c>
      <c r="V126" s="9">
        <f t="shared" si="70"/>
        <v>3.343461545850683</v>
      </c>
      <c r="W126" s="9">
        <f t="shared" si="54"/>
        <v>1.8076181574397912</v>
      </c>
      <c r="X126" s="20">
        <f t="shared" si="71"/>
        <v>1.7602534765006164</v>
      </c>
      <c r="Y126" s="23">
        <f t="shared" si="72"/>
        <v>-0.03733497623657807</v>
      </c>
      <c r="Z126" s="24">
        <f t="shared" si="73"/>
        <v>3.339412424471922</v>
      </c>
    </row>
    <row r="127" spans="7:26" ht="12.75">
      <c r="G127" s="8">
        <f t="shared" si="75"/>
        <v>300</v>
      </c>
      <c r="H127" s="8">
        <f t="shared" si="58"/>
        <v>0.06505973574134291</v>
      </c>
      <c r="I127" s="8">
        <f t="shared" si="59"/>
        <v>2.7009824733556993</v>
      </c>
      <c r="J127" s="8">
        <f t="shared" si="60"/>
        <v>1.057853452782786</v>
      </c>
      <c r="K127" s="8">
        <f t="shared" si="61"/>
        <v>1.0538052718593958</v>
      </c>
      <c r="L127" s="8">
        <f t="shared" si="62"/>
        <v>0.00045657096939147324</v>
      </c>
      <c r="M127" s="8">
        <f t="shared" si="63"/>
        <v>0.5213675213675214</v>
      </c>
      <c r="N127" s="8">
        <f t="shared" si="52"/>
        <v>1.804760234042432</v>
      </c>
      <c r="O127" s="8">
        <f t="shared" si="64"/>
        <v>0.07325223505585884</v>
      </c>
      <c r="P127" s="8">
        <f t="shared" si="65"/>
        <v>0.29548765336032934</v>
      </c>
      <c r="Q127" s="8">
        <f t="shared" si="66"/>
        <v>0.470622118382091</v>
      </c>
      <c r="R127" s="8">
        <f t="shared" si="67"/>
        <v>0.06779950800763512</v>
      </c>
      <c r="S127" s="8">
        <f t="shared" si="68"/>
        <v>0.7603833865814694</v>
      </c>
      <c r="T127" s="8">
        <f t="shared" si="53"/>
        <v>1.8546573257183656</v>
      </c>
      <c r="U127" s="8">
        <f t="shared" si="69"/>
        <v>1.0719476867270687</v>
      </c>
      <c r="V127" s="8">
        <f t="shared" si="70"/>
        <v>3.343461545850683</v>
      </c>
      <c r="W127" s="8">
        <f t="shared" si="54"/>
        <v>1.804760234042432</v>
      </c>
      <c r="X127" s="20">
        <f t="shared" si="71"/>
        <v>1.7543859649122808</v>
      </c>
      <c r="Y127" s="20">
        <f t="shared" si="72"/>
        <v>-0.03721052631578947</v>
      </c>
      <c r="Z127" s="22">
        <f t="shared" si="73"/>
        <v>3.3347358139273835</v>
      </c>
    </row>
    <row r="128" spans="7:26" ht="12.75">
      <c r="G128" s="9">
        <f t="shared" si="75"/>
        <v>301</v>
      </c>
      <c r="H128" s="9">
        <f t="shared" si="58"/>
        <v>0.06462816322911295</v>
      </c>
      <c r="I128" s="9">
        <f t="shared" si="59"/>
        <v>2.693670239224949</v>
      </c>
      <c r="J128" s="9">
        <f t="shared" si="60"/>
        <v>1.050849592939945</v>
      </c>
      <c r="K128" s="9">
        <f t="shared" si="61"/>
        <v>1.0468015486702593</v>
      </c>
      <c r="L128" s="9">
        <f t="shared" si="62"/>
        <v>0.00045657096939147324</v>
      </c>
      <c r="M128" s="9">
        <f t="shared" si="63"/>
        <v>0.5213675213675214</v>
      </c>
      <c r="N128" s="9">
        <f t="shared" si="52"/>
        <v>1.8019181484751736</v>
      </c>
      <c r="O128" s="9">
        <f t="shared" si="64"/>
        <v>0.07325223505585884</v>
      </c>
      <c r="P128" s="9">
        <f t="shared" si="65"/>
        <v>0.29170286253460853</v>
      </c>
      <c r="Q128" s="9">
        <f t="shared" si="66"/>
        <v>0.4671314448437356</v>
      </c>
      <c r="R128" s="9">
        <f t="shared" si="67"/>
        <v>0.06779950800763512</v>
      </c>
      <c r="S128" s="9">
        <f t="shared" si="68"/>
        <v>0.7603833865814694</v>
      </c>
      <c r="T128" s="9">
        <f t="shared" si="53"/>
        <v>1.8525931427329656</v>
      </c>
      <c r="U128" s="9">
        <f t="shared" si="69"/>
        <v>1.070047528299404</v>
      </c>
      <c r="V128" s="9">
        <f t="shared" si="70"/>
        <v>3.343461545850683</v>
      </c>
      <c r="W128" s="9">
        <f t="shared" si="54"/>
        <v>1.8019181484751736</v>
      </c>
      <c r="X128" s="20">
        <f t="shared" si="71"/>
        <v>1.748557440111908</v>
      </c>
      <c r="Y128" s="23">
        <f t="shared" si="72"/>
        <v>-0.037086903304773565</v>
      </c>
      <c r="Z128" s="24">
        <f t="shared" si="73"/>
        <v>3.3300761210639265</v>
      </c>
    </row>
    <row r="129" spans="7:26" ht="12.75">
      <c r="G129" s="8">
        <f t="shared" si="75"/>
        <v>302</v>
      </c>
      <c r="H129" s="8">
        <f t="shared" si="58"/>
        <v>0.06420087075918668</v>
      </c>
      <c r="I129" s="8">
        <f t="shared" si="59"/>
        <v>2.6864064304857935</v>
      </c>
      <c r="J129" s="8">
        <f t="shared" si="60"/>
        <v>1.0439151926098558</v>
      </c>
      <c r="K129" s="8">
        <f t="shared" si="61"/>
        <v>1.039867283638636</v>
      </c>
      <c r="L129" s="8">
        <f t="shared" si="62"/>
        <v>0.00045657096939147324</v>
      </c>
      <c r="M129" s="8">
        <f t="shared" si="63"/>
        <v>0.5213675213675214</v>
      </c>
      <c r="N129" s="8">
        <f t="shared" si="52"/>
        <v>1.7990917608072783</v>
      </c>
      <c r="O129" s="8">
        <f t="shared" si="64"/>
        <v>0.07325223505585884</v>
      </c>
      <c r="P129" s="8">
        <f t="shared" si="65"/>
        <v>0.2879796149673197</v>
      </c>
      <c r="Q129" s="8">
        <f t="shared" si="66"/>
        <v>0.4636753894286134</v>
      </c>
      <c r="R129" s="8">
        <f t="shared" si="67"/>
        <v>0.06779950800763512</v>
      </c>
      <c r="S129" s="8">
        <f t="shared" si="68"/>
        <v>0.7603833865814694</v>
      </c>
      <c r="T129" s="8">
        <f t="shared" si="53"/>
        <v>1.8505412485908188</v>
      </c>
      <c r="U129" s="8">
        <f t="shared" si="69"/>
        <v>1.068159953702386</v>
      </c>
      <c r="V129" s="8">
        <f t="shared" si="70"/>
        <v>3.343461545850683</v>
      </c>
      <c r="W129" s="8">
        <f t="shared" si="54"/>
        <v>1.7990917608072783</v>
      </c>
      <c r="X129" s="20">
        <f t="shared" si="71"/>
        <v>1.742767514813524</v>
      </c>
      <c r="Y129" s="20">
        <f t="shared" si="72"/>
        <v>-0.03696409898919484</v>
      </c>
      <c r="Z129" s="22">
        <f t="shared" si="73"/>
        <v>3.325433218051386</v>
      </c>
    </row>
    <row r="130" spans="7:26" ht="12.75">
      <c r="G130" s="9">
        <f t="shared" si="75"/>
        <v>303</v>
      </c>
      <c r="H130" s="9">
        <f t="shared" si="58"/>
        <v>0.06377780192269669</v>
      </c>
      <c r="I130" s="9">
        <f t="shared" si="59"/>
        <v>2.6791905676789094</v>
      </c>
      <c r="J130" s="9">
        <f t="shared" si="60"/>
        <v>1.0370493363500604</v>
      </c>
      <c r="K130" s="9">
        <f t="shared" si="61"/>
        <v>1.0330015613399297</v>
      </c>
      <c r="L130" s="9">
        <f t="shared" si="62"/>
        <v>0.00045657096939147324</v>
      </c>
      <c r="M130" s="9">
        <f t="shared" si="63"/>
        <v>0.5213675213675214</v>
      </c>
      <c r="N130" s="9">
        <f t="shared" si="52"/>
        <v>1.7962809328022948</v>
      </c>
      <c r="O130" s="9">
        <f t="shared" si="64"/>
        <v>0.07325223505585884</v>
      </c>
      <c r="P130" s="9">
        <f t="shared" si="65"/>
        <v>0.28431670598140596</v>
      </c>
      <c r="Q130" s="9">
        <f t="shared" si="66"/>
        <v>0.4602534958867661</v>
      </c>
      <c r="R130" s="9">
        <f t="shared" si="67"/>
        <v>0.06779950800763512</v>
      </c>
      <c r="S130" s="9">
        <f t="shared" si="68"/>
        <v>0.7603833865814694</v>
      </c>
      <c r="T130" s="9">
        <f t="shared" si="53"/>
        <v>1.8485015341720423</v>
      </c>
      <c r="U130" s="9">
        <f t="shared" si="69"/>
        <v>1.0662848383436323</v>
      </c>
      <c r="V130" s="9">
        <f t="shared" si="70"/>
        <v>3.343461545850683</v>
      </c>
      <c r="W130" s="9">
        <f t="shared" si="54"/>
        <v>1.7962809328022948</v>
      </c>
      <c r="X130" s="20">
        <f t="shared" si="71"/>
        <v>1.7370158068438426</v>
      </c>
      <c r="Y130" s="23">
        <f t="shared" si="72"/>
        <v>-0.0368421052631579</v>
      </c>
      <c r="Z130" s="24">
        <f t="shared" si="73"/>
        <v>3.3208069784534984</v>
      </c>
    </row>
    <row r="131" spans="7:26" ht="12.75">
      <c r="G131" s="8">
        <f t="shared" si="75"/>
        <v>304</v>
      </c>
      <c r="H131" s="8">
        <f t="shared" si="58"/>
        <v>0.06335890123702456</v>
      </c>
      <c r="I131" s="8">
        <f t="shared" si="59"/>
        <v>2.67202217765365</v>
      </c>
      <c r="J131" s="8">
        <f t="shared" si="60"/>
        <v>1.0302511237499163</v>
      </c>
      <c r="K131" s="8">
        <f t="shared" si="61"/>
        <v>1.0262034813810659</v>
      </c>
      <c r="L131" s="8">
        <f t="shared" si="62"/>
        <v>0.00045657096939147324</v>
      </c>
      <c r="M131" s="8">
        <f t="shared" si="63"/>
        <v>0.5213675213675214</v>
      </c>
      <c r="N131" s="8">
        <f t="shared" si="52"/>
        <v>1.793485527892035</v>
      </c>
      <c r="O131" s="8">
        <f t="shared" si="64"/>
        <v>0.07325223505585884</v>
      </c>
      <c r="P131" s="8">
        <f t="shared" si="65"/>
        <v>0.2807129583976987</v>
      </c>
      <c r="Q131" s="8">
        <f t="shared" si="66"/>
        <v>0.4568653154599842</v>
      </c>
      <c r="R131" s="8">
        <f t="shared" si="67"/>
        <v>0.06779950800763512</v>
      </c>
      <c r="S131" s="8">
        <f t="shared" si="68"/>
        <v>0.7603833865814694</v>
      </c>
      <c r="T131" s="8">
        <f t="shared" si="53"/>
        <v>1.8464738916748664</v>
      </c>
      <c r="U131" s="8">
        <f t="shared" si="69"/>
        <v>1.0644220592701337</v>
      </c>
      <c r="V131" s="8">
        <f t="shared" si="70"/>
        <v>3.343461545850683</v>
      </c>
      <c r="W131" s="8">
        <f t="shared" si="54"/>
        <v>1.793485527892035</v>
      </c>
      <c r="X131" s="20">
        <f t="shared" si="71"/>
        <v>1.7313019390581719</v>
      </c>
      <c r="Y131" s="20">
        <f t="shared" si="72"/>
        <v>-0.03672091412742382</v>
      </c>
      <c r="Z131" s="22">
        <f t="shared" si="73"/>
        <v>3.3161972772081074</v>
      </c>
    </row>
    <row r="132" spans="7:26" ht="12.75">
      <c r="G132" s="9">
        <f t="shared" si="75"/>
        <v>305</v>
      </c>
      <c r="H132" s="9">
        <f t="shared" si="58"/>
        <v>0.06294411412760938</v>
      </c>
      <c r="I132" s="9">
        <f t="shared" si="59"/>
        <v>2.664900793464622</v>
      </c>
      <c r="J132" s="9">
        <f t="shared" si="60"/>
        <v>1.0235196691353714</v>
      </c>
      <c r="K132" s="9">
        <f t="shared" si="61"/>
        <v>1.019472158105273</v>
      </c>
      <c r="L132" s="9">
        <f t="shared" si="62"/>
        <v>0.00045657096939147324</v>
      </c>
      <c r="M132" s="9">
        <f t="shared" si="63"/>
        <v>0.5213675213675214</v>
      </c>
      <c r="N132" s="9">
        <f t="shared" si="52"/>
        <v>1.790705411151034</v>
      </c>
      <c r="O132" s="9">
        <f t="shared" si="64"/>
        <v>0.07325223505585884</v>
      </c>
      <c r="P132" s="9">
        <f t="shared" si="65"/>
        <v>0.27716722181891706</v>
      </c>
      <c r="Q132" s="9">
        <f t="shared" si="66"/>
        <v>0.4535104067346688</v>
      </c>
      <c r="R132" s="9">
        <f t="shared" si="67"/>
        <v>0.06779950800763512</v>
      </c>
      <c r="S132" s="9">
        <f t="shared" si="68"/>
        <v>0.7603833865814694</v>
      </c>
      <c r="T132" s="9">
        <f t="shared" si="53"/>
        <v>1.8444582145954427</v>
      </c>
      <c r="U132" s="9">
        <f t="shared" si="69"/>
        <v>1.0625714951413792</v>
      </c>
      <c r="V132" s="9">
        <f t="shared" si="70"/>
        <v>3.343461545850683</v>
      </c>
      <c r="W132" s="9">
        <f t="shared" si="54"/>
        <v>1.790705411151034</v>
      </c>
      <c r="X132" s="20">
        <f t="shared" si="71"/>
        <v>1.7256255392579813</v>
      </c>
      <c r="Y132" s="23">
        <f t="shared" si="72"/>
        <v>-0.03660051768766178</v>
      </c>
      <c r="Z132" s="24">
        <f t="shared" si="73"/>
        <v>3.3116039906077326</v>
      </c>
    </row>
    <row r="133" spans="7:26" ht="12.75">
      <c r="G133" s="8">
        <f aca="true" t="shared" si="76" ref="G133:G145">G132+1</f>
        <v>306</v>
      </c>
      <c r="H133" s="8">
        <f t="shared" si="58"/>
        <v>0.06253338691017196</v>
      </c>
      <c r="I133" s="8">
        <f t="shared" si="59"/>
        <v>2.657825954270293</v>
      </c>
      <c r="J133" s="8">
        <f t="shared" si="60"/>
        <v>1.016854101280487</v>
      </c>
      <c r="K133" s="8">
        <f t="shared" si="61"/>
        <v>1.0128067203036106</v>
      </c>
      <c r="L133" s="8">
        <f t="shared" si="62"/>
        <v>0.00045657096939147324</v>
      </c>
      <c r="M133" s="8">
        <f t="shared" si="63"/>
        <v>0.5213675213675214</v>
      </c>
      <c r="N133" s="8">
        <f t="shared" si="52"/>
        <v>1.7879404492714857</v>
      </c>
      <c r="O133" s="8">
        <f t="shared" si="64"/>
        <v>0.07325223505585884</v>
      </c>
      <c r="P133" s="8">
        <f t="shared" si="65"/>
        <v>0.27367837193459094</v>
      </c>
      <c r="Q133" s="8">
        <f t="shared" si="66"/>
        <v>0.4501883354980576</v>
      </c>
      <c r="R133" s="8">
        <f t="shared" si="67"/>
        <v>0.06779950800763512</v>
      </c>
      <c r="S133" s="8">
        <f t="shared" si="68"/>
        <v>0.7603833865814694</v>
      </c>
      <c r="T133" s="8">
        <f t="shared" si="53"/>
        <v>1.8424543977080243</v>
      </c>
      <c r="U133" s="8">
        <f t="shared" si="69"/>
        <v>1.0607330262030086</v>
      </c>
      <c r="V133" s="8">
        <f t="shared" si="70"/>
        <v>3.343461545850683</v>
      </c>
      <c r="W133" s="8">
        <f t="shared" si="54"/>
        <v>1.7879404492714857</v>
      </c>
      <c r="X133" s="20">
        <f t="shared" si="71"/>
        <v>1.7199862401100794</v>
      </c>
      <c r="Y133" s="20">
        <f t="shared" si="72"/>
        <v>-0.036480908152734776</v>
      </c>
      <c r="Z133" s="22">
        <f t="shared" si="73"/>
        <v>3.3070269962804577</v>
      </c>
    </row>
    <row r="134" spans="7:26" ht="12.75">
      <c r="G134" s="9">
        <f t="shared" si="76"/>
        <v>307</v>
      </c>
      <c r="H134" s="9">
        <f t="shared" si="58"/>
        <v>0.06212666677334361</v>
      </c>
      <c r="I134" s="9">
        <f t="shared" si="59"/>
        <v>2.650797205233582</v>
      </c>
      <c r="J134" s="9">
        <f t="shared" si="60"/>
        <v>1.0102535631255245</v>
      </c>
      <c r="K134" s="9">
        <f t="shared" si="61"/>
        <v>1.0062063109330628</v>
      </c>
      <c r="L134" s="9">
        <f t="shared" si="62"/>
        <v>0.00045657096939147324</v>
      </c>
      <c r="M134" s="9">
        <f t="shared" si="63"/>
        <v>0.5213675213675214</v>
      </c>
      <c r="N134" s="9">
        <f t="shared" si="52"/>
        <v>1.7851905105386376</v>
      </c>
      <c r="O134" s="9">
        <f t="shared" si="64"/>
        <v>0.07325223505585884</v>
      </c>
      <c r="P134" s="9">
        <f t="shared" si="65"/>
        <v>0.27024530984622763</v>
      </c>
      <c r="Q134" s="9">
        <f t="shared" si="66"/>
        <v>0.4468986745977207</v>
      </c>
      <c r="R134" s="9">
        <f t="shared" si="67"/>
        <v>0.06779950800763512</v>
      </c>
      <c r="S134" s="9">
        <f t="shared" si="68"/>
        <v>0.7603833865814694</v>
      </c>
      <c r="T134" s="9">
        <f t="shared" si="53"/>
        <v>1.8404623370455102</v>
      </c>
      <c r="U134" s="9">
        <f t="shared" si="69"/>
        <v>1.0589065342609791</v>
      </c>
      <c r="V134" s="9">
        <f t="shared" si="70"/>
        <v>3.343461545850683</v>
      </c>
      <c r="W134" s="9">
        <f t="shared" si="54"/>
        <v>1.7851905105386376</v>
      </c>
      <c r="X134" s="20">
        <f t="shared" si="71"/>
        <v>1.7143836790673754</v>
      </c>
      <c r="Y134" s="23">
        <f t="shared" si="72"/>
        <v>-0.03636207783301903</v>
      </c>
      <c r="Z134" s="24">
        <f t="shared" si="73"/>
        <v>3.302466173171168</v>
      </c>
    </row>
    <row r="135" spans="7:26" ht="12.75">
      <c r="G135" s="8">
        <f t="shared" si="76"/>
        <v>308</v>
      </c>
      <c r="H135" s="8">
        <f aca="true" t="shared" si="77" ref="H135:H166">(Iout*(Vout_nom^2)*2.5*Rsense*K_1)/(eff*(G135^2)*K_FQ)*us</f>
        <v>0.06172390176168896</v>
      </c>
      <c r="I135" s="8">
        <f aca="true" t="shared" si="78" ref="I135:I166">(1*10^-9*(5*10^8*SQRT(fsw*kHz)+(1.09655978*10^10)*SQRT(ftyp)*SQRT(H135)))/SQRT(fsw*kHz)</f>
        <v>2.643814097424382</v>
      </c>
      <c r="J135" s="8">
        <f aca="true" t="shared" si="79" ref="J135:J166">(b_1^3/(27*a_1^3))-(d_1^3/27)+SQRT((ftyp)^2*H135^2/(4*a_1^2*c_1^2*(fsw*kHz)^2))+(b_1^3*(ftyp)*H135/(27*a_1^4*c_1*(fsw*kHz))-(d_1^3*(ftyp)*H135/(27*a_1*c_1*(fsw*kHz)))+(b_1*d_1^2*(ftyp)*H135/(9*a_1^2*c_1*(fsw*kHz)))-(b_1^2*d_1*(ftyp)*H135/(9*a_1^3*c_1*(fsw*kHz))))</f>
        <v>1.0037172115014288</v>
      </c>
      <c r="K135" s="8">
        <f aca="true" t="shared" si="80" ref="K135:K166">(b_1*d_1^2/(9*a_1))-(b_1^2*d_1/(9*a_1^2))+(ftyp*H135/(2*a_1*c_1*fsw*kHz))</f>
        <v>0.9996700868410259</v>
      </c>
      <c r="L135" s="8">
        <f aca="true" t="shared" si="81" ref="L135:L166">(d_1^2/9)+(b_1^2/(9*a_1^2))-(2*b_1*d_1/(9*a_1))</f>
        <v>0.00045657096939147324</v>
      </c>
      <c r="M135" s="8">
        <f aca="true" t="shared" si="82" ref="M135:M166">((b_1*c_1*fsw*kHz)+(2*a_1*c_1*d_1*fsw*kHz))/(3*a_1*c_1*fsw*kHz)</f>
        <v>0.5213675213675214</v>
      </c>
      <c r="N135" s="8">
        <f t="shared" si="52"/>
        <v>1.7824554648066404</v>
      </c>
      <c r="O135" s="8">
        <f aca="true" t="shared" si="83" ref="O135:O166">(b_2^3/(27*a_2^3))-(d_2^3/27)</f>
        <v>0.07325223505585884</v>
      </c>
      <c r="P135" s="8">
        <f aca="true" t="shared" si="84" ref="P135:P166">(ftyp^2*H135^2/(4*a_2^2*c_2^2*(fsw*kHz)^2))+(b_2^3*ftyp*H135/(27*a_2^4*c_2*(fsw*kHz)))-(d_2^3*ftyp*H135/(27*a_2*c_2*(fsw*kHz)))+(b_2*d_2^2*ftyp*H135/(9*a_2^2*c_2*(fsw*kHz)))-(b_2^2*d_2*ftyp*H135/(9*a_2^3*c_2*(fsw*kHz)))</f>
        <v>0.26686696141207006</v>
      </c>
      <c r="Q135" s="8">
        <f aca="true" t="shared" si="85" ref="Q135:Q166">(b_2*d_2^2/(9*a_2))-(b_2^2*d_2/(9*a_2^2))+(ftyp*H135/(2*a_2*c_2*(fsw*kHz)))</f>
        <v>0.4436410038042453</v>
      </c>
      <c r="R135" s="8">
        <f aca="true" t="shared" si="86" ref="R135:R166">(d_2^2/9)+(b_2^2/(9*a_2^2))-(2*b_2*d_2/(9*a_2))</f>
        <v>0.06779950800763512</v>
      </c>
      <c r="S135" s="8">
        <f aca="true" t="shared" si="87" ref="S135:S166">(b_2*c_2*(fsw*kHz)+2*a_2*c_2*d_2*(fsw*kHz))/(3*a_2*c_2*(fsw*kHz))</f>
        <v>0.7603833865814694</v>
      </c>
      <c r="T135" s="8">
        <f t="shared" si="53"/>
        <v>1.8384819298803534</v>
      </c>
      <c r="U135" s="8">
        <f aca="true" t="shared" si="88" ref="U135:U166">c_3+(SQRT(ftyp)*SQRT(H135)/(SQRT(a_3)*SQRT(b_3)*SQRT(fsw*kHz)))</f>
        <v>1.0570919026562358</v>
      </c>
      <c r="V135" s="8">
        <f aca="true" t="shared" si="89" ref="V135:V166">(a_4*(fsw*kHz)*b_4/ftyp)</f>
        <v>3.343461545850683</v>
      </c>
      <c r="W135" s="8">
        <f t="shared" si="54"/>
        <v>1.7824554648066404</v>
      </c>
      <c r="X135" s="20">
        <f aca="true" t="shared" si="90" ref="X135:X166">Pin_max/G135</f>
        <v>1.7088174982911828</v>
      </c>
      <c r="Y135" s="20">
        <f aca="true" t="shared" si="91" ref="Y135:Y166">-X135*Rsense*1.414</f>
        <v>-0.03624401913875599</v>
      </c>
      <c r="Z135" s="22">
        <f aca="true" t="shared" si="92" ref="Z135:Z166">MIN(6,MAX(0.5,Beta*G*($Y135-Voff_trim)/(MAX(0,MIN(4.5,W135)-Alpha1_A)+MAX(0,MIN(4.5,W135)-Alpha1_B)-Alpha1_C)+Alpha2))</f>
        <v>3.297921401523101</v>
      </c>
    </row>
    <row r="136" spans="7:26" ht="12.75">
      <c r="G136" s="9">
        <f t="shared" si="76"/>
        <v>309</v>
      </c>
      <c r="H136" s="9">
        <f t="shared" si="77"/>
        <v>0.06132504075911293</v>
      </c>
      <c r="I136" s="9">
        <f t="shared" si="78"/>
        <v>2.6368761877239795</v>
      </c>
      <c r="J136" s="9">
        <f t="shared" si="79"/>
        <v>0.9972442168605445</v>
      </c>
      <c r="K136" s="9">
        <f t="shared" si="80"/>
        <v>0.9931972184960294</v>
      </c>
      <c r="L136" s="9">
        <f t="shared" si="81"/>
        <v>0.00045657096939147324</v>
      </c>
      <c r="M136" s="9">
        <f t="shared" si="82"/>
        <v>0.5213675213675214</v>
      </c>
      <c r="N136" s="9">
        <f aca="true" t="shared" si="93" ref="N136:N187">(J136+K136)^(1/3)+(L136/(J136^(1/3)))+M136</f>
        <v>1.7797351834748425</v>
      </c>
      <c r="O136" s="9">
        <f t="shared" si="83"/>
        <v>0.07325223505585884</v>
      </c>
      <c r="P136" s="9">
        <f t="shared" si="84"/>
        <v>0.2635422766108165</v>
      </c>
      <c r="Q136" s="9">
        <f t="shared" si="85"/>
        <v>0.4404149096770266</v>
      </c>
      <c r="R136" s="9">
        <f t="shared" si="86"/>
        <v>0.06779950800763512</v>
      </c>
      <c r="S136" s="9">
        <f t="shared" si="87"/>
        <v>0.7603833865814694</v>
      </c>
      <c r="T136" s="9">
        <f aca="true" t="shared" si="94" ref="T136:T187">((O136+SQRT(P136)+Q136)^(1/3))+(R136/((O136+SQRT(P136)+Q136)^(1/3)))+S136</f>
        <v>1.8365130747058123</v>
      </c>
      <c r="U136" s="9">
        <f t="shared" si="88"/>
        <v>1.0552890162398725</v>
      </c>
      <c r="V136" s="9">
        <f t="shared" si="89"/>
        <v>3.343461545850683</v>
      </c>
      <c r="W136" s="9">
        <f aca="true" t="shared" si="95" ref="W136:W187">IF(I136&gt;=0.5,IF(I136&lt;1,I136,IF(N136&gt;=1,IF(N136&lt;2,N136,IF(T136&gt;=2,IF(T136&lt;4.5,T136,IF(U136&gt;=4.5,IF(U136&lt;4.6,U136,V136))))))))</f>
        <v>1.7797351834748425</v>
      </c>
      <c r="X136" s="20">
        <f t="shared" si="90"/>
        <v>1.70328734457503</v>
      </c>
      <c r="Y136" s="23">
        <f t="shared" si="91"/>
        <v>-0.03612672457843638</v>
      </c>
      <c r="Z136" s="24">
        <f t="shared" si="92"/>
        <v>3.293392562859711</v>
      </c>
    </row>
    <row r="137" spans="7:26" ht="12.75">
      <c r="G137" s="8">
        <f t="shared" si="76"/>
        <v>310</v>
      </c>
      <c r="H137" s="8">
        <f t="shared" si="77"/>
        <v>0.060930033472641636</v>
      </c>
      <c r="I137" s="8">
        <f t="shared" si="78"/>
        <v>2.6299830387313214</v>
      </c>
      <c r="J137" s="8">
        <f t="shared" si="79"/>
        <v>0.9908337630134011</v>
      </c>
      <c r="K137" s="8">
        <f t="shared" si="80"/>
        <v>0.986786889724528</v>
      </c>
      <c r="L137" s="8">
        <f t="shared" si="81"/>
        <v>0.00045657096939147324</v>
      </c>
      <c r="M137" s="8">
        <f t="shared" si="82"/>
        <v>0.5213675213675214</v>
      </c>
      <c r="N137" s="8">
        <f t="shared" si="93"/>
        <v>1.7770295394645141</v>
      </c>
      <c r="O137" s="8">
        <f t="shared" si="83"/>
        <v>0.07325223505585884</v>
      </c>
      <c r="P137" s="8">
        <f t="shared" si="84"/>
        <v>0.26027022892369256</v>
      </c>
      <c r="Q137" s="8">
        <f t="shared" si="85"/>
        <v>0.43721998543308344</v>
      </c>
      <c r="R137" s="8">
        <f t="shared" si="86"/>
        <v>0.06779950800763512</v>
      </c>
      <c r="S137" s="8">
        <f t="shared" si="87"/>
        <v>0.7603833865814694</v>
      </c>
      <c r="T137" s="8">
        <f t="shared" si="94"/>
        <v>1.8345556712175526</v>
      </c>
      <c r="U137" s="8">
        <f t="shared" si="88"/>
        <v>1.0534977613487762</v>
      </c>
      <c r="V137" s="8">
        <f t="shared" si="89"/>
        <v>3.343461545850683</v>
      </c>
      <c r="W137" s="8">
        <f t="shared" si="95"/>
        <v>1.7770295394645141</v>
      </c>
      <c r="X137" s="20">
        <f t="shared" si="90"/>
        <v>1.6977928692699493</v>
      </c>
      <c r="Y137" s="20">
        <f t="shared" si="91"/>
        <v>-0.03601018675721562</v>
      </c>
      <c r="Z137" s="22">
        <f t="shared" si="92"/>
        <v>3.288879539966866</v>
      </c>
    </row>
    <row r="138" spans="7:26" ht="12.75">
      <c r="G138" s="9">
        <f t="shared" si="76"/>
        <v>311</v>
      </c>
      <c r="H138" s="9">
        <f t="shared" si="77"/>
        <v>0.060538830416567886</v>
      </c>
      <c r="I138" s="9">
        <f t="shared" si="78"/>
        <v>2.623134218671092</v>
      </c>
      <c r="J138" s="9">
        <f t="shared" si="79"/>
        <v>0.9844850468714156</v>
      </c>
      <c r="K138" s="9">
        <f t="shared" si="80"/>
        <v>0.9804382974536078</v>
      </c>
      <c r="L138" s="9">
        <f t="shared" si="81"/>
        <v>0.00045657096939147324</v>
      </c>
      <c r="M138" s="9">
        <f t="shared" si="82"/>
        <v>0.5213675213675214</v>
      </c>
      <c r="N138" s="9">
        <f t="shared" si="93"/>
        <v>1.7743384071959993</v>
      </c>
      <c r="O138" s="9">
        <f t="shared" si="83"/>
        <v>0.07325223505585884</v>
      </c>
      <c r="P138" s="9">
        <f t="shared" si="84"/>
        <v>0.25704981473429167</v>
      </c>
      <c r="Q138" s="9">
        <f t="shared" si="85"/>
        <v>0.4340558308188229</v>
      </c>
      <c r="R138" s="9">
        <f t="shared" si="86"/>
        <v>0.06779950800763512</v>
      </c>
      <c r="S138" s="9">
        <f t="shared" si="87"/>
        <v>0.7603833865814694</v>
      </c>
      <c r="T138" s="9">
        <f t="shared" si="94"/>
        <v>1.8326096202955795</v>
      </c>
      <c r="U138" s="9">
        <f t="shared" si="88"/>
        <v>1.0517180257817382</v>
      </c>
      <c r="V138" s="9">
        <f t="shared" si="89"/>
        <v>3.343461545850683</v>
      </c>
      <c r="W138" s="9">
        <f t="shared" si="95"/>
        <v>1.7743384071959993</v>
      </c>
      <c r="X138" s="20">
        <f t="shared" si="90"/>
        <v>1.6923337282112034</v>
      </c>
      <c r="Y138" s="23">
        <f t="shared" si="91"/>
        <v>-0.03589439837535962</v>
      </c>
      <c r="Z138" s="24">
        <f t="shared" si="92"/>
        <v>3.2843822168753176</v>
      </c>
    </row>
    <row r="139" spans="7:26" ht="12.75">
      <c r="G139" s="8">
        <f t="shared" si="76"/>
        <v>312</v>
      </c>
      <c r="H139" s="8">
        <f t="shared" si="77"/>
        <v>0.060151382896951655</v>
      </c>
      <c r="I139" s="8">
        <f t="shared" si="78"/>
        <v>2.6163293013035567</v>
      </c>
      <c r="J139" s="8">
        <f t="shared" si="79"/>
        <v>0.9781972781953547</v>
      </c>
      <c r="K139" s="8">
        <f t="shared" si="80"/>
        <v>0.974150651459454</v>
      </c>
      <c r="L139" s="8">
        <f t="shared" si="81"/>
        <v>0.00045657096939147324</v>
      </c>
      <c r="M139" s="8">
        <f t="shared" si="82"/>
        <v>0.5213675213675214</v>
      </c>
      <c r="N139" s="8">
        <f t="shared" si="93"/>
        <v>1.7716616625662804</v>
      </c>
      <c r="O139" s="8">
        <f t="shared" si="83"/>
        <v>0.07325223505585884</v>
      </c>
      <c r="P139" s="8">
        <f t="shared" si="84"/>
        <v>0.2538800527456128</v>
      </c>
      <c r="Q139" s="8">
        <f t="shared" si="85"/>
        <v>0.430922051984676</v>
      </c>
      <c r="R139" s="8">
        <f t="shared" si="86"/>
        <v>0.06779950800763512</v>
      </c>
      <c r="S139" s="8">
        <f t="shared" si="87"/>
        <v>0.7603833865814694</v>
      </c>
      <c r="T139" s="8">
        <f t="shared" si="94"/>
        <v>1.8306748239865005</v>
      </c>
      <c r="U139" s="8">
        <f t="shared" si="88"/>
        <v>1.0499496987760275</v>
      </c>
      <c r="V139" s="8">
        <f t="shared" si="89"/>
        <v>3.343461545850683</v>
      </c>
      <c r="W139" s="8">
        <f t="shared" si="95"/>
        <v>1.7716616625662804</v>
      </c>
      <c r="X139" s="20">
        <f t="shared" si="90"/>
        <v>1.686909581646424</v>
      </c>
      <c r="Y139" s="20">
        <f t="shared" si="91"/>
        <v>-0.03577935222672065</v>
      </c>
      <c r="Z139" s="22">
        <f t="shared" si="92"/>
        <v>3.2799004788435018</v>
      </c>
    </row>
    <row r="140" spans="7:26" ht="12.75">
      <c r="G140" s="9">
        <f t="shared" si="76"/>
        <v>313</v>
      </c>
      <c r="H140" s="9">
        <f t="shared" si="77"/>
        <v>0.059767642996466856</v>
      </c>
      <c r="I140" s="9">
        <f t="shared" si="78"/>
        <v>2.609567865836133</v>
      </c>
      <c r="J140" s="9">
        <f t="shared" si="79"/>
        <v>0.9719696793494181</v>
      </c>
      <c r="K140" s="9">
        <f t="shared" si="80"/>
        <v>0.967923174121439</v>
      </c>
      <c r="L140" s="9">
        <f t="shared" si="81"/>
        <v>0.00045657096939147324</v>
      </c>
      <c r="M140" s="9">
        <f t="shared" si="82"/>
        <v>0.5213675213675214</v>
      </c>
      <c r="N140" s="9">
        <f t="shared" si="93"/>
        <v>1.7689991829269522</v>
      </c>
      <c r="O140" s="9">
        <f t="shared" si="83"/>
        <v>0.07325223505585884</v>
      </c>
      <c r="P140" s="9">
        <f t="shared" si="84"/>
        <v>0.2507599834137562</v>
      </c>
      <c r="Q140" s="9">
        <f t="shared" si="85"/>
        <v>0.4278182613625343</v>
      </c>
      <c r="R140" s="9">
        <f t="shared" si="86"/>
        <v>0.06779950800763512</v>
      </c>
      <c r="S140" s="9">
        <f t="shared" si="87"/>
        <v>0.7603833865814694</v>
      </c>
      <c r="T140" s="9">
        <f t="shared" si="94"/>
        <v>1.828751185486111</v>
      </c>
      <c r="U140" s="9">
        <f t="shared" si="88"/>
        <v>1.048192670984411</v>
      </c>
      <c r="V140" s="9">
        <f t="shared" si="89"/>
        <v>3.343461545850683</v>
      </c>
      <c r="W140" s="9">
        <f t="shared" si="95"/>
        <v>1.7689991829269522</v>
      </c>
      <c r="X140" s="20">
        <f t="shared" si="90"/>
        <v>1.6815200941651254</v>
      </c>
      <c r="Y140" s="23">
        <f t="shared" si="91"/>
        <v>-0.03566504119724231</v>
      </c>
      <c r="Z140" s="24">
        <f t="shared" si="92"/>
        <v>3.2754342123406053</v>
      </c>
    </row>
    <row r="141" spans="7:26" ht="12.75">
      <c r="G141" s="8">
        <f t="shared" si="76"/>
        <v>314</v>
      </c>
      <c r="H141" s="8">
        <f t="shared" si="77"/>
        <v>0.05938756355958519</v>
      </c>
      <c r="I141" s="8">
        <f t="shared" si="78"/>
        <v>2.602849496836655</v>
      </c>
      <c r="J141" s="8">
        <f t="shared" si="79"/>
        <v>0.9658014850607914</v>
      </c>
      <c r="K141" s="8">
        <f t="shared" si="80"/>
        <v>0.9617551001816796</v>
      </c>
      <c r="L141" s="8">
        <f t="shared" si="81"/>
        <v>0.00045657096939147324</v>
      </c>
      <c r="M141" s="8">
        <f t="shared" si="82"/>
        <v>0.5213675213675214</v>
      </c>
      <c r="N141" s="8">
        <f t="shared" si="93"/>
        <v>1.76635084706259</v>
      </c>
      <c r="O141" s="8">
        <f t="shared" si="83"/>
        <v>0.07325223505585884</v>
      </c>
      <c r="P141" s="8">
        <f t="shared" si="84"/>
        <v>0.247688668397743</v>
      </c>
      <c r="Q141" s="8">
        <f t="shared" si="85"/>
        <v>0.42474407754591303</v>
      </c>
      <c r="R141" s="8">
        <f t="shared" si="86"/>
        <v>0.06779950800763512</v>
      </c>
      <c r="S141" s="8">
        <f t="shared" si="87"/>
        <v>0.7603833865814694</v>
      </c>
      <c r="T141" s="8">
        <f t="shared" si="94"/>
        <v>1.8268386091222895</v>
      </c>
      <c r="U141" s="8">
        <f t="shared" si="88"/>
        <v>1.0464468344526132</v>
      </c>
      <c r="V141" s="8">
        <f t="shared" si="89"/>
        <v>3.343461545850683</v>
      </c>
      <c r="W141" s="8">
        <f t="shared" si="95"/>
        <v>1.76635084706259</v>
      </c>
      <c r="X141" s="20">
        <f t="shared" si="90"/>
        <v>1.6761649346295677</v>
      </c>
      <c r="Y141" s="20">
        <f t="shared" si="91"/>
        <v>-0.035551458263493124</v>
      </c>
      <c r="Z141" s="22">
        <f t="shared" si="92"/>
        <v>3.2709833050299393</v>
      </c>
    </row>
    <row r="142" spans="7:26" ht="12.75">
      <c r="G142" s="9">
        <f t="shared" si="76"/>
        <v>315</v>
      </c>
      <c r="H142" s="9">
        <f t="shared" si="77"/>
        <v>0.059011098178088806</v>
      </c>
      <c r="I142" s="9">
        <f t="shared" si="78"/>
        <v>2.596173784148285</v>
      </c>
      <c r="J142" s="9">
        <f t="shared" si="79"/>
        <v>0.9596919421845359</v>
      </c>
      <c r="K142" s="9">
        <f t="shared" si="80"/>
        <v>0.9556456765099322</v>
      </c>
      <c r="L142" s="9">
        <f t="shared" si="81"/>
        <v>0.00045657096939147324</v>
      </c>
      <c r="M142" s="9">
        <f t="shared" si="82"/>
        <v>0.5213675213675214</v>
      </c>
      <c r="N142" s="9">
        <f t="shared" si="93"/>
        <v>1.7637165351695092</v>
      </c>
      <c r="O142" s="9">
        <f t="shared" si="83"/>
        <v>0.07325223505585884</v>
      </c>
      <c r="P142" s="9">
        <f t="shared" si="84"/>
        <v>0.2446651900249549</v>
      </c>
      <c r="Q142" s="9">
        <f t="shared" si="85"/>
        <v>0.42169912517277364</v>
      </c>
      <c r="R142" s="9">
        <f t="shared" si="86"/>
        <v>0.06779950800763512</v>
      </c>
      <c r="S142" s="9">
        <f t="shared" si="87"/>
        <v>0.7603833865814694</v>
      </c>
      <c r="T142" s="9">
        <f t="shared" si="94"/>
        <v>1.8249370003382097</v>
      </c>
      <c r="U142" s="9">
        <f t="shared" si="88"/>
        <v>1.0447120825972083</v>
      </c>
      <c r="V142" s="9">
        <f t="shared" si="89"/>
        <v>3.343461545850683</v>
      </c>
      <c r="W142" s="9">
        <f t="shared" si="95"/>
        <v>1.7637165351695092</v>
      </c>
      <c r="X142" s="20">
        <f t="shared" si="90"/>
        <v>1.6708437761069341</v>
      </c>
      <c r="Y142" s="23">
        <f t="shared" si="91"/>
        <v>-0.03543859649122807</v>
      </c>
      <c r="Z142" s="24">
        <f t="shared" si="92"/>
        <v>3.2665476457525835</v>
      </c>
    </row>
    <row r="143" spans="7:26" ht="12.75">
      <c r="G143" s="8">
        <f t="shared" si="76"/>
        <v>316</v>
      </c>
      <c r="H143" s="8">
        <f t="shared" si="77"/>
        <v>0.05863820117690336</v>
      </c>
      <c r="I143" s="8">
        <f t="shared" si="78"/>
        <v>2.5895403228060436</v>
      </c>
      <c r="J143" s="8">
        <f t="shared" si="79"/>
        <v>0.9536403094736765</v>
      </c>
      <c r="K143" s="8">
        <f t="shared" si="80"/>
        <v>0.9495941618736842</v>
      </c>
      <c r="L143" s="8">
        <f t="shared" si="81"/>
        <v>0.00045657096939147324</v>
      </c>
      <c r="M143" s="8">
        <f t="shared" si="82"/>
        <v>0.5213675213675214</v>
      </c>
      <c r="N143" s="8">
        <f t="shared" si="93"/>
        <v>1.7610961288349065</v>
      </c>
      <c r="O143" s="8">
        <f t="shared" si="83"/>
        <v>0.07325223505585884</v>
      </c>
      <c r="P143" s="8">
        <f t="shared" si="84"/>
        <v>0.2416886507716992</v>
      </c>
      <c r="Q143" s="8">
        <f t="shared" si="85"/>
        <v>0.4186830348109376</v>
      </c>
      <c r="R143" s="8">
        <f t="shared" si="86"/>
        <v>0.06779950800763512</v>
      </c>
      <c r="S143" s="8">
        <f t="shared" si="87"/>
        <v>0.7603833865814694</v>
      </c>
      <c r="T143" s="8">
        <f t="shared" si="94"/>
        <v>1.8230462656758437</v>
      </c>
      <c r="U143" s="8">
        <f t="shared" si="88"/>
        <v>1.042988310183926</v>
      </c>
      <c r="V143" s="8">
        <f t="shared" si="89"/>
        <v>3.343461545850683</v>
      </c>
      <c r="W143" s="8">
        <f t="shared" si="95"/>
        <v>1.7610961288349065</v>
      </c>
      <c r="X143" s="20">
        <f t="shared" si="90"/>
        <v>1.6655562958027983</v>
      </c>
      <c r="Y143" s="20">
        <f t="shared" si="91"/>
        <v>-0.03532644903397735</v>
      </c>
      <c r="Z143" s="22">
        <f t="shared" si="92"/>
        <v>3.262127124511305</v>
      </c>
    </row>
    <row r="144" spans="7:26" ht="12.75">
      <c r="G144" s="9">
        <f t="shared" si="76"/>
        <v>317</v>
      </c>
      <c r="H144" s="9">
        <f t="shared" si="77"/>
        <v>0.058268827600243434</v>
      </c>
      <c r="I144" s="9">
        <f t="shared" si="78"/>
        <v>2.58294871295492</v>
      </c>
      <c r="J144" s="9">
        <f t="shared" si="79"/>
        <v>0.9476458573543616</v>
      </c>
      <c r="K144" s="9">
        <f t="shared" si="80"/>
        <v>0.9435998267133185</v>
      </c>
      <c r="L144" s="9">
        <f t="shared" si="81"/>
        <v>0.00045657096939147324</v>
      </c>
      <c r="M144" s="9">
        <f t="shared" si="82"/>
        <v>0.5213675213675214</v>
      </c>
      <c r="N144" s="9">
        <f t="shared" si="93"/>
        <v>1.7584895110163727</v>
      </c>
      <c r="O144" s="9">
        <f t="shared" si="83"/>
        <v>0.07325223505585884</v>
      </c>
      <c r="P144" s="9">
        <f t="shared" si="84"/>
        <v>0.2387581727584275</v>
      </c>
      <c r="Q144" s="9">
        <f t="shared" si="85"/>
        <v>0.41569544284602694</v>
      </c>
      <c r="R144" s="9">
        <f t="shared" si="86"/>
        <v>0.06779950800763512</v>
      </c>
      <c r="S144" s="9">
        <f t="shared" si="87"/>
        <v>0.7603833865814694</v>
      </c>
      <c r="T144" s="9">
        <f t="shared" si="94"/>
        <v>1.8211663127597681</v>
      </c>
      <c r="U144" s="9">
        <f t="shared" si="88"/>
        <v>1.0412754133063742</v>
      </c>
      <c r="V144" s="9">
        <f t="shared" si="89"/>
        <v>3.343461545850683</v>
      </c>
      <c r="W144" s="9">
        <f t="shared" si="95"/>
        <v>1.7584895110163727</v>
      </c>
      <c r="X144" s="20">
        <f t="shared" si="90"/>
        <v>1.6603021749958495</v>
      </c>
      <c r="Y144" s="23">
        <f t="shared" si="91"/>
        <v>-0.035215009131661965</v>
      </c>
      <c r="Z144" s="24">
        <f t="shared" si="92"/>
        <v>3.257721632454749</v>
      </c>
    </row>
    <row r="145" spans="7:26" ht="12.75">
      <c r="G145" s="8">
        <f t="shared" si="76"/>
        <v>318</v>
      </c>
      <c r="H145" s="8">
        <f t="shared" si="77"/>
        <v>0.0579029331980624</v>
      </c>
      <c r="I145" s="8">
        <f t="shared" si="78"/>
        <v>2.5763985597695274</v>
      </c>
      <c r="J145" s="8">
        <f t="shared" si="79"/>
        <v>0.9417078677059603</v>
      </c>
      <c r="K145" s="8">
        <f t="shared" si="80"/>
        <v>0.9376619529222161</v>
      </c>
      <c r="L145" s="8">
        <f t="shared" si="81"/>
        <v>0.00045657096939147324</v>
      </c>
      <c r="M145" s="8">
        <f t="shared" si="82"/>
        <v>0.5213675213675214</v>
      </c>
      <c r="N145" s="8">
        <f t="shared" si="93"/>
        <v>1.7558965660217716</v>
      </c>
      <c r="O145" s="8">
        <f t="shared" si="83"/>
        <v>0.07325223505585884</v>
      </c>
      <c r="P145" s="8">
        <f t="shared" si="84"/>
        <v>0.2358728972591481</v>
      </c>
      <c r="Q145" s="8">
        <f t="shared" si="85"/>
        <v>0.4127359913718673</v>
      </c>
      <c r="R145" s="8">
        <f t="shared" si="86"/>
        <v>0.06779950800763512</v>
      </c>
      <c r="S145" s="8">
        <f t="shared" si="87"/>
        <v>0.7603833865814694</v>
      </c>
      <c r="T145" s="8">
        <f t="shared" si="94"/>
        <v>1.8192970502812553</v>
      </c>
      <c r="U145" s="8">
        <f t="shared" si="88"/>
        <v>1.0395732893651592</v>
      </c>
      <c r="V145" s="8">
        <f t="shared" si="89"/>
        <v>3.343461545850683</v>
      </c>
      <c r="W145" s="8">
        <f t="shared" si="95"/>
        <v>1.7558965660217716</v>
      </c>
      <c r="X145" s="20">
        <f t="shared" si="90"/>
        <v>1.65508109897385</v>
      </c>
      <c r="Y145" s="20">
        <f t="shared" si="91"/>
        <v>-0.03510427010923536</v>
      </c>
      <c r="Z145" s="22">
        <f t="shared" si="92"/>
        <v>3.253331061861902</v>
      </c>
    </row>
    <row r="146" spans="7:26" ht="12.75">
      <c r="G146" s="9">
        <f aca="true" t="shared" si="96" ref="G146:G154">G145+1</f>
        <v>319</v>
      </c>
      <c r="H146" s="9">
        <f t="shared" si="77"/>
        <v>0.05754047441279922</v>
      </c>
      <c r="I146" s="9">
        <f t="shared" si="78"/>
        <v>2.5698894733752655</v>
      </c>
      <c r="J146" s="9">
        <f t="shared" si="79"/>
        <v>0.9358256336459815</v>
      </c>
      <c r="K146" s="9">
        <f t="shared" si="80"/>
        <v>0.9317798336316776</v>
      </c>
      <c r="L146" s="9">
        <f t="shared" si="81"/>
        <v>0.00045657096939147324</v>
      </c>
      <c r="M146" s="9">
        <f t="shared" si="82"/>
        <v>0.5213675213675214</v>
      </c>
      <c r="N146" s="9">
        <f t="shared" si="93"/>
        <v>1.7533171794894757</v>
      </c>
      <c r="O146" s="9">
        <f t="shared" si="83"/>
        <v>0.07325223505585884</v>
      </c>
      <c r="P146" s="9">
        <f t="shared" si="84"/>
        <v>0.23303198422458996</v>
      </c>
      <c r="Q146" s="9">
        <f t="shared" si="85"/>
        <v>0.4098043280832922</v>
      </c>
      <c r="R146" s="9">
        <f t="shared" si="86"/>
        <v>0.06779950800763512</v>
      </c>
      <c r="S146" s="9">
        <f t="shared" si="87"/>
        <v>0.7603833865814694</v>
      </c>
      <c r="T146" s="9">
        <f t="shared" si="94"/>
        <v>1.8174383879826497</v>
      </c>
      <c r="U146" s="9">
        <f t="shared" si="88"/>
        <v>1.0378818370474</v>
      </c>
      <c r="V146" s="9">
        <f t="shared" si="89"/>
        <v>3.343461545850683</v>
      </c>
      <c r="W146" s="9">
        <f t="shared" si="95"/>
        <v>1.7533171794894757</v>
      </c>
      <c r="X146" s="20">
        <f t="shared" si="90"/>
        <v>1.649892756970797</v>
      </c>
      <c r="Y146" s="23">
        <f t="shared" si="91"/>
        <v>-0.0349942253753506</v>
      </c>
      <c r="Z146" s="24">
        <f t="shared" si="92"/>
        <v>3.2489553061267973</v>
      </c>
    </row>
    <row r="147" spans="7:26" ht="12.75">
      <c r="G147" s="8">
        <f t="shared" si="96"/>
        <v>320</v>
      </c>
      <c r="H147" s="8">
        <f t="shared" si="77"/>
        <v>0.057181408366414666</v>
      </c>
      <c r="I147" s="8">
        <f t="shared" si="78"/>
        <v>2.5634210687709675</v>
      </c>
      <c r="J147" s="8">
        <f t="shared" si="79"/>
        <v>0.9299984593196878</v>
      </c>
      <c r="K147" s="8">
        <f t="shared" si="80"/>
        <v>0.9259527730005431</v>
      </c>
      <c r="L147" s="8">
        <f t="shared" si="81"/>
        <v>0.00045657096939147324</v>
      </c>
      <c r="M147" s="8">
        <f t="shared" si="82"/>
        <v>0.5213675213675214</v>
      </c>
      <c r="N147" s="8">
        <f t="shared" si="93"/>
        <v>1.7507512383689536</v>
      </c>
      <c r="O147" s="8">
        <f t="shared" si="83"/>
        <v>0.07325223505585884</v>
      </c>
      <c r="P147" s="8">
        <f t="shared" si="84"/>
        <v>0.2302346118186928</v>
      </c>
      <c r="Q147" s="8">
        <f t="shared" si="85"/>
        <v>0.4069001061712891</v>
      </c>
      <c r="R147" s="8">
        <f t="shared" si="86"/>
        <v>0.06779950800763512</v>
      </c>
      <c r="S147" s="8">
        <f t="shared" si="87"/>
        <v>0.7603833865814694</v>
      </c>
      <c r="T147" s="8">
        <f t="shared" si="94"/>
        <v>1.8155902366420196</v>
      </c>
      <c r="U147" s="8">
        <f t="shared" si="88"/>
        <v>1.0362009563066268</v>
      </c>
      <c r="V147" s="8">
        <f t="shared" si="89"/>
        <v>3.343461545850683</v>
      </c>
      <c r="W147" s="8">
        <f t="shared" si="95"/>
        <v>1.7507512383689536</v>
      </c>
      <c r="X147" s="20">
        <f t="shared" si="90"/>
        <v>1.6447368421052633</v>
      </c>
      <c r="Y147" s="20">
        <f t="shared" si="91"/>
        <v>-0.03488486842105263</v>
      </c>
      <c r="Z147" s="22">
        <f t="shared" si="92"/>
        <v>3.2445942597434927</v>
      </c>
    </row>
    <row r="148" spans="7:26" ht="12.75">
      <c r="G148" s="9">
        <f t="shared" si="96"/>
        <v>321</v>
      </c>
      <c r="H148" s="9">
        <f t="shared" si="77"/>
        <v>0.05682569284770977</v>
      </c>
      <c r="I148" s="9">
        <f t="shared" si="78"/>
        <v>2.5569929657529893</v>
      </c>
      <c r="J148" s="9">
        <f t="shared" si="79"/>
        <v>0.9242256596942914</v>
      </c>
      <c r="K148" s="9">
        <f t="shared" si="80"/>
        <v>0.9201800860093899</v>
      </c>
      <c r="L148" s="9">
        <f t="shared" si="81"/>
        <v>0.00045657096939147324</v>
      </c>
      <c r="M148" s="9">
        <f t="shared" si="82"/>
        <v>0.5213675213675214</v>
      </c>
      <c r="N148" s="9">
        <f t="shared" si="93"/>
        <v>1.7481986309016988</v>
      </c>
      <c r="O148" s="9">
        <f t="shared" si="83"/>
        <v>0.07325223505585884</v>
      </c>
      <c r="P148" s="9">
        <f t="shared" si="84"/>
        <v>0.2274799759680079</v>
      </c>
      <c r="Q148" s="9">
        <f t="shared" si="85"/>
        <v>0.4040229842204268</v>
      </c>
      <c r="R148" s="9">
        <f t="shared" si="86"/>
        <v>0.06779950800763512</v>
      </c>
      <c r="S148" s="9">
        <f t="shared" si="87"/>
        <v>0.7603833865814694</v>
      </c>
      <c r="T148" s="9">
        <f t="shared" si="94"/>
        <v>1.8137525080580796</v>
      </c>
      <c r="U148" s="9">
        <f t="shared" si="88"/>
        <v>1.0345305483430547</v>
      </c>
      <c r="V148" s="9">
        <f t="shared" si="89"/>
        <v>3.343461545850683</v>
      </c>
      <c r="W148" s="9">
        <f t="shared" si="95"/>
        <v>1.7481986309016988</v>
      </c>
      <c r="X148" s="20">
        <f t="shared" si="90"/>
        <v>1.6396130513198888</v>
      </c>
      <c r="Y148" s="23">
        <f t="shared" si="91"/>
        <v>-0.03477619281849484</v>
      </c>
      <c r="Z148" s="24">
        <f t="shared" si="92"/>
        <v>3.2402478182912837</v>
      </c>
    </row>
    <row r="149" spans="7:26" ht="12.75">
      <c r="G149" s="8">
        <f t="shared" si="96"/>
        <v>322</v>
      </c>
      <c r="H149" s="8">
        <f t="shared" si="77"/>
        <v>0.05647328629991959</v>
      </c>
      <c r="I149" s="8">
        <f t="shared" si="78"/>
        <v>2.5506047888407135</v>
      </c>
      <c r="J149" s="8">
        <f t="shared" si="79"/>
        <v>0.9185065603576156</v>
      </c>
      <c r="K149" s="8">
        <f t="shared" si="80"/>
        <v>0.9144610982592005</v>
      </c>
      <c r="L149" s="8">
        <f t="shared" si="81"/>
        <v>0.00045657096939147324</v>
      </c>
      <c r="M149" s="8">
        <f t="shared" si="82"/>
        <v>0.5213675213675214</v>
      </c>
      <c r="N149" s="8">
        <f t="shared" si="93"/>
        <v>1.7456592466024943</v>
      </c>
      <c r="O149" s="8">
        <f t="shared" si="83"/>
        <v>0.07325223505585884</v>
      </c>
      <c r="P149" s="8">
        <f t="shared" si="84"/>
        <v>0.22476728992361317</v>
      </c>
      <c r="Q149" s="8">
        <f t="shared" si="85"/>
        <v>0.4011726261085113</v>
      </c>
      <c r="R149" s="8">
        <f t="shared" si="86"/>
        <v>0.06779950800763512</v>
      </c>
      <c r="S149" s="8">
        <f t="shared" si="87"/>
        <v>0.7603833865814694</v>
      </c>
      <c r="T149" s="8">
        <f t="shared" si="94"/>
        <v>1.8119251150353817</v>
      </c>
      <c r="U149" s="8">
        <f t="shared" si="88"/>
        <v>1.0328705155842255</v>
      </c>
      <c r="V149" s="8">
        <f t="shared" si="89"/>
        <v>3.343461545850683</v>
      </c>
      <c r="W149" s="8">
        <f t="shared" si="95"/>
        <v>1.7456592466024943</v>
      </c>
      <c r="X149" s="20">
        <f t="shared" si="90"/>
        <v>1.634521085322001</v>
      </c>
      <c r="Y149" s="20">
        <f t="shared" si="91"/>
        <v>-0.034668192219679636</v>
      </c>
      <c r="Z149" s="22">
        <f t="shared" si="92"/>
        <v>3.2359158784201667</v>
      </c>
    </row>
    <row r="150" spans="7:26" ht="12.75">
      <c r="G150" s="9">
        <f t="shared" si="96"/>
        <v>323</v>
      </c>
      <c r="H150" s="9">
        <f t="shared" si="77"/>
        <v>0.05612414780857539</v>
      </c>
      <c r="I150" s="9">
        <f t="shared" si="78"/>
        <v>2.5442561672034354</v>
      </c>
      <c r="J150" s="9">
        <f t="shared" si="79"/>
        <v>0.9128404973211155</v>
      </c>
      <c r="K150" s="9">
        <f t="shared" si="80"/>
        <v>0.908795145774385</v>
      </c>
      <c r="L150" s="9">
        <f t="shared" si="81"/>
        <v>0.00045657096939147324</v>
      </c>
      <c r="M150" s="9">
        <f t="shared" si="82"/>
        <v>0.5213675213675214</v>
      </c>
      <c r="N150" s="9">
        <f t="shared" si="93"/>
        <v>1.7431329762410086</v>
      </c>
      <c r="O150" s="9">
        <f t="shared" si="83"/>
        <v>0.07325223505585884</v>
      </c>
      <c r="P150" s="9">
        <f t="shared" si="84"/>
        <v>0.22209578383515724</v>
      </c>
      <c r="Q150" s="9">
        <f t="shared" si="85"/>
        <v>0.39834870090841157</v>
      </c>
      <c r="R150" s="9">
        <f t="shared" si="86"/>
        <v>0.06779950800763512</v>
      </c>
      <c r="S150" s="9">
        <f t="shared" si="87"/>
        <v>0.7603833865814694</v>
      </c>
      <c r="T150" s="9">
        <f t="shared" si="94"/>
        <v>1.8101079713697632</v>
      </c>
      <c r="U150" s="9">
        <f t="shared" si="88"/>
        <v>1.031220761666008</v>
      </c>
      <c r="V150" s="9">
        <f t="shared" si="89"/>
        <v>3.343461545850683</v>
      </c>
      <c r="W150" s="9">
        <f t="shared" si="95"/>
        <v>1.7431329762410086</v>
      </c>
      <c r="X150" s="20">
        <f t="shared" si="90"/>
        <v>1.6294606485253382</v>
      </c>
      <c r="Y150" s="23">
        <f t="shared" si="91"/>
        <v>-0.03456086035522242</v>
      </c>
      <c r="Z150" s="24">
        <f t="shared" si="92"/>
        <v>3.2315983378365427</v>
      </c>
    </row>
    <row r="151" spans="7:26" ht="12.75">
      <c r="G151" s="8">
        <f t="shared" si="96"/>
        <v>324</v>
      </c>
      <c r="H151" s="8">
        <f t="shared" si="77"/>
        <v>0.0557782370896287</v>
      </c>
      <c r="I151" s="8">
        <f t="shared" si="78"/>
        <v>2.53794673458861</v>
      </c>
      <c r="J151" s="8">
        <f t="shared" si="79"/>
        <v>0.9072268168271453</v>
      </c>
      <c r="K151" s="8">
        <f t="shared" si="80"/>
        <v>0.9031815748100532</v>
      </c>
      <c r="L151" s="8">
        <f t="shared" si="81"/>
        <v>0.00045657096939147324</v>
      </c>
      <c r="M151" s="8">
        <f t="shared" si="82"/>
        <v>0.5213675213675214</v>
      </c>
      <c r="N151" s="8">
        <f t="shared" si="93"/>
        <v>1.740619711823709</v>
      </c>
      <c r="O151" s="8">
        <f t="shared" si="83"/>
        <v>0.07325223505585884</v>
      </c>
      <c r="P151" s="8">
        <f t="shared" si="84"/>
        <v>0.21946470433665793</v>
      </c>
      <c r="Q151" s="8">
        <f t="shared" si="85"/>
        <v>0.3955508827920034</v>
      </c>
      <c r="R151" s="8">
        <f t="shared" si="86"/>
        <v>0.06779950800763512</v>
      </c>
      <c r="S151" s="8">
        <f t="shared" si="87"/>
        <v>0.7603833865814694</v>
      </c>
      <c r="T151" s="8">
        <f t="shared" si="94"/>
        <v>1.8083009918340505</v>
      </c>
      <c r="U151" s="8">
        <f t="shared" si="88"/>
        <v>1.0295811914139525</v>
      </c>
      <c r="V151" s="8">
        <f t="shared" si="89"/>
        <v>3.343461545850683</v>
      </c>
      <c r="W151" s="8">
        <f t="shared" si="95"/>
        <v>1.740619711823709</v>
      </c>
      <c r="X151" s="20">
        <f t="shared" si="90"/>
        <v>1.6244314489928526</v>
      </c>
      <c r="Y151" s="20">
        <f t="shared" si="91"/>
        <v>-0.034454191033138404</v>
      </c>
      <c r="Z151" s="22">
        <f t="shared" si="92"/>
        <v>3.227295095289155</v>
      </c>
    </row>
    <row r="152" spans="7:26" ht="12.75">
      <c r="G152" s="9">
        <f t="shared" si="96"/>
        <v>325</v>
      </c>
      <c r="H152" s="9">
        <f t="shared" si="77"/>
        <v>0.05543551447783064</v>
      </c>
      <c r="I152" s="9">
        <f t="shared" si="78"/>
        <v>2.5316761292514145</v>
      </c>
      <c r="J152" s="9">
        <f t="shared" si="79"/>
        <v>0.9016648751603717</v>
      </c>
      <c r="K152" s="9">
        <f t="shared" si="80"/>
        <v>0.8976197416634315</v>
      </c>
      <c r="L152" s="9">
        <f t="shared" si="81"/>
        <v>0.00045657096939147324</v>
      </c>
      <c r="M152" s="9">
        <f t="shared" si="82"/>
        <v>0.5213675213675214</v>
      </c>
      <c r="N152" s="9">
        <f t="shared" si="93"/>
        <v>1.738119346576096</v>
      </c>
      <c r="O152" s="9">
        <f t="shared" si="83"/>
        <v>0.07325223505585884</v>
      </c>
      <c r="P152" s="9">
        <f t="shared" si="84"/>
        <v>0.21687331414369954</v>
      </c>
      <c r="Q152" s="9">
        <f t="shared" si="85"/>
        <v>0.3927788509361791</v>
      </c>
      <c r="R152" s="9">
        <f t="shared" si="86"/>
        <v>0.06779950800763512</v>
      </c>
      <c r="S152" s="9">
        <f t="shared" si="87"/>
        <v>0.7603833865814694</v>
      </c>
      <c r="T152" s="9">
        <f t="shared" si="94"/>
        <v>1.806504092164015</v>
      </c>
      <c r="U152" s="9">
        <f t="shared" si="88"/>
        <v>1.0279517108249865</v>
      </c>
      <c r="V152" s="9">
        <f t="shared" si="89"/>
        <v>3.343461545850683</v>
      </c>
      <c r="W152" s="9">
        <f t="shared" si="95"/>
        <v>1.738119346576096</v>
      </c>
      <c r="X152" s="20">
        <f t="shared" si="90"/>
        <v>1.619433198380567</v>
      </c>
      <c r="Y152" s="23">
        <f t="shared" si="91"/>
        <v>-0.03434817813765182</v>
      </c>
      <c r="Z152" s="24">
        <f t="shared" si="92"/>
        <v>3.22300605055525</v>
      </c>
    </row>
    <row r="153" spans="7:26" ht="12.75">
      <c r="G153" s="8">
        <f t="shared" si="96"/>
        <v>326</v>
      </c>
      <c r="H153" s="8">
        <f t="shared" si="77"/>
        <v>0.05509594091536059</v>
      </c>
      <c r="I153" s="8">
        <f t="shared" si="78"/>
        <v>2.525443993885612</v>
      </c>
      <c r="J153" s="8">
        <f t="shared" si="79"/>
        <v>0.8961540384632303</v>
      </c>
      <c r="K153" s="8">
        <f t="shared" si="80"/>
        <v>0.8921090124893224</v>
      </c>
      <c r="L153" s="8">
        <f t="shared" si="81"/>
        <v>0.00045657096939147324</v>
      </c>
      <c r="M153" s="8">
        <f t="shared" si="82"/>
        <v>0.5213675213675214</v>
      </c>
      <c r="N153" s="8">
        <f t="shared" si="93"/>
        <v>1.735631774925241</v>
      </c>
      <c r="O153" s="8">
        <f t="shared" si="83"/>
        <v>0.07325223505585884</v>
      </c>
      <c r="P153" s="8">
        <f t="shared" si="84"/>
        <v>0.21432089166167798</v>
      </c>
      <c r="Q153" s="8">
        <f t="shared" si="85"/>
        <v>0.3900322894308723</v>
      </c>
      <c r="R153" s="8">
        <f t="shared" si="86"/>
        <v>0.06779950800763512</v>
      </c>
      <c r="S153" s="8">
        <f t="shared" si="87"/>
        <v>0.7603833865814694</v>
      </c>
      <c r="T153" s="8">
        <f t="shared" si="94"/>
        <v>1.8047171890445681</v>
      </c>
      <c r="U153" s="8">
        <f t="shared" si="88"/>
        <v>1.0263322270494497</v>
      </c>
      <c r="V153" s="8">
        <f t="shared" si="89"/>
        <v>3.343461545850683</v>
      </c>
      <c r="W153" s="8">
        <f t="shared" si="95"/>
        <v>1.735631774925241</v>
      </c>
      <c r="X153" s="20">
        <f t="shared" si="90"/>
        <v>1.6144656118824672</v>
      </c>
      <c r="Y153" s="20">
        <f t="shared" si="91"/>
        <v>-0.034242815628027126</v>
      </c>
      <c r="Z153" s="22">
        <f t="shared" si="92"/>
        <v>3.2187311044269817</v>
      </c>
    </row>
    <row r="154" spans="7:26" ht="12.75">
      <c r="G154" s="9">
        <f t="shared" si="96"/>
        <v>327</v>
      </c>
      <c r="H154" s="9">
        <f t="shared" si="77"/>
        <v>0.05475947794069768</v>
      </c>
      <c r="I154" s="9">
        <f t="shared" si="78"/>
        <v>2.519249975555687</v>
      </c>
      <c r="J154" s="9">
        <f t="shared" si="79"/>
        <v>0.8906936825553251</v>
      </c>
      <c r="K154" s="9">
        <f t="shared" si="80"/>
        <v>0.886648763119509</v>
      </c>
      <c r="L154" s="9">
        <f t="shared" si="81"/>
        <v>0.00045657096939147324</v>
      </c>
      <c r="M154" s="9">
        <f t="shared" si="82"/>
        <v>0.5213675213675214</v>
      </c>
      <c r="N154" s="9">
        <f t="shared" si="93"/>
        <v>1.7331568924826324</v>
      </c>
      <c r="O154" s="9">
        <f t="shared" si="83"/>
        <v>0.07325223505585884</v>
      </c>
      <c r="P154" s="9">
        <f t="shared" si="84"/>
        <v>0.21180673060475871</v>
      </c>
      <c r="Q154" s="9">
        <f t="shared" si="85"/>
        <v>0.3873108871890484</v>
      </c>
      <c r="R154" s="9">
        <f t="shared" si="86"/>
        <v>0.06779950800763512</v>
      </c>
      <c r="S154" s="9">
        <f t="shared" si="87"/>
        <v>0.7603833865814694</v>
      </c>
      <c r="T154" s="9">
        <f t="shared" si="94"/>
        <v>1.8029402000962005</v>
      </c>
      <c r="U154" s="9">
        <f t="shared" si="88"/>
        <v>1.0247226483734575</v>
      </c>
      <c r="V154" s="9">
        <f t="shared" si="89"/>
        <v>3.343461545850683</v>
      </c>
      <c r="W154" s="9">
        <f t="shared" si="95"/>
        <v>1.7331568924826324</v>
      </c>
      <c r="X154" s="20">
        <f t="shared" si="90"/>
        <v>1.6095284081764045</v>
      </c>
      <c r="Y154" s="23">
        <f t="shared" si="91"/>
        <v>-0.03413809753742154</v>
      </c>
      <c r="Z154" s="24">
        <f t="shared" si="92"/>
        <v>3.214470158698012</v>
      </c>
    </row>
    <row r="155" spans="7:26" ht="12.75">
      <c r="G155" s="8">
        <f aca="true" t="shared" si="97" ref="G155:G170">G154+1</f>
        <v>328</v>
      </c>
      <c r="H155" s="8">
        <f t="shared" si="77"/>
        <v>0.054426087677729613</v>
      </c>
      <c r="I155" s="8">
        <f t="shared" si="78"/>
        <v>2.5130937256302124</v>
      </c>
      <c r="J155" s="8">
        <f t="shared" si="79"/>
        <v>0.8852831927566791</v>
      </c>
      <c r="K155" s="8">
        <f t="shared" si="80"/>
        <v>0.8812383788860072</v>
      </c>
      <c r="L155" s="8">
        <f t="shared" si="81"/>
        <v>0.00045657096939147324</v>
      </c>
      <c r="M155" s="8">
        <f t="shared" si="82"/>
        <v>0.5213675213675214</v>
      </c>
      <c r="N155" s="8">
        <f t="shared" si="93"/>
        <v>1.7306945960273126</v>
      </c>
      <c r="O155" s="8">
        <f t="shared" si="83"/>
        <v>0.07325223505585884</v>
      </c>
      <c r="P155" s="8">
        <f t="shared" si="84"/>
        <v>0.20933013962522473</v>
      </c>
      <c r="Q155" s="8">
        <f t="shared" si="85"/>
        <v>0.38461433785861304</v>
      </c>
      <c r="R155" s="8">
        <f t="shared" si="86"/>
        <v>0.06779950800763512</v>
      </c>
      <c r="S155" s="8">
        <f t="shared" si="87"/>
        <v>0.7603833865814694</v>
      </c>
      <c r="T155" s="8">
        <f t="shared" si="94"/>
        <v>1.801173043861655</v>
      </c>
      <c r="U155" s="8">
        <f t="shared" si="88"/>
        <v>1.0231228842015874</v>
      </c>
      <c r="V155" s="8">
        <f t="shared" si="89"/>
        <v>3.343461545850683</v>
      </c>
      <c r="W155" s="8">
        <f t="shared" si="95"/>
        <v>1.7306945960273126</v>
      </c>
      <c r="X155" s="20">
        <f t="shared" si="90"/>
        <v>1.6046213093709887</v>
      </c>
      <c r="Y155" s="20">
        <f t="shared" si="91"/>
        <v>-0.034034017971758666</v>
      </c>
      <c r="Z155" s="22">
        <f t="shared" si="92"/>
        <v>3.2102231161503556</v>
      </c>
    </row>
    <row r="156" spans="3:26" ht="12.75">
      <c r="C156" s="13"/>
      <c r="G156" s="9">
        <f t="shared" si="97"/>
        <v>329</v>
      </c>
      <c r="H156" s="9">
        <f t="shared" si="77"/>
        <v>0.054095732825092724</v>
      </c>
      <c r="I156" s="9">
        <f t="shared" si="78"/>
        <v>2.5069748997164427</v>
      </c>
      <c r="J156" s="9">
        <f t="shared" si="79"/>
        <v>0.8799219637147371</v>
      </c>
      <c r="K156" s="9">
        <f t="shared" si="80"/>
        <v>0.8758772544480729</v>
      </c>
      <c r="L156" s="9">
        <f t="shared" si="81"/>
        <v>0.00045657096939147324</v>
      </c>
      <c r="M156" s="9">
        <f t="shared" si="82"/>
        <v>0.5213675213675214</v>
      </c>
      <c r="N156" s="9">
        <f t="shared" si="93"/>
        <v>1.7282447834893113</v>
      </c>
      <c r="O156" s="9">
        <f t="shared" si="83"/>
        <v>0.07325223505585884</v>
      </c>
      <c r="P156" s="9">
        <f t="shared" si="84"/>
        <v>0.2068904419528974</v>
      </c>
      <c r="Q156" s="9">
        <f t="shared" si="85"/>
        <v>0.38194233973619207</v>
      </c>
      <c r="R156" s="9">
        <f t="shared" si="86"/>
        <v>0.06779950800763512</v>
      </c>
      <c r="S156" s="9">
        <f t="shared" si="87"/>
        <v>0.7603833865814694</v>
      </c>
      <c r="T156" s="9">
        <f t="shared" si="94"/>
        <v>1.7994156397928265</v>
      </c>
      <c r="U156" s="9">
        <f t="shared" si="88"/>
        <v>1.0215328450398804</v>
      </c>
      <c r="V156" s="9">
        <f t="shared" si="89"/>
        <v>3.343461545850683</v>
      </c>
      <c r="W156" s="9">
        <f t="shared" si="95"/>
        <v>1.7282447834893113</v>
      </c>
      <c r="X156" s="20">
        <f t="shared" si="90"/>
        <v>1.5997440409534476</v>
      </c>
      <c r="Y156" s="23">
        <f t="shared" si="91"/>
        <v>-0.03393057110862262</v>
      </c>
      <c r="Z156" s="24">
        <f t="shared" si="92"/>
        <v>3.2059898805414107</v>
      </c>
    </row>
    <row r="157" spans="7:26" ht="12.75">
      <c r="G157" s="8">
        <f t="shared" si="97"/>
        <v>330</v>
      </c>
      <c r="H157" s="8">
        <f t="shared" si="77"/>
        <v>0.05376837664573794</v>
      </c>
      <c r="I157" s="8">
        <f t="shared" si="78"/>
        <v>2.50089315759609</v>
      </c>
      <c r="J157" s="8">
        <f t="shared" si="79"/>
        <v>0.8746093992350347</v>
      </c>
      <c r="K157" s="8">
        <f t="shared" si="80"/>
        <v>0.8705647936228743</v>
      </c>
      <c r="L157" s="8">
        <f t="shared" si="81"/>
        <v>0.00045657096939147324</v>
      </c>
      <c r="M157" s="8">
        <f t="shared" si="82"/>
        <v>0.5213675213675214</v>
      </c>
      <c r="N157" s="8">
        <f t="shared" si="93"/>
        <v>1.7258073539333587</v>
      </c>
      <c r="O157" s="8">
        <f t="shared" si="83"/>
        <v>0.07325223505585884</v>
      </c>
      <c r="P157" s="8">
        <f t="shared" si="84"/>
        <v>0.20448697504433</v>
      </c>
      <c r="Q157" s="8">
        <f t="shared" si="85"/>
        <v>0.3792945956827385</v>
      </c>
      <c r="R157" s="8">
        <f t="shared" si="86"/>
        <v>0.06779950800763512</v>
      </c>
      <c r="S157" s="8">
        <f t="shared" si="87"/>
        <v>0.7603833865814694</v>
      </c>
      <c r="T157" s="8">
        <f t="shared" si="94"/>
        <v>1.7976679082378895</v>
      </c>
      <c r="U157" s="8">
        <f t="shared" si="88"/>
        <v>1.0199524424791533</v>
      </c>
      <c r="V157" s="8">
        <f t="shared" si="89"/>
        <v>3.343461545850683</v>
      </c>
      <c r="W157" s="8">
        <f t="shared" si="95"/>
        <v>1.7258073539333587</v>
      </c>
      <c r="X157" s="20">
        <f t="shared" si="90"/>
        <v>1.5948963317384373</v>
      </c>
      <c r="Y157" s="20">
        <f t="shared" si="91"/>
        <v>-0.033827751196172255</v>
      </c>
      <c r="Z157" s="22">
        <f t="shared" si="92"/>
        <v>3.201770356591224</v>
      </c>
    </row>
    <row r="158" spans="7:26" ht="12.75">
      <c r="G158" s="9">
        <f t="shared" si="97"/>
        <v>331</v>
      </c>
      <c r="H158" s="9">
        <f t="shared" si="77"/>
        <v>0.053443982956716915</v>
      </c>
      <c r="I158" s="9">
        <f t="shared" si="78"/>
        <v>2.494848163162265</v>
      </c>
      <c r="J158" s="9">
        <f t="shared" si="79"/>
        <v>0.8693449121154407</v>
      </c>
      <c r="K158" s="9">
        <f t="shared" si="80"/>
        <v>0.8653004092197374</v>
      </c>
      <c r="L158" s="9">
        <f t="shared" si="81"/>
        <v>0.00045657096939147324</v>
      </c>
      <c r="M158" s="9">
        <f t="shared" si="82"/>
        <v>0.5213675213675214</v>
      </c>
      <c r="N158" s="9">
        <f t="shared" si="93"/>
        <v>1.7233822075428793</v>
      </c>
      <c r="O158" s="9">
        <f t="shared" si="83"/>
        <v>0.07325223505585884</v>
      </c>
      <c r="P158" s="9">
        <f t="shared" si="84"/>
        <v>0.2021190902414772</v>
      </c>
      <c r="Q158" s="9">
        <f t="shared" si="85"/>
        <v>0.3766708130409194</v>
      </c>
      <c r="R158" s="9">
        <f t="shared" si="86"/>
        <v>0.06779950800763512</v>
      </c>
      <c r="S158" s="9">
        <f t="shared" si="87"/>
        <v>0.7603833865814694</v>
      </c>
      <c r="T158" s="9">
        <f t="shared" si="94"/>
        <v>1.795929770428648</v>
      </c>
      <c r="U158" s="9">
        <f t="shared" si="88"/>
        <v>1.018381589178612</v>
      </c>
      <c r="V158" s="9">
        <f t="shared" si="89"/>
        <v>3.343461545850683</v>
      </c>
      <c r="W158" s="9">
        <f t="shared" si="95"/>
        <v>1.7233822075428793</v>
      </c>
      <c r="X158" s="20">
        <f t="shared" si="90"/>
        <v>1.5900779138177772</v>
      </c>
      <c r="Y158" s="23">
        <f t="shared" si="91"/>
        <v>-0.03372555255207505</v>
      </c>
      <c r="Z158" s="24">
        <f t="shared" si="92"/>
        <v>3.1975644499699407</v>
      </c>
    </row>
    <row r="159" spans="7:26" ht="12.75">
      <c r="G159" s="8">
        <f t="shared" si="97"/>
        <v>332</v>
      </c>
      <c r="H159" s="8">
        <f t="shared" si="77"/>
        <v>0.053122516119183325</v>
      </c>
      <c r="I159" s="8">
        <f t="shared" si="78"/>
        <v>2.4888395843575597</v>
      </c>
      <c r="J159" s="8">
        <f t="shared" si="79"/>
        <v>0.8641279239838916</v>
      </c>
      <c r="K159" s="8">
        <f t="shared" si="80"/>
        <v>0.8600835228778827</v>
      </c>
      <c r="L159" s="8">
        <f t="shared" si="81"/>
        <v>0.00045657096939147324</v>
      </c>
      <c r="M159" s="8">
        <f t="shared" si="82"/>
        <v>0.5213675213675214</v>
      </c>
      <c r="N159" s="8">
        <f t="shared" si="93"/>
        <v>1.7209692456042616</v>
      </c>
      <c r="O159" s="8">
        <f t="shared" si="83"/>
        <v>0.07325223505585884</v>
      </c>
      <c r="P159" s="8">
        <f t="shared" si="84"/>
        <v>0.19978615243955938</v>
      </c>
      <c r="Q159" s="8">
        <f t="shared" si="85"/>
        <v>0.37407070355424427</v>
      </c>
      <c r="R159" s="8">
        <f t="shared" si="86"/>
        <v>0.06779950800763512</v>
      </c>
      <c r="S159" s="8">
        <f t="shared" si="87"/>
        <v>0.7603833865814694</v>
      </c>
      <c r="T159" s="8">
        <f t="shared" si="94"/>
        <v>1.794201148468097</v>
      </c>
      <c r="U159" s="8">
        <f t="shared" si="88"/>
        <v>1.016820198849761</v>
      </c>
      <c r="V159" s="8">
        <f t="shared" si="89"/>
        <v>3.343461545850683</v>
      </c>
      <c r="W159" s="8">
        <f t="shared" si="95"/>
        <v>1.7209692456042616</v>
      </c>
      <c r="X159" s="20">
        <f t="shared" si="90"/>
        <v>1.5852885225110973</v>
      </c>
      <c r="Y159" s="20">
        <f t="shared" si="91"/>
        <v>-0.033623969562460373</v>
      </c>
      <c r="Z159" s="22">
        <f t="shared" si="92"/>
        <v>3.193372067285467</v>
      </c>
    </row>
    <row r="160" spans="7:26" ht="12.75">
      <c r="G160" s="9">
        <f t="shared" si="97"/>
        <v>333</v>
      </c>
      <c r="H160" s="9">
        <f t="shared" si="77"/>
        <v>0.05280394102860394</v>
      </c>
      <c r="I160" s="9">
        <f t="shared" si="78"/>
        <v>2.482867093113242</v>
      </c>
      <c r="J160" s="9">
        <f t="shared" si="79"/>
        <v>0.8589578651395288</v>
      </c>
      <c r="K160" s="9">
        <f t="shared" si="80"/>
        <v>0.854913564907568</v>
      </c>
      <c r="L160" s="9">
        <f t="shared" si="81"/>
        <v>0.00045657096939147324</v>
      </c>
      <c r="M160" s="9">
        <f t="shared" si="82"/>
        <v>0.5213675213675214</v>
      </c>
      <c r="N160" s="9">
        <f t="shared" si="93"/>
        <v>1.7185683704913894</v>
      </c>
      <c r="O160" s="9">
        <f t="shared" si="83"/>
        <v>0.07325223505585884</v>
      </c>
      <c r="P160" s="9">
        <f t="shared" si="84"/>
        <v>0.1974875397638462</v>
      </c>
      <c r="Q160" s="9">
        <f t="shared" si="85"/>
        <v>0.3714939832878893</v>
      </c>
      <c r="R160" s="9">
        <f t="shared" si="86"/>
        <v>0.06779950800763512</v>
      </c>
      <c r="S160" s="9">
        <f t="shared" si="87"/>
        <v>0.7603833865814694</v>
      </c>
      <c r="T160" s="9">
        <f t="shared" si="94"/>
        <v>1.7924819653181987</v>
      </c>
      <c r="U160" s="9">
        <f t="shared" si="88"/>
        <v>1.0152681862406023</v>
      </c>
      <c r="V160" s="9">
        <f t="shared" si="89"/>
        <v>3.343461545850683</v>
      </c>
      <c r="W160" s="9">
        <f t="shared" si="95"/>
        <v>1.7185683704913894</v>
      </c>
      <c r="X160" s="20">
        <f t="shared" si="90"/>
        <v>1.5805278963173701</v>
      </c>
      <c r="Y160" s="23">
        <f t="shared" si="91"/>
        <v>-0.03352299668089141</v>
      </c>
      <c r="Z160" s="24">
        <f t="shared" si="92"/>
        <v>3.189193116071325</v>
      </c>
    </row>
    <row r="161" spans="7:26" ht="12.75">
      <c r="G161" s="8">
        <f t="shared" si="97"/>
        <v>334</v>
      </c>
      <c r="H161" s="8">
        <f t="shared" si="77"/>
        <v>0.05248822310517464</v>
      </c>
      <c r="I161" s="8">
        <f t="shared" si="78"/>
        <v>2.4769303652895496</v>
      </c>
      <c r="J161" s="8">
        <f t="shared" si="79"/>
        <v>0.8538341743971644</v>
      </c>
      <c r="K161" s="8">
        <f t="shared" si="80"/>
        <v>0.8497899741345543</v>
      </c>
      <c r="L161" s="8">
        <f t="shared" si="81"/>
        <v>0.00045657096939147324</v>
      </c>
      <c r="M161" s="8">
        <f t="shared" si="82"/>
        <v>0.5213675213675214</v>
      </c>
      <c r="N161" s="8">
        <f t="shared" si="93"/>
        <v>1.7161794856504429</v>
      </c>
      <c r="O161" s="8">
        <f t="shared" si="83"/>
        <v>0.07325223505585884</v>
      </c>
      <c r="P161" s="8">
        <f t="shared" si="84"/>
        <v>0.1952226432550936</v>
      </c>
      <c r="Q161" s="8">
        <f t="shared" si="85"/>
        <v>0.36894037255117956</v>
      </c>
      <c r="R161" s="8">
        <f t="shared" si="86"/>
        <v>0.06779950800763512</v>
      </c>
      <c r="S161" s="8">
        <f t="shared" si="87"/>
        <v>0.7603833865814694</v>
      </c>
      <c r="T161" s="8">
        <f t="shared" si="94"/>
        <v>1.790772144787868</v>
      </c>
      <c r="U161" s="8">
        <f t="shared" si="88"/>
        <v>1.0137254671201217</v>
      </c>
      <c r="V161" s="8">
        <f t="shared" si="89"/>
        <v>3.343461545850683</v>
      </c>
      <c r="W161" s="8">
        <f t="shared" si="95"/>
        <v>1.7161794856504429</v>
      </c>
      <c r="X161" s="20">
        <f t="shared" si="90"/>
        <v>1.575795776867318</v>
      </c>
      <c r="Y161" s="20">
        <f t="shared" si="91"/>
        <v>-0.03342262842735581</v>
      </c>
      <c r="Z161" s="22">
        <f t="shared" si="92"/>
        <v>3.185027504774706</v>
      </c>
    </row>
    <row r="162" spans="7:26" ht="12.75">
      <c r="G162" s="9">
        <f t="shared" si="97"/>
        <v>335</v>
      </c>
      <c r="H162" s="9">
        <f t="shared" si="77"/>
        <v>0.05217532828443628</v>
      </c>
      <c r="I162" s="9">
        <f t="shared" si="78"/>
        <v>2.471029080617044</v>
      </c>
      <c r="J162" s="9">
        <f t="shared" si="79"/>
        <v>0.8487562989349879</v>
      </c>
      <c r="K162" s="9">
        <f t="shared" si="80"/>
        <v>0.8447121977478175</v>
      </c>
      <c r="L162" s="9">
        <f t="shared" si="81"/>
        <v>0.00045657096939147324</v>
      </c>
      <c r="M162" s="9">
        <f t="shared" si="82"/>
        <v>0.5213675213675214</v>
      </c>
      <c r="N162" s="9">
        <f t="shared" si="93"/>
        <v>1.713802495584953</v>
      </c>
      <c r="O162" s="9">
        <f t="shared" si="83"/>
        <v>0.07325223505585884</v>
      </c>
      <c r="P162" s="9">
        <f t="shared" si="84"/>
        <v>0.19299086656337774</v>
      </c>
      <c r="Q162" s="9">
        <f t="shared" si="85"/>
        <v>0.3664095958216878</v>
      </c>
      <c r="R162" s="9">
        <f t="shared" si="86"/>
        <v>0.06779950800763512</v>
      </c>
      <c r="S162" s="9">
        <f t="shared" si="87"/>
        <v>0.7603833865814694</v>
      </c>
      <c r="T162" s="9">
        <f t="shared" si="94"/>
        <v>1.7890716115211558</v>
      </c>
      <c r="U162" s="9">
        <f t="shared" si="88"/>
        <v>1.0121919582630465</v>
      </c>
      <c r="V162" s="9">
        <f t="shared" si="89"/>
        <v>3.343461545850683</v>
      </c>
      <c r="W162" s="9">
        <f t="shared" si="95"/>
        <v>1.713802495584953</v>
      </c>
      <c r="X162" s="20">
        <f t="shared" si="90"/>
        <v>1.5710919088766695</v>
      </c>
      <c r="Y162" s="23">
        <f t="shared" si="91"/>
        <v>-0.03332285938727416</v>
      </c>
      <c r="Z162" s="24">
        <f t="shared" si="92"/>
        <v>3.1808751427446986</v>
      </c>
    </row>
    <row r="163" spans="7:26" ht="12.75">
      <c r="G163" s="8">
        <f t="shared" si="97"/>
        <v>336</v>
      </c>
      <c r="H163" s="8">
        <f t="shared" si="77"/>
        <v>0.05186522300808586</v>
      </c>
      <c r="I163" s="8">
        <f t="shared" si="78"/>
        <v>2.4651629226390166</v>
      </c>
      <c r="J163" s="8">
        <f t="shared" si="79"/>
        <v>0.8437236941454446</v>
      </c>
      <c r="K163" s="8">
        <f t="shared" si="80"/>
        <v>0.8396796911504285</v>
      </c>
      <c r="L163" s="8">
        <f t="shared" si="81"/>
        <v>0.00045657096939147324</v>
      </c>
      <c r="M163" s="8">
        <f t="shared" si="82"/>
        <v>0.5213675213675214</v>
      </c>
      <c r="N163" s="8">
        <f t="shared" si="93"/>
        <v>1.7114373058411072</v>
      </c>
      <c r="O163" s="8">
        <f t="shared" si="83"/>
        <v>0.07325223505585884</v>
      </c>
      <c r="P163" s="8">
        <f t="shared" si="84"/>
        <v>0.19079162565007823</v>
      </c>
      <c r="Q163" s="8">
        <f t="shared" si="85"/>
        <v>0.36390138167091246</v>
      </c>
      <c r="R163" s="8">
        <f t="shared" si="86"/>
        <v>0.06779950800763512</v>
      </c>
      <c r="S163" s="8">
        <f t="shared" si="87"/>
        <v>0.7603833865814694</v>
      </c>
      <c r="T163" s="8">
        <f t="shared" si="94"/>
        <v>1.7873802909856402</v>
      </c>
      <c r="U163" s="8">
        <f t="shared" si="88"/>
        <v>1.0106675774348828</v>
      </c>
      <c r="V163" s="8">
        <f t="shared" si="89"/>
        <v>3.343461545850683</v>
      </c>
      <c r="W163" s="8">
        <f t="shared" si="95"/>
        <v>1.7114373058411072</v>
      </c>
      <c r="X163" s="20">
        <f t="shared" si="90"/>
        <v>1.566416040100251</v>
      </c>
      <c r="Y163" s="20">
        <f t="shared" si="91"/>
        <v>-0.033223684210526315</v>
      </c>
      <c r="Z163" s="22">
        <f t="shared" si="92"/>
        <v>3.176735940220726</v>
      </c>
    </row>
    <row r="164" spans="7:26" ht="12.75">
      <c r="G164" s="9">
        <f t="shared" si="97"/>
        <v>337</v>
      </c>
      <c r="H164" s="9">
        <f t="shared" si="77"/>
        <v>0.05155787421497823</v>
      </c>
      <c r="I164" s="9">
        <f t="shared" si="78"/>
        <v>2.4593315786549246</v>
      </c>
      <c r="J164" s="9">
        <f t="shared" si="79"/>
        <v>0.8387358234892033</v>
      </c>
      <c r="K164" s="9">
        <f t="shared" si="80"/>
        <v>0.8346919178135253</v>
      </c>
      <c r="L164" s="9">
        <f t="shared" si="81"/>
        <v>0.00045657096939147324</v>
      </c>
      <c r="M164" s="9">
        <f t="shared" si="82"/>
        <v>0.5213675213675214</v>
      </c>
      <c r="N164" s="9">
        <f t="shared" si="93"/>
        <v>1.7090838229933047</v>
      </c>
      <c r="O164" s="9">
        <f t="shared" si="83"/>
        <v>0.07325223505585884</v>
      </c>
      <c r="P164" s="9">
        <f t="shared" si="84"/>
        <v>0.18862434849776838</v>
      </c>
      <c r="Q164" s="9">
        <f t="shared" si="85"/>
        <v>0.36141546269149744</v>
      </c>
      <c r="R164" s="9">
        <f t="shared" si="86"/>
        <v>0.06779950800763512</v>
      </c>
      <c r="S164" s="9">
        <f t="shared" si="87"/>
        <v>0.7603833865814694</v>
      </c>
      <c r="T164" s="9">
        <f t="shared" si="94"/>
        <v>1.7856981094610034</v>
      </c>
      <c r="U164" s="9">
        <f t="shared" si="88"/>
        <v>1.0091522433772124</v>
      </c>
      <c r="V164" s="9">
        <f t="shared" si="89"/>
        <v>3.343461545850683</v>
      </c>
      <c r="W164" s="9">
        <f t="shared" si="95"/>
        <v>1.7090838229933047</v>
      </c>
      <c r="X164" s="20">
        <f t="shared" si="90"/>
        <v>1.561767921286897</v>
      </c>
      <c r="Y164" s="23">
        <f t="shared" si="91"/>
        <v>-0.03312509761049508</v>
      </c>
      <c r="Z164" s="24">
        <f t="shared" si="92"/>
        <v>3.172609808321151</v>
      </c>
    </row>
    <row r="165" spans="7:26" ht="12.75">
      <c r="G165" s="8">
        <f t="shared" si="97"/>
        <v>338</v>
      </c>
      <c r="H165" s="8">
        <f t="shared" si="77"/>
        <v>0.05125324933231384</v>
      </c>
      <c r="I165" s="8">
        <f t="shared" si="78"/>
        <v>2.4535347396648217</v>
      </c>
      <c r="J165" s="8">
        <f t="shared" si="79"/>
        <v>0.8337921583521464</v>
      </c>
      <c r="K165" s="8">
        <f t="shared" si="80"/>
        <v>0.8297483491333035</v>
      </c>
      <c r="L165" s="8">
        <f t="shared" si="81"/>
        <v>0.00045657096939147324</v>
      </c>
      <c r="M165" s="8">
        <f t="shared" si="82"/>
        <v>0.5213675213675214</v>
      </c>
      <c r="N165" s="8">
        <f t="shared" si="93"/>
        <v>1.706741954629953</v>
      </c>
      <c r="O165" s="8">
        <f t="shared" si="83"/>
        <v>0.07325223505585884</v>
      </c>
      <c r="P165" s="8">
        <f t="shared" si="84"/>
        <v>0.18648847482778153</v>
      </c>
      <c r="Q165" s="8">
        <f t="shared" si="85"/>
        <v>0.3589515754259556</v>
      </c>
      <c r="R165" s="8">
        <f t="shared" si="86"/>
        <v>0.06779950800763512</v>
      </c>
      <c r="S165" s="8">
        <f t="shared" si="87"/>
        <v>0.7603833865814694</v>
      </c>
      <c r="T165" s="8">
        <f t="shared" si="94"/>
        <v>1.784024994027809</v>
      </c>
      <c r="U165" s="8">
        <f t="shared" si="88"/>
        <v>1.0076458757932563</v>
      </c>
      <c r="V165" s="8">
        <f t="shared" si="89"/>
        <v>3.343461545850683</v>
      </c>
      <c r="W165" s="8">
        <f t="shared" si="95"/>
        <v>1.706741954629953</v>
      </c>
      <c r="X165" s="20">
        <f t="shared" si="90"/>
        <v>1.5571473061351606</v>
      </c>
      <c r="Y165" s="20">
        <f t="shared" si="91"/>
        <v>-0.03302709436312676</v>
      </c>
      <c r="Z165" s="22">
        <f t="shared" si="92"/>
        <v>3.168496659032062</v>
      </c>
    </row>
    <row r="166" spans="7:26" ht="12.75">
      <c r="G166" s="9">
        <f t="shared" si="97"/>
        <v>339</v>
      </c>
      <c r="H166" s="9">
        <f t="shared" si="77"/>
        <v>0.05095131626700831</v>
      </c>
      <c r="I166" s="9">
        <f t="shared" si="78"/>
        <v>2.4477721003147783</v>
      </c>
      <c r="J166" s="9">
        <f t="shared" si="79"/>
        <v>0.8288921779053091</v>
      </c>
      <c r="K166" s="9">
        <f t="shared" si="80"/>
        <v>0.8248484642909608</v>
      </c>
      <c r="L166" s="9">
        <f t="shared" si="81"/>
        <v>0.00045657096939147324</v>
      </c>
      <c r="M166" s="9">
        <f t="shared" si="82"/>
        <v>0.5213675213675214</v>
      </c>
      <c r="N166" s="9">
        <f t="shared" si="93"/>
        <v>1.7044116093395032</v>
      </c>
      <c r="O166" s="9">
        <f t="shared" si="83"/>
        <v>0.07325223505585884</v>
      </c>
      <c r="P166" s="9">
        <f t="shared" si="84"/>
        <v>0.18438345582522844</v>
      </c>
      <c r="Q166" s="9">
        <f t="shared" si="85"/>
        <v>0.35650946029686464</v>
      </c>
      <c r="R166" s="9">
        <f t="shared" si="86"/>
        <v>0.06779950800763512</v>
      </c>
      <c r="S166" s="9">
        <f t="shared" si="87"/>
        <v>0.7603833865814694</v>
      </c>
      <c r="T166" s="9">
        <f t="shared" si="94"/>
        <v>1.7823608725564624</v>
      </c>
      <c r="U166" s="9">
        <f t="shared" si="88"/>
        <v>1.006148395333689</v>
      </c>
      <c r="V166" s="9">
        <f t="shared" si="89"/>
        <v>3.343461545850683</v>
      </c>
      <c r="W166" s="9">
        <f t="shared" si="95"/>
        <v>1.7044116093395032</v>
      </c>
      <c r="X166" s="20">
        <f t="shared" si="90"/>
        <v>1.552553951249806</v>
      </c>
      <c r="Y166" s="23">
        <f t="shared" si="91"/>
        <v>-0.03292966930600839</v>
      </c>
      <c r="Z166" s="24">
        <f t="shared" si="92"/>
        <v>3.16439640519623</v>
      </c>
    </row>
    <row r="167" spans="7:26" ht="12.75">
      <c r="G167" s="8">
        <f t="shared" si="97"/>
        <v>340</v>
      </c>
      <c r="H167" s="8">
        <f aca="true" t="shared" si="98" ref="H167:H187">(Iout*(Vout_nom^2)*2.5*Rsense*K_1)/(eff*(G167^2)*K_FQ)*us</f>
        <v>0.05065204339723929</v>
      </c>
      <c r="I167" s="8">
        <f aca="true" t="shared" si="99" ref="I167:I187">(1*10^-9*(5*10^8*SQRT(fsw*kHz)+(1.09655978*10^10)*SQRT(ftyp)*SQRT(H167)))/SQRT(fsw*kHz)</f>
        <v>2.4420433588432635</v>
      </c>
      <c r="J167" s="8">
        <f aca="true" t="shared" si="100" ref="J167:J187">(b_1^3/(27*a_1^3))-(d_1^3/27)+SQRT((ftyp)^2*H167^2/(4*a_1^2*c_1^2*(fsw*kHz)^2))+(b_1^3*(ftyp)*H167/(27*a_1^4*c_1*(fsw*kHz))-(d_1^3*(ftyp)*H167/(27*a_1*c_1*(fsw*kHz)))+(b_1*d_1^2*(ftyp)*H167/(9*a_1^2*c_1*(fsw*kHz)))-(b_1^2*d_1*(ftyp)*H167/(9*a_1^3*c_1*(fsw*kHz))))</f>
        <v>0.8240353689676951</v>
      </c>
      <c r="K167" s="8">
        <f aca="true" t="shared" si="101" ref="K167:K187">(b_1*d_1^2/(9*a_1))-(b_1^2*d_1/(9*a_1^2))+(ftyp*H167/(2*a_1*c_1*fsw*kHz))</f>
        <v>0.8199917501155136</v>
      </c>
      <c r="L167" s="8">
        <f aca="true" t="shared" si="102" ref="L167:L187">(d_1^2/9)+(b_1^2/(9*a_1^2))-(2*b_1*d_1/(9*a_1))</f>
        <v>0.00045657096939147324</v>
      </c>
      <c r="M167" s="8">
        <f aca="true" t="shared" si="103" ref="M167:M187">((b_1*c_1*fsw*kHz)+(2*a_1*c_1*d_1*fsw*kHz))/(3*a_1*c_1*fsw*kHz)</f>
        <v>0.5213675213675214</v>
      </c>
      <c r="N167" s="8">
        <f t="shared" si="93"/>
        <v>1.702092696696715</v>
      </c>
      <c r="O167" s="8">
        <f aca="true" t="shared" si="104" ref="O167:O187">(b_2^3/(27*a_2^3))-(d_2^3/27)</f>
        <v>0.07325223505585884</v>
      </c>
      <c r="P167" s="8">
        <f aca="true" t="shared" si="105" ref="P167:P187">(ftyp^2*H167^2/(4*a_2^2*c_2^2*(fsw*kHz)^2))+(b_2^3*ftyp*H167/(27*a_2^4*c_2*(fsw*kHz)))-(d_2^3*ftyp*H167/(27*a_2*c_2*(fsw*kHz)))+(b_2*d_2^2*ftyp*H167/(9*a_2^2*c_2*(fsw*kHz)))-(b_2^2*d_2*ftyp*H167/(9*a_2^3*c_2*(fsw*kHz)))</f>
        <v>0.182308753871246</v>
      </c>
      <c r="Q167" s="8">
        <f aca="true" t="shared" si="106" ref="Q167:Q187">(b_2*d_2^2/(9*a_2))-(b_2^2*d_2/(9*a_2^2))+(ftyp*H167/(2*a_2*c_2*(fsw*kHz)))</f>
        <v>0.3540888615384948</v>
      </c>
      <c r="R167" s="8">
        <f aca="true" t="shared" si="107" ref="R167:R187">(d_2^2/9)+(b_2^2/(9*a_2^2))-(2*b_2*d_2/(9*a_2))</f>
        <v>0.06779950800763512</v>
      </c>
      <c r="S167" s="8">
        <f aca="true" t="shared" si="108" ref="S167:S187">(b_2*c_2*(fsw*kHz)+2*a_2*c_2*d_2*(fsw*kHz))/(3*a_2*c_2*(fsw*kHz))</f>
        <v>0.7603833865814694</v>
      </c>
      <c r="T167" s="8">
        <f t="shared" si="94"/>
        <v>1.7807056736963554</v>
      </c>
      <c r="U167" s="8">
        <f aca="true" t="shared" si="109" ref="U167:U187">c_3+(SQRT(ftyp)*SQRT(H167)/(SQRT(a_3)*SQRT(b_3)*SQRT(fsw*kHz)))</f>
        <v>1.0046597235827077</v>
      </c>
      <c r="V167" s="8">
        <f aca="true" t="shared" si="110" ref="V167:V187">(a_4*(fsw*kHz)*b_4/ftyp)</f>
        <v>3.343461545850683</v>
      </c>
      <c r="W167" s="8">
        <f t="shared" si="95"/>
        <v>1.702092696696715</v>
      </c>
      <c r="X167" s="20">
        <f aca="true" t="shared" si="111" ref="X167:X187">Pin_max/G167</f>
        <v>1.5479876160990713</v>
      </c>
      <c r="Y167" s="20">
        <f aca="true" t="shared" si="112" ref="Y167:Y187">-X167*Rsense*1.414</f>
        <v>-0.0328328173374613</v>
      </c>
      <c r="Z167" s="22">
        <f aca="true" t="shared" si="113" ref="Z167:Z187">MIN(6,MAX(0.5,Beta*G*($Y167-Voff_trim)/(MAX(0,MIN(4.5,W167)-Alpha1_A)+MAX(0,MIN(4.5,W167)-Alpha1_B)-Alpha1_C)+Alpha2))</f>
        <v>3.1603089605022574</v>
      </c>
    </row>
    <row r="168" spans="7:26" ht="12.75">
      <c r="G168" s="9">
        <f t="shared" si="97"/>
        <v>341</v>
      </c>
      <c r="H168" s="9">
        <f t="shared" si="98"/>
        <v>0.05035539956416665</v>
      </c>
      <c r="I168" s="9">
        <f t="shared" si="99"/>
        <v>2.436348217028474</v>
      </c>
      <c r="J168" s="9">
        <f t="shared" si="100"/>
        <v>0.8192212258719069</v>
      </c>
      <c r="K168" s="9">
        <f t="shared" si="101"/>
        <v>0.8151777009494301</v>
      </c>
      <c r="L168" s="9">
        <f t="shared" si="102"/>
        <v>0.00045657096939147324</v>
      </c>
      <c r="M168" s="9">
        <f t="shared" si="103"/>
        <v>0.5213675213675214</v>
      </c>
      <c r="N168" s="9">
        <f t="shared" si="93"/>
        <v>1.6997851272491529</v>
      </c>
      <c r="O168" s="9">
        <f t="shared" si="104"/>
        <v>0.07325223505585884</v>
      </c>
      <c r="P168" s="9">
        <f t="shared" si="105"/>
        <v>0.18026384228226813</v>
      </c>
      <c r="Q168" s="9">
        <f t="shared" si="106"/>
        <v>0.35168952712983975</v>
      </c>
      <c r="R168" s="9">
        <f t="shared" si="107"/>
        <v>0.06779950800763512</v>
      </c>
      <c r="S168" s="9">
        <f t="shared" si="108"/>
        <v>0.7603833865814694</v>
      </c>
      <c r="T168" s="9">
        <f t="shared" si="94"/>
        <v>1.7790593268651942</v>
      </c>
      <c r="U168" s="9">
        <f t="shared" si="109"/>
        <v>1.003179783044342</v>
      </c>
      <c r="V168" s="9">
        <f t="shared" si="110"/>
        <v>3.343461545850683</v>
      </c>
      <c r="W168" s="9">
        <f t="shared" si="95"/>
        <v>1.6997851272491529</v>
      </c>
      <c r="X168" s="20">
        <f t="shared" si="111"/>
        <v>1.5434480629726812</v>
      </c>
      <c r="Y168" s="23">
        <f t="shared" si="112"/>
        <v>-0.03273653341565057</v>
      </c>
      <c r="Z168" s="24">
        <f t="shared" si="113"/>
        <v>3.156234239473876</v>
      </c>
    </row>
    <row r="169" spans="7:26" ht="12.75">
      <c r="G169" s="8">
        <f t="shared" si="97"/>
        <v>342</v>
      </c>
      <c r="H169" s="8">
        <f t="shared" si="98"/>
        <v>0.050061354063821874</v>
      </c>
      <c r="I169" s="8">
        <f t="shared" si="99"/>
        <v>2.430686380136578</v>
      </c>
      <c r="J169" s="8">
        <f t="shared" si="100"/>
        <v>0.8144492503325207</v>
      </c>
      <c r="K169" s="8">
        <f t="shared" si="101"/>
        <v>0.8104058185170091</v>
      </c>
      <c r="L169" s="8">
        <f t="shared" si="102"/>
        <v>0.00045657096939147324</v>
      </c>
      <c r="M169" s="8">
        <f t="shared" si="103"/>
        <v>0.5213675213675214</v>
      </c>
      <c r="N169" s="8">
        <f t="shared" si="93"/>
        <v>1.6974888125039072</v>
      </c>
      <c r="O169" s="8">
        <f t="shared" si="104"/>
        <v>0.07325223505585884</v>
      </c>
      <c r="P169" s="8">
        <f t="shared" si="105"/>
        <v>0.17824820505611486</v>
      </c>
      <c r="Q169" s="8">
        <f t="shared" si="106"/>
        <v>0.34931120872901655</v>
      </c>
      <c r="R169" s="8">
        <f t="shared" si="107"/>
        <v>0.06779950800763512</v>
      </c>
      <c r="S169" s="8">
        <f t="shared" si="108"/>
        <v>0.7603833865814694</v>
      </c>
      <c r="T169" s="8">
        <f t="shared" si="94"/>
        <v>1.7774217622385011</v>
      </c>
      <c r="U169" s="8">
        <f t="shared" si="109"/>
        <v>1.0017084971290076</v>
      </c>
      <c r="V169" s="8">
        <f t="shared" si="110"/>
        <v>3.343461545850683</v>
      </c>
      <c r="W169" s="8">
        <f t="shared" si="95"/>
        <v>1.6974888125039072</v>
      </c>
      <c r="X169" s="20">
        <f t="shared" si="111"/>
        <v>1.5389350569405973</v>
      </c>
      <c r="Y169" s="20">
        <f t="shared" si="112"/>
        <v>-0.032640812557710064</v>
      </c>
      <c r="Z169" s="22">
        <f t="shared" si="113"/>
        <v>3.152172157459414</v>
      </c>
    </row>
    <row r="170" spans="7:26" ht="12.75">
      <c r="G170" s="9">
        <f t="shared" si="97"/>
        <v>343</v>
      </c>
      <c r="H170" s="9">
        <f t="shared" si="98"/>
        <v>0.04976987663916278</v>
      </c>
      <c r="I170" s="9">
        <f t="shared" si="99"/>
        <v>2.4250575568708737</v>
      </c>
      <c r="J170" s="9">
        <f t="shared" si="100"/>
        <v>0.8097189513171451</v>
      </c>
      <c r="K170" s="9">
        <f t="shared" si="101"/>
        <v>0.80567561179544</v>
      </c>
      <c r="L170" s="9">
        <f t="shared" si="102"/>
        <v>0.00045657096939147324</v>
      </c>
      <c r="M170" s="9">
        <f t="shared" si="103"/>
        <v>0.5213675213675214</v>
      </c>
      <c r="N170" s="9">
        <f t="shared" si="93"/>
        <v>1.69520366491453</v>
      </c>
      <c r="O170" s="9">
        <f t="shared" si="104"/>
        <v>0.07325223505585884</v>
      </c>
      <c r="P170" s="9">
        <f t="shared" si="105"/>
        <v>0.17626133662470045</v>
      </c>
      <c r="Q170" s="9">
        <f t="shared" si="106"/>
        <v>0.3469536616090012</v>
      </c>
      <c r="R170" s="9">
        <f t="shared" si="107"/>
        <v>0.06779950800763512</v>
      </c>
      <c r="S170" s="9">
        <f t="shared" si="108"/>
        <v>0.7603833865814694</v>
      </c>
      <c r="T170" s="9">
        <f t="shared" si="94"/>
        <v>1.775792910739293</v>
      </c>
      <c r="U170" s="9">
        <f t="shared" si="109"/>
        <v>1.0002457901402932</v>
      </c>
      <c r="V170" s="9">
        <f t="shared" si="110"/>
        <v>3.343461545850683</v>
      </c>
      <c r="W170" s="9">
        <f t="shared" si="95"/>
        <v>1.69520366491453</v>
      </c>
      <c r="X170" s="20">
        <f t="shared" si="111"/>
        <v>1.5344483658124906</v>
      </c>
      <c r="Y170" s="23">
        <f t="shared" si="112"/>
        <v>-0.032545649838882924</v>
      </c>
      <c r="Z170" s="24">
        <f t="shared" si="113"/>
        <v>3.1481226306214425</v>
      </c>
    </row>
    <row r="171" spans="7:26" ht="12.75">
      <c r="G171" s="8">
        <f aca="true" t="shared" si="114" ref="G171:G180">G170+1</f>
        <v>344</v>
      </c>
      <c r="H171" s="8">
        <f t="shared" si="98"/>
        <v>0.0494809374722896</v>
      </c>
      <c r="I171" s="8">
        <f t="shared" si="99"/>
        <v>2.4194614593218304</v>
      </c>
      <c r="J171" s="8">
        <f t="shared" si="100"/>
        <v>0.8050298449200985</v>
      </c>
      <c r="K171" s="8">
        <f t="shared" si="101"/>
        <v>0.8009865968884823</v>
      </c>
      <c r="L171" s="8">
        <f t="shared" si="102"/>
        <v>0.00045657096939147324</v>
      </c>
      <c r="M171" s="8">
        <f t="shared" si="103"/>
        <v>0.5213675213675214</v>
      </c>
      <c r="N171" s="8">
        <f t="shared" si="93"/>
        <v>1.69292959786819</v>
      </c>
      <c r="O171" s="8">
        <f t="shared" si="104"/>
        <v>0.07325223505585884</v>
      </c>
      <c r="P171" s="8">
        <f t="shared" si="105"/>
        <v>0.17430274161317022</v>
      </c>
      <c r="Q171" s="8">
        <f t="shared" si="106"/>
        <v>0.3446166445946709</v>
      </c>
      <c r="R171" s="8">
        <f t="shared" si="107"/>
        <v>0.06779950800763512</v>
      </c>
      <c r="S171" s="8">
        <f t="shared" si="108"/>
        <v>0.7603833865814694</v>
      </c>
      <c r="T171" s="8">
        <f t="shared" si="94"/>
        <v>1.7741727040279271</v>
      </c>
      <c r="U171" s="8">
        <f t="shared" si="109"/>
        <v>0.9987915872619786</v>
      </c>
      <c r="V171" s="8">
        <f t="shared" si="110"/>
        <v>3.343461545850683</v>
      </c>
      <c r="W171" s="8">
        <f t="shared" si="95"/>
        <v>1.69292959786819</v>
      </c>
      <c r="X171" s="20">
        <f t="shared" si="111"/>
        <v>1.5299877600979195</v>
      </c>
      <c r="Y171" s="20">
        <f t="shared" si="112"/>
        <v>-0.032451040391676865</v>
      </c>
      <c r="Z171" s="22">
        <f t="shared" si="113"/>
        <v>3.144085575926563</v>
      </c>
    </row>
    <row r="172" spans="7:26" ht="12.75">
      <c r="G172" s="9">
        <f t="shared" si="114"/>
        <v>345</v>
      </c>
      <c r="H172" s="9">
        <f t="shared" si="98"/>
        <v>0.049194507176818836</v>
      </c>
      <c r="I172" s="9">
        <f t="shared" si="99"/>
        <v>2.4138978029179987</v>
      </c>
      <c r="J172" s="9">
        <f t="shared" si="100"/>
        <v>0.8003814542386462</v>
      </c>
      <c r="K172" s="9">
        <f t="shared" si="101"/>
        <v>0.7963382969027064</v>
      </c>
      <c r="L172" s="9">
        <f t="shared" si="102"/>
        <v>0.00045657096939147324</v>
      </c>
      <c r="M172" s="9">
        <f t="shared" si="103"/>
        <v>0.5213675213675214</v>
      </c>
      <c r="N172" s="9">
        <f t="shared" si="93"/>
        <v>1.6906665256730409</v>
      </c>
      <c r="O172" s="9">
        <f t="shared" si="104"/>
        <v>0.07325223505585884</v>
      </c>
      <c r="P172" s="9">
        <f t="shared" si="105"/>
        <v>0.17237193460528175</v>
      </c>
      <c r="Q172" s="9">
        <f t="shared" si="106"/>
        <v>0.34229992000112125</v>
      </c>
      <c r="R172" s="9">
        <f t="shared" si="107"/>
        <v>0.06779950800763512</v>
      </c>
      <c r="S172" s="9">
        <f t="shared" si="108"/>
        <v>0.7603833865814694</v>
      </c>
      <c r="T172" s="9">
        <f t="shared" si="94"/>
        <v>1.772561074492116</v>
      </c>
      <c r="U172" s="9">
        <f t="shared" si="109"/>
        <v>0.9973458145452772</v>
      </c>
      <c r="V172" s="9">
        <f t="shared" si="110"/>
        <v>3.343461545850683</v>
      </c>
      <c r="W172" s="9">
        <f t="shared" si="95"/>
        <v>1.6906665256730409</v>
      </c>
      <c r="X172" s="20">
        <f t="shared" si="111"/>
        <v>1.5255530129672008</v>
      </c>
      <c r="Y172" s="23">
        <f t="shared" si="112"/>
        <v>-0.032356979405034327</v>
      </c>
      <c r="Z172" s="24">
        <f t="shared" si="113"/>
        <v>3.1400609111353575</v>
      </c>
    </row>
    <row r="173" spans="7:26" ht="12.75">
      <c r="G173" s="8">
        <f t="shared" si="114"/>
        <v>346</v>
      </c>
      <c r="H173" s="8">
        <f t="shared" si="98"/>
        <v>0.048910556790411154</v>
      </c>
      <c r="I173" s="8">
        <f t="shared" si="99"/>
        <v>2.4083663063777734</v>
      </c>
      <c r="J173" s="8">
        <f t="shared" si="100"/>
        <v>0.7957733092517377</v>
      </c>
      <c r="K173" s="8">
        <f t="shared" si="101"/>
        <v>0.7917302418262329</v>
      </c>
      <c r="L173" s="8">
        <f t="shared" si="102"/>
        <v>0.00045657096939147324</v>
      </c>
      <c r="M173" s="8">
        <f t="shared" si="103"/>
        <v>0.5213675213675214</v>
      </c>
      <c r="N173" s="8">
        <f t="shared" si="93"/>
        <v>1.6884143635457876</v>
      </c>
      <c r="O173" s="8">
        <f t="shared" si="104"/>
        <v>0.07325223505585884</v>
      </c>
      <c r="P173" s="8">
        <f t="shared" si="105"/>
        <v>0.1704684399148485</v>
      </c>
      <c r="Q173" s="8">
        <f t="shared" si="106"/>
        <v>0.3400032535732303</v>
      </c>
      <c r="R173" s="8">
        <f t="shared" si="107"/>
        <v>0.06779950800763512</v>
      </c>
      <c r="S173" s="8">
        <f t="shared" si="108"/>
        <v>0.7603833865814694</v>
      </c>
      <c r="T173" s="8">
        <f t="shared" si="94"/>
        <v>1.7709579552371055</v>
      </c>
      <c r="U173" s="8">
        <f t="shared" si="109"/>
        <v>0.9959083988963023</v>
      </c>
      <c r="V173" s="8">
        <f t="shared" si="110"/>
        <v>3.343461545850683</v>
      </c>
      <c r="W173" s="8">
        <f t="shared" si="95"/>
        <v>1.6884143635457876</v>
      </c>
      <c r="X173" s="20">
        <f t="shared" si="111"/>
        <v>1.5211439002129603</v>
      </c>
      <c r="Y173" s="20">
        <f t="shared" si="112"/>
        <v>-0.032263462123516884</v>
      </c>
      <c r="Z173" s="22">
        <f t="shared" si="113"/>
        <v>3.1360485547925046</v>
      </c>
    </row>
    <row r="174" spans="7:26" ht="12.75">
      <c r="G174" s="9">
        <f t="shared" si="114"/>
        <v>347</v>
      </c>
      <c r="H174" s="9">
        <f t="shared" si="98"/>
        <v>0.048629057767449795</v>
      </c>
      <c r="I174" s="9">
        <f t="shared" si="99"/>
        <v>2.4028666916619876</v>
      </c>
      <c r="J174" s="9">
        <f t="shared" si="100"/>
        <v>0.791204946701188</v>
      </c>
      <c r="K174" s="9">
        <f t="shared" si="101"/>
        <v>0.7871619684099148</v>
      </c>
      <c r="L174" s="9">
        <f t="shared" si="102"/>
        <v>0.00045657096939147324</v>
      </c>
      <c r="M174" s="9">
        <f t="shared" si="103"/>
        <v>0.5213675213675214</v>
      </c>
      <c r="N174" s="9">
        <f t="shared" si="93"/>
        <v>1.6861730275994669</v>
      </c>
      <c r="O174" s="9">
        <f t="shared" si="104"/>
        <v>0.07325223505585884</v>
      </c>
      <c r="P174" s="9">
        <f t="shared" si="105"/>
        <v>0.16859179136307492</v>
      </c>
      <c r="Q174" s="9">
        <f t="shared" si="106"/>
        <v>0.3377264144264392</v>
      </c>
      <c r="R174" s="9">
        <f t="shared" si="107"/>
        <v>0.06779950800763512</v>
      </c>
      <c r="S174" s="9">
        <f t="shared" si="108"/>
        <v>0.7603833865814694</v>
      </c>
      <c r="T174" s="9">
        <f t="shared" si="94"/>
        <v>1.769363280076012</v>
      </c>
      <c r="U174" s="9">
        <f t="shared" si="109"/>
        <v>0.9944792680637482</v>
      </c>
      <c r="V174" s="9">
        <f t="shared" si="110"/>
        <v>3.343461545850683</v>
      </c>
      <c r="W174" s="9">
        <f t="shared" si="95"/>
        <v>1.6861730275994669</v>
      </c>
      <c r="X174" s="20">
        <f t="shared" si="111"/>
        <v>1.5167602002123466</v>
      </c>
      <c r="Y174" s="23">
        <f t="shared" si="112"/>
        <v>-0.03217048384650387</v>
      </c>
      <c r="Z174" s="24">
        <f t="shared" si="113"/>
        <v>3.13204842621703</v>
      </c>
    </row>
    <row r="175" spans="7:26" ht="12.75">
      <c r="G175" s="8">
        <f t="shared" si="114"/>
        <v>348</v>
      </c>
      <c r="H175" s="8">
        <f t="shared" si="98"/>
        <v>0.04834998197186602</v>
      </c>
      <c r="I175" s="8">
        <f t="shared" si="99"/>
        <v>2.3973986839273267</v>
      </c>
      <c r="J175" s="8">
        <f t="shared" si="100"/>
        <v>0.7866759099752424</v>
      </c>
      <c r="K175" s="8">
        <f t="shared" si="101"/>
        <v>0.782633020050907</v>
      </c>
      <c r="L175" s="8">
        <f t="shared" si="102"/>
        <v>0.00045657096939147324</v>
      </c>
      <c r="M175" s="8">
        <f t="shared" si="103"/>
        <v>0.5213675213675214</v>
      </c>
      <c r="N175" s="8">
        <f t="shared" si="93"/>
        <v>1.6839424348314185</v>
      </c>
      <c r="O175" s="8">
        <f t="shared" si="104"/>
        <v>0.07325223505585884</v>
      </c>
      <c r="P175" s="8">
        <f t="shared" si="105"/>
        <v>0.1667415320616124</v>
      </c>
      <c r="Q175" s="8">
        <f t="shared" si="106"/>
        <v>0.3354691749887228</v>
      </c>
      <c r="R175" s="8">
        <f t="shared" si="107"/>
        <v>0.06779950800763512</v>
      </c>
      <c r="S175" s="8">
        <f t="shared" si="108"/>
        <v>0.7603833865814694</v>
      </c>
      <c r="T175" s="8">
        <f t="shared" si="94"/>
        <v>1.7677769835203208</v>
      </c>
      <c r="U175" s="8">
        <f t="shared" si="109"/>
        <v>0.9930583506267834</v>
      </c>
      <c r="V175" s="8">
        <f t="shared" si="110"/>
        <v>3.343461545850683</v>
      </c>
      <c r="W175" s="8">
        <f t="shared" si="95"/>
        <v>1.6839424348314185</v>
      </c>
      <c r="X175" s="20">
        <f t="shared" si="111"/>
        <v>1.5124016938898974</v>
      </c>
      <c r="Y175" s="20">
        <f t="shared" si="112"/>
        <v>-0.032078039927404725</v>
      </c>
      <c r="Z175" s="22">
        <f t="shared" si="113"/>
        <v>3.1280604454927188</v>
      </c>
    </row>
    <row r="176" spans="7:26" ht="12.75">
      <c r="G176" s="9">
        <f t="shared" si="114"/>
        <v>349</v>
      </c>
      <c r="H176" s="9">
        <f t="shared" si="98"/>
        <v>0.0480733016701083</v>
      </c>
      <c r="I176" s="9">
        <f t="shared" si="99"/>
        <v>2.3919620114805435</v>
      </c>
      <c r="J176" s="9">
        <f t="shared" si="100"/>
        <v>0.7821857489944768</v>
      </c>
      <c r="K176" s="9">
        <f t="shared" si="101"/>
        <v>0.7781429466785665</v>
      </c>
      <c r="L176" s="9">
        <f t="shared" si="102"/>
        <v>0.00045657096939147324</v>
      </c>
      <c r="M176" s="9">
        <f t="shared" si="103"/>
        <v>0.5213675213675214</v>
      </c>
      <c r="N176" s="9">
        <f t="shared" si="93"/>
        <v>1.6817225031114567</v>
      </c>
      <c r="O176" s="9">
        <f t="shared" si="104"/>
        <v>0.07325223505585884</v>
      </c>
      <c r="P176" s="9">
        <f t="shared" si="105"/>
        <v>0.16491721420117508</v>
      </c>
      <c r="Q176" s="9">
        <f t="shared" si="106"/>
        <v>0.33323131094372244</v>
      </c>
      <c r="R176" s="9">
        <f t="shared" si="107"/>
        <v>0.06779950800763512</v>
      </c>
      <c r="S176" s="9">
        <f t="shared" si="108"/>
        <v>0.7603833865814694</v>
      </c>
      <c r="T176" s="9">
        <f t="shared" si="94"/>
        <v>1.7661990007705337</v>
      </c>
      <c r="U176" s="9">
        <f t="shared" si="109"/>
        <v>0.9916455759831535</v>
      </c>
      <c r="V176" s="9">
        <f t="shared" si="110"/>
        <v>3.343461545850683</v>
      </c>
      <c r="W176" s="9">
        <f t="shared" si="95"/>
        <v>1.6817225031114567</v>
      </c>
      <c r="X176" s="20">
        <f t="shared" si="111"/>
        <v>1.5080681646810439</v>
      </c>
      <c r="Y176" s="23">
        <f t="shared" si="112"/>
        <v>-0.031986125772884934</v>
      </c>
      <c r="Z176" s="24">
        <f t="shared" si="113"/>
        <v>3.1240845334586633</v>
      </c>
    </row>
    <row r="177" spans="7:26" ht="12.75">
      <c r="G177" s="8">
        <f t="shared" si="114"/>
        <v>350</v>
      </c>
      <c r="H177" s="8">
        <f t="shared" si="98"/>
        <v>0.047798989524251934</v>
      </c>
      <c r="I177" s="8">
        <f t="shared" si="99"/>
        <v>2.3865564057334563</v>
      </c>
      <c r="J177" s="8">
        <f t="shared" si="100"/>
        <v>0.7777340200999747</v>
      </c>
      <c r="K177" s="8">
        <f t="shared" si="101"/>
        <v>0.7736913046426338</v>
      </c>
      <c r="L177" s="8">
        <f t="shared" si="102"/>
        <v>0.00045657096939147324</v>
      </c>
      <c r="M177" s="8">
        <f t="shared" si="103"/>
        <v>0.5213675213675214</v>
      </c>
      <c r="N177" s="8">
        <f t="shared" si="93"/>
        <v>1.6795131511702306</v>
      </c>
      <c r="O177" s="8">
        <f t="shared" si="104"/>
        <v>0.07325223505585884</v>
      </c>
      <c r="P177" s="8">
        <f t="shared" si="105"/>
        <v>0.1631183988455564</v>
      </c>
      <c r="Q177" s="8">
        <f t="shared" si="106"/>
        <v>0.33101260117501474</v>
      </c>
      <c r="R177" s="8">
        <f t="shared" si="107"/>
        <v>0.06779950800763512</v>
      </c>
      <c r="S177" s="8">
        <f t="shared" si="108"/>
        <v>0.7603833865814694</v>
      </c>
      <c r="T177" s="8">
        <f t="shared" si="94"/>
        <v>1.7646292677069733</v>
      </c>
      <c r="U177" s="8">
        <f t="shared" si="109"/>
        <v>0.9902408743374875</v>
      </c>
      <c r="V177" s="8">
        <f t="shared" si="110"/>
        <v>3.343461545850683</v>
      </c>
      <c r="W177" s="8">
        <f t="shared" si="95"/>
        <v>1.6795131511702306</v>
      </c>
      <c r="X177" s="20">
        <f t="shared" si="111"/>
        <v>1.5037593984962407</v>
      </c>
      <c r="Y177" s="20">
        <f t="shared" si="112"/>
        <v>-0.03189473684210527</v>
      </c>
      <c r="Z177" s="22">
        <f t="shared" si="113"/>
        <v>3.1201206116999685</v>
      </c>
    </row>
    <row r="178" spans="7:26" ht="12.75">
      <c r="G178" s="9">
        <f t="shared" si="114"/>
        <v>351</v>
      </c>
      <c r="H178" s="9">
        <f t="shared" si="98"/>
        <v>0.04752701858524576</v>
      </c>
      <c r="I178" s="9">
        <f t="shared" si="99"/>
        <v>2.3811816011587172</v>
      </c>
      <c r="J178" s="9">
        <f t="shared" si="100"/>
        <v>0.7733202859437316</v>
      </c>
      <c r="K178" s="9">
        <f t="shared" si="101"/>
        <v>0.7692776566036368</v>
      </c>
      <c r="L178" s="9">
        <f t="shared" si="102"/>
        <v>0.00045657096939147324</v>
      </c>
      <c r="M178" s="9">
        <f t="shared" si="103"/>
        <v>0.5213675213675214</v>
      </c>
      <c r="N178" s="9">
        <f t="shared" si="93"/>
        <v>1.6773142985877745</v>
      </c>
      <c r="O178" s="9">
        <f t="shared" si="104"/>
        <v>0.07325223505585884</v>
      </c>
      <c r="P178" s="9">
        <f t="shared" si="105"/>
        <v>0.16134465573089282</v>
      </c>
      <c r="Q178" s="9">
        <f t="shared" si="106"/>
        <v>0.3288128277114891</v>
      </c>
      <c r="R178" s="9">
        <f t="shared" si="107"/>
        <v>0.06779950800763512</v>
      </c>
      <c r="S178" s="9">
        <f t="shared" si="108"/>
        <v>0.7603833865814694</v>
      </c>
      <c r="T178" s="9">
        <f t="shared" si="94"/>
        <v>1.7630677208807328</v>
      </c>
      <c r="U178" s="9">
        <f t="shared" si="109"/>
        <v>0.9888441766898024</v>
      </c>
      <c r="V178" s="9">
        <f t="shared" si="110"/>
        <v>3.343461545850683</v>
      </c>
      <c r="W178" s="9">
        <f t="shared" si="95"/>
        <v>1.6773142985877745</v>
      </c>
      <c r="X178" s="20">
        <f t="shared" si="111"/>
        <v>1.49947518368571</v>
      </c>
      <c r="Y178" s="23">
        <f t="shared" si="112"/>
        <v>-0.031803868645973905</v>
      </c>
      <c r="Z178" s="24">
        <f t="shared" si="113"/>
        <v>3.116168602538581</v>
      </c>
    </row>
    <row r="179" spans="7:26" ht="12.75">
      <c r="G179" s="8">
        <f t="shared" si="114"/>
        <v>352</v>
      </c>
      <c r="H179" s="8">
        <f t="shared" si="98"/>
        <v>0.04725736228629311</v>
      </c>
      <c r="I179" s="8">
        <f t="shared" si="99"/>
        <v>2.3758373352463344</v>
      </c>
      <c r="J179" s="8">
        <f t="shared" si="100"/>
        <v>0.7689441153812345</v>
      </c>
      <c r="K179" s="8">
        <f t="shared" si="101"/>
        <v>0.7649015714254755</v>
      </c>
      <c r="L179" s="8">
        <f t="shared" si="102"/>
        <v>0.00045657096939147324</v>
      </c>
      <c r="M179" s="8">
        <f t="shared" si="103"/>
        <v>0.5213675213675214</v>
      </c>
      <c r="N179" s="8">
        <f t="shared" si="93"/>
        <v>1.6751258657822397</v>
      </c>
      <c r="O179" s="8">
        <f t="shared" si="104"/>
        <v>0.07325223505585884</v>
      </c>
      <c r="P179" s="8">
        <f t="shared" si="105"/>
        <v>0.15959556307002828</v>
      </c>
      <c r="Q179" s="8">
        <f t="shared" si="106"/>
        <v>0.3266317756738113</v>
      </c>
      <c r="R179" s="8">
        <f t="shared" si="107"/>
        <v>0.06779950800763512</v>
      </c>
      <c r="S179" s="8">
        <f t="shared" si="108"/>
        <v>0.7603833865814694</v>
      </c>
      <c r="T179" s="8">
        <f t="shared" si="94"/>
        <v>1.7615142975047724</v>
      </c>
      <c r="U179" s="8">
        <f t="shared" si="109"/>
        <v>0.9874554148242063</v>
      </c>
      <c r="V179" s="8">
        <f t="shared" si="110"/>
        <v>3.343461545850683</v>
      </c>
      <c r="W179" s="8">
        <f t="shared" si="95"/>
        <v>1.6751258657822397</v>
      </c>
      <c r="X179" s="20">
        <f t="shared" si="111"/>
        <v>1.4952153110047848</v>
      </c>
      <c r="Y179" s="20">
        <f t="shared" si="112"/>
        <v>-0.03171351674641148</v>
      </c>
      <c r="Z179" s="22">
        <f t="shared" si="113"/>
        <v>3.112228429024276</v>
      </c>
    </row>
    <row r="180" spans="7:26" ht="12.75">
      <c r="G180" s="9">
        <f t="shared" si="114"/>
        <v>353</v>
      </c>
      <c r="H180" s="9">
        <f t="shared" si="98"/>
        <v>0.04698999443636384</v>
      </c>
      <c r="I180" s="9">
        <f t="shared" si="99"/>
        <v>2.370523348460934</v>
      </c>
      <c r="J180" s="9">
        <f t="shared" si="100"/>
        <v>0.764605083366173</v>
      </c>
      <c r="K180" s="9">
        <f t="shared" si="101"/>
        <v>0.760562624070132</v>
      </c>
      <c r="L180" s="9">
        <f t="shared" si="102"/>
        <v>0.00045657096939147324</v>
      </c>
      <c r="M180" s="9">
        <f t="shared" si="103"/>
        <v>0.5213675213675214</v>
      </c>
      <c r="N180" s="9">
        <f t="shared" si="93"/>
        <v>1.672947773998812</v>
      </c>
      <c r="O180" s="9">
        <f t="shared" si="104"/>
        <v>0.07325223505585884</v>
      </c>
      <c r="P180" s="9">
        <f t="shared" si="105"/>
        <v>0.15787070736183487</v>
      </c>
      <c r="Q180" s="9">
        <f t="shared" si="106"/>
        <v>0.32446923322194676</v>
      </c>
      <c r="R180" s="9">
        <f t="shared" si="107"/>
        <v>0.06779950800763512</v>
      </c>
      <c r="S180" s="9">
        <f t="shared" si="108"/>
        <v>0.7603833865814694</v>
      </c>
      <c r="T180" s="9">
        <f t="shared" si="94"/>
        <v>1.7599689354451589</v>
      </c>
      <c r="U180" s="9">
        <f t="shared" si="109"/>
        <v>0.9860745212977922</v>
      </c>
      <c r="V180" s="9">
        <f t="shared" si="110"/>
        <v>3.343461545850683</v>
      </c>
      <c r="W180" s="9">
        <f t="shared" si="95"/>
        <v>1.672947773998812</v>
      </c>
      <c r="X180" s="20">
        <f t="shared" si="111"/>
        <v>1.4909795735798421</v>
      </c>
      <c r="Y180" s="23">
        <f t="shared" si="112"/>
        <v>-0.03162367675562845</v>
      </c>
      <c r="Z180" s="24">
        <f t="shared" si="113"/>
        <v>3.108300014925761</v>
      </c>
    </row>
    <row r="181" spans="7:26" ht="12.75">
      <c r="G181" s="8">
        <f aca="true" t="shared" si="115" ref="G181:G187">G180+1</f>
        <v>354</v>
      </c>
      <c r="H181" s="8">
        <f t="shared" si="98"/>
        <v>0.04672488921383432</v>
      </c>
      <c r="I181" s="8">
        <f t="shared" si="99"/>
        <v>2.3652393841997448</v>
      </c>
      <c r="J181" s="8">
        <f t="shared" si="100"/>
        <v>0.7603027708472224</v>
      </c>
      <c r="K181" s="8">
        <f t="shared" si="101"/>
        <v>0.7562603954944579</v>
      </c>
      <c r="L181" s="8">
        <f t="shared" si="102"/>
        <v>0.00045657096939147324</v>
      </c>
      <c r="M181" s="8">
        <f t="shared" si="103"/>
        <v>0.5213675213675214</v>
      </c>
      <c r="N181" s="8">
        <f t="shared" si="93"/>
        <v>1.670779945298801</v>
      </c>
      <c r="O181" s="8">
        <f t="shared" si="104"/>
        <v>0.07325223505585884</v>
      </c>
      <c r="P181" s="8">
        <f t="shared" si="105"/>
        <v>0.15616968320534924</v>
      </c>
      <c r="Q181" s="8">
        <f t="shared" si="106"/>
        <v>0.3223249915037194</v>
      </c>
      <c r="R181" s="8">
        <f t="shared" si="107"/>
        <v>0.06779950800763512</v>
      </c>
      <c r="S181" s="8">
        <f t="shared" si="108"/>
        <v>0.7603833865814694</v>
      </c>
      <c r="T181" s="8">
        <f t="shared" si="94"/>
        <v>1.758431573212447</v>
      </c>
      <c r="U181" s="8">
        <f t="shared" si="109"/>
        <v>0.9847014294297192</v>
      </c>
      <c r="V181" s="8">
        <f t="shared" si="110"/>
        <v>3.343461545850683</v>
      </c>
      <c r="W181" s="8">
        <f t="shared" si="95"/>
        <v>1.670779945298801</v>
      </c>
      <c r="X181" s="20">
        <f t="shared" si="111"/>
        <v>1.4867677668748143</v>
      </c>
      <c r="Y181" s="20">
        <f t="shared" si="112"/>
        <v>-0.03153434433541481</v>
      </c>
      <c r="Z181" s="22">
        <f t="shared" si="113"/>
        <v>3.1043832847219237</v>
      </c>
    </row>
    <row r="182" spans="7:26" ht="12.75">
      <c r="G182" s="9">
        <f t="shared" si="115"/>
        <v>355</v>
      </c>
      <c r="H182" s="9">
        <f t="shared" si="98"/>
        <v>0.04646202116025282</v>
      </c>
      <c r="I182" s="9">
        <f t="shared" si="99"/>
        <v>2.3599851887512946</v>
      </c>
      <c r="J182" s="9">
        <f t="shared" si="100"/>
        <v>0.7560367646668654</v>
      </c>
      <c r="K182" s="9">
        <f t="shared" si="101"/>
        <v>0.7519944725489971</v>
      </c>
      <c r="L182" s="9">
        <f t="shared" si="102"/>
        <v>0.00045657096939147324</v>
      </c>
      <c r="M182" s="9">
        <f t="shared" si="103"/>
        <v>0.5213675213675214</v>
      </c>
      <c r="N182" s="9">
        <f t="shared" si="93"/>
        <v>1.6686223025489104</v>
      </c>
      <c r="O182" s="9">
        <f t="shared" si="104"/>
        <v>0.07325223505585884</v>
      </c>
      <c r="P182" s="9">
        <f t="shared" si="105"/>
        <v>0.15449209311859236</v>
      </c>
      <c r="Q182" s="9">
        <f t="shared" si="106"/>
        <v>0.32019884460438436</v>
      </c>
      <c r="R182" s="9">
        <f t="shared" si="107"/>
        <v>0.06779950800763512</v>
      </c>
      <c r="S182" s="9">
        <f t="shared" si="108"/>
        <v>0.7603833865814694</v>
      </c>
      <c r="T182" s="9">
        <f t="shared" si="94"/>
        <v>1.756902149953195</v>
      </c>
      <c r="U182" s="9">
        <f t="shared" si="109"/>
        <v>0.9833360732904806</v>
      </c>
      <c r="V182" s="9">
        <f t="shared" si="110"/>
        <v>3.343461545850683</v>
      </c>
      <c r="W182" s="9">
        <f t="shared" si="95"/>
        <v>1.6686223025489104</v>
      </c>
      <c r="X182" s="20">
        <f t="shared" si="111"/>
        <v>1.4825796886582656</v>
      </c>
      <c r="Y182" s="23">
        <f t="shared" si="112"/>
        <v>-0.031445515196441814</v>
      </c>
      <c r="Z182" s="24">
        <f t="shared" si="113"/>
        <v>3.1004781635932104</v>
      </c>
    </row>
    <row r="183" spans="7:26" ht="12.75">
      <c r="G183" s="8">
        <f t="shared" si="115"/>
        <v>356</v>
      </c>
      <c r="H183" s="8">
        <f t="shared" si="98"/>
        <v>0.046201365174227224</v>
      </c>
      <c r="I183" s="8">
        <f t="shared" si="99"/>
        <v>2.3547605112548027</v>
      </c>
      <c r="J183" s="8">
        <f t="shared" si="100"/>
        <v>0.751806657462197</v>
      </c>
      <c r="K183" s="8">
        <f t="shared" si="101"/>
        <v>0.747764447878793</v>
      </c>
      <c r="L183" s="8">
        <f t="shared" si="102"/>
        <v>0.00045657096939147324</v>
      </c>
      <c r="M183" s="8">
        <f t="shared" si="103"/>
        <v>0.5213675213675214</v>
      </c>
      <c r="N183" s="8">
        <f t="shared" si="93"/>
        <v>1.6664747694106703</v>
      </c>
      <c r="O183" s="8">
        <f t="shared" si="104"/>
        <v>0.07325223505585884</v>
      </c>
      <c r="P183" s="8">
        <f t="shared" si="105"/>
        <v>0.1528375473619397</v>
      </c>
      <c r="Q183" s="8">
        <f t="shared" si="106"/>
        <v>0.31809058949719</v>
      </c>
      <c r="R183" s="8">
        <f t="shared" si="107"/>
        <v>0.06779950800763512</v>
      </c>
      <c r="S183" s="8">
        <f t="shared" si="108"/>
        <v>0.7603833865814694</v>
      </c>
      <c r="T183" s="8">
        <f t="shared" si="94"/>
        <v>1.7553806054416192</v>
      </c>
      <c r="U183" s="8">
        <f t="shared" si="109"/>
        <v>0.9819783876913499</v>
      </c>
      <c r="V183" s="8">
        <f t="shared" si="110"/>
        <v>3.343461545850683</v>
      </c>
      <c r="W183" s="8">
        <f t="shared" si="95"/>
        <v>1.6664747694106703</v>
      </c>
      <c r="X183" s="20">
        <f t="shared" si="111"/>
        <v>1.4784151389710232</v>
      </c>
      <c r="Y183" s="20">
        <f t="shared" si="112"/>
        <v>-0.0313571850975754</v>
      </c>
      <c r="Z183" s="22">
        <f t="shared" si="113"/>
        <v>3.0965845774131346</v>
      </c>
    </row>
    <row r="184" spans="7:26" ht="12.75">
      <c r="G184" s="9">
        <f t="shared" si="115"/>
        <v>357</v>
      </c>
      <c r="H184" s="9">
        <f t="shared" si="98"/>
        <v>0.045942896505432464</v>
      </c>
      <c r="I184" s="9">
        <f t="shared" si="99"/>
        <v>2.349565103660251</v>
      </c>
      <c r="J184" s="9">
        <f t="shared" si="100"/>
        <v>0.7476120475676735</v>
      </c>
      <c r="K184" s="9">
        <f t="shared" si="101"/>
        <v>0.7435699198261388</v>
      </c>
      <c r="L184" s="9">
        <f t="shared" si="102"/>
        <v>0.00045657096939147324</v>
      </c>
      <c r="M184" s="9">
        <f t="shared" si="103"/>
        <v>0.5213675213675214</v>
      </c>
      <c r="N184" s="9">
        <f t="shared" si="93"/>
        <v>1.6643372703300474</v>
      </c>
      <c r="O184" s="9">
        <f t="shared" si="104"/>
        <v>0.07325223505585884</v>
      </c>
      <c r="P184" s="9">
        <f t="shared" si="105"/>
        <v>0.15120566376591615</v>
      </c>
      <c r="Q184" s="9">
        <f t="shared" si="106"/>
        <v>0.3160000259949086</v>
      </c>
      <c r="R184" s="9">
        <f t="shared" si="107"/>
        <v>0.06779950800763512</v>
      </c>
      <c r="S184" s="9">
        <f t="shared" si="108"/>
        <v>0.7603833865814694</v>
      </c>
      <c r="T184" s="9">
        <f t="shared" si="94"/>
        <v>1.7538668800713801</v>
      </c>
      <c r="U184" s="9">
        <f t="shared" si="109"/>
        <v>0.9806283081740073</v>
      </c>
      <c r="V184" s="9">
        <f t="shared" si="110"/>
        <v>3.343461545850683</v>
      </c>
      <c r="W184" s="9">
        <f t="shared" si="95"/>
        <v>1.6643372703300474</v>
      </c>
      <c r="X184" s="20">
        <f t="shared" si="111"/>
        <v>1.4742739200943538</v>
      </c>
      <c r="Y184" s="23">
        <f t="shared" si="112"/>
        <v>-0.031269349845201244</v>
      </c>
      <c r="Z184" s="24">
        <f t="shared" si="113"/>
        <v>3.0927024527399043</v>
      </c>
    </row>
    <row r="185" spans="7:26" ht="12.75">
      <c r="G185" s="8">
        <f t="shared" si="115"/>
        <v>358</v>
      </c>
      <c r="H185" s="8">
        <f t="shared" si="98"/>
        <v>0.04568659074873492</v>
      </c>
      <c r="I185" s="8">
        <f t="shared" si="99"/>
        <v>2.3443987206891337</v>
      </c>
      <c r="J185" s="8">
        <f t="shared" si="100"/>
        <v>0.7434525389197585</v>
      </c>
      <c r="K185" s="8">
        <f t="shared" si="101"/>
        <v>0.7394104923352256</v>
      </c>
      <c r="L185" s="8">
        <f t="shared" si="102"/>
        <v>0.00045657096939147324</v>
      </c>
      <c r="M185" s="8">
        <f t="shared" si="103"/>
        <v>0.5213675213675214</v>
      </c>
      <c r="N185" s="8">
        <f t="shared" si="93"/>
        <v>1.662209730527211</v>
      </c>
      <c r="O185" s="8">
        <f t="shared" si="104"/>
        <v>0.07325223505585884</v>
      </c>
      <c r="P185" s="8">
        <f t="shared" si="105"/>
        <v>0.1495960675632925</v>
      </c>
      <c r="Q185" s="8">
        <f t="shared" si="106"/>
        <v>0.31392695670231296</v>
      </c>
      <c r="R185" s="8">
        <f t="shared" si="107"/>
        <v>0.06779950800763512</v>
      </c>
      <c r="S185" s="8">
        <f t="shared" si="108"/>
        <v>0.7603833865814694</v>
      </c>
      <c r="T185" s="8">
        <f t="shared" si="94"/>
        <v>1.7523609148474961</v>
      </c>
      <c r="U185" s="8">
        <f t="shared" si="109"/>
        <v>0.9792857710003369</v>
      </c>
      <c r="V185" s="8">
        <f t="shared" si="110"/>
        <v>3.343461545850683</v>
      </c>
      <c r="W185" s="8">
        <f t="shared" si="95"/>
        <v>1.662209730527211</v>
      </c>
      <c r="X185" s="20">
        <f t="shared" si="111"/>
        <v>1.470155836518671</v>
      </c>
      <c r="Y185" s="20">
        <f t="shared" si="112"/>
        <v>-0.031182005292561012</v>
      </c>
      <c r="Z185" s="22">
        <f t="shared" si="113"/>
        <v>3.0888317168081802</v>
      </c>
    </row>
    <row r="186" spans="7:26" ht="12.75">
      <c r="G186" s="9">
        <f t="shared" si="115"/>
        <v>359</v>
      </c>
      <c r="H186" s="9">
        <f t="shared" si="98"/>
        <v>0.04543242383843128</v>
      </c>
      <c r="I186" s="9">
        <f t="shared" si="99"/>
        <v>2.3392611197958484</v>
      </c>
      <c r="J186" s="9">
        <f t="shared" si="100"/>
        <v>0.739327740963428</v>
      </c>
      <c r="K186" s="9">
        <f t="shared" si="101"/>
        <v>0.7352857748586495</v>
      </c>
      <c r="L186" s="9">
        <f t="shared" si="102"/>
        <v>0.00045657096939147324</v>
      </c>
      <c r="M186" s="9">
        <f t="shared" si="103"/>
        <v>0.5213675213675214</v>
      </c>
      <c r="N186" s="9">
        <f t="shared" si="93"/>
        <v>1.6600920759864661</v>
      </c>
      <c r="O186" s="9">
        <f t="shared" si="104"/>
        <v>0.07325223505585884</v>
      </c>
      <c r="P186" s="9">
        <f t="shared" si="105"/>
        <v>0.14800839122536447</v>
      </c>
      <c r="Q186" s="9">
        <f t="shared" si="106"/>
        <v>0.3118711869695785</v>
      </c>
      <c r="R186" s="9">
        <f t="shared" si="107"/>
        <v>0.06779950800763512</v>
      </c>
      <c r="S186" s="9">
        <f t="shared" si="108"/>
        <v>0.7603833865814694</v>
      </c>
      <c r="T186" s="9">
        <f t="shared" si="94"/>
        <v>1.7508626513783887</v>
      </c>
      <c r="U186" s="9">
        <f t="shared" si="109"/>
        <v>0.9779507131423972</v>
      </c>
      <c r="V186" s="9">
        <f t="shared" si="110"/>
        <v>3.343461545850683</v>
      </c>
      <c r="W186" s="9">
        <f t="shared" si="95"/>
        <v>1.6600920759864661</v>
      </c>
      <c r="X186" s="20">
        <f t="shared" si="111"/>
        <v>1.4660606949127695</v>
      </c>
      <c r="Y186" s="23">
        <f t="shared" si="112"/>
        <v>-0.03109514733909984</v>
      </c>
      <c r="Z186" s="24">
        <f t="shared" si="113"/>
        <v>3.0849722975209586</v>
      </c>
    </row>
    <row r="187" spans="7:26" ht="12.75">
      <c r="G187" s="8">
        <f t="shared" si="115"/>
        <v>360</v>
      </c>
      <c r="H187" s="8">
        <f t="shared" si="98"/>
        <v>0.04518037204259924</v>
      </c>
      <c r="I187" s="8">
        <f t="shared" si="99"/>
        <v>2.334152061129749</v>
      </c>
      <c r="J187" s="8">
        <f t="shared" si="100"/>
        <v>0.7352372685604883</v>
      </c>
      <c r="K187" s="8">
        <f t="shared" si="101"/>
        <v>0.7311953822657318</v>
      </c>
      <c r="L187" s="8">
        <f t="shared" si="102"/>
        <v>0.00045657096939147324</v>
      </c>
      <c r="M187" s="8">
        <f t="shared" si="103"/>
        <v>0.5213675213675214</v>
      </c>
      <c r="N187" s="8">
        <f t="shared" si="93"/>
        <v>1.6579842334463435</v>
      </c>
      <c r="O187" s="8">
        <f t="shared" si="104"/>
        <v>0.07325223505585884</v>
      </c>
      <c r="P187" s="8">
        <f t="shared" si="105"/>
        <v>0.14644227430229878</v>
      </c>
      <c r="Q187" s="8">
        <f t="shared" si="106"/>
        <v>0.30983252484659074</v>
      </c>
      <c r="R187" s="8">
        <f t="shared" si="107"/>
        <v>0.06779950800763512</v>
      </c>
      <c r="S187" s="8">
        <f t="shared" si="108"/>
        <v>0.7603833865814694</v>
      </c>
      <c r="T187" s="8">
        <f t="shared" si="94"/>
        <v>1.7493720318680512</v>
      </c>
      <c r="U187" s="8">
        <f t="shared" si="109"/>
        <v>0.9766230722725572</v>
      </c>
      <c r="V187" s="8">
        <f t="shared" si="110"/>
        <v>3.343461545850683</v>
      </c>
      <c r="W187" s="8">
        <f t="shared" si="95"/>
        <v>1.6579842334463435</v>
      </c>
      <c r="X187" s="20">
        <f t="shared" si="111"/>
        <v>1.4619883040935675</v>
      </c>
      <c r="Y187" s="20">
        <f t="shared" si="112"/>
        <v>-0.031008771929824562</v>
      </c>
      <c r="Z187" s="22">
        <f t="shared" si="113"/>
        <v>3.0811241234415636</v>
      </c>
    </row>
    <row r="189" ht="12.75">
      <c r="G189" s="5" t="s">
        <v>489</v>
      </c>
    </row>
    <row r="190" spans="7:26" ht="18.75">
      <c r="G190" s="7" t="s">
        <v>490</v>
      </c>
      <c r="H190" s="7" t="s">
        <v>376</v>
      </c>
      <c r="I190" s="7" t="s">
        <v>399</v>
      </c>
      <c r="J190" s="16" t="s">
        <v>476</v>
      </c>
      <c r="K190" s="16" t="s">
        <v>477</v>
      </c>
      <c r="L190" s="16" t="s">
        <v>478</v>
      </c>
      <c r="M190" s="16" t="s">
        <v>479</v>
      </c>
      <c r="N190" s="17" t="s">
        <v>408</v>
      </c>
      <c r="O190" s="16" t="s">
        <v>480</v>
      </c>
      <c r="P190" s="16" t="s">
        <v>481</v>
      </c>
      <c r="Q190" s="16" t="s">
        <v>482</v>
      </c>
      <c r="R190" s="16" t="s">
        <v>483</v>
      </c>
      <c r="S190" s="16" t="s">
        <v>484</v>
      </c>
      <c r="T190" s="16" t="s">
        <v>418</v>
      </c>
      <c r="U190" s="16" t="s">
        <v>422</v>
      </c>
      <c r="V190" s="16" t="s">
        <v>425</v>
      </c>
      <c r="W190" s="18" t="s">
        <v>259</v>
      </c>
      <c r="X190" s="25" t="s">
        <v>485</v>
      </c>
      <c r="Y190" s="25" t="s">
        <v>486</v>
      </c>
      <c r="Z190" s="28" t="s">
        <v>487</v>
      </c>
    </row>
    <row r="191" spans="7:26" ht="12.75">
      <c r="G191" s="8">
        <v>1</v>
      </c>
      <c r="H191" s="8">
        <f aca="true" t="shared" si="116" ref="H191:H222">(((G191/100)*Iout)*(Vout_nom^2)*2.5*Rsense*K_1)/(eff*(Vline^2)*K_FQ)*us</f>
        <v>0.0011068764114784237</v>
      </c>
      <c r="I191" s="8">
        <f aca="true" t="shared" si="117" ref="I191:I222">(1*10^-9*(5*10^8*SQRT(fsw*kHz)+(1.09655978*10^10)*SQRT(ftyp)*SQRT(H191)))/SQRT(fsw*kHz)</f>
        <v>0.7870846704376998</v>
      </c>
      <c r="J191" s="8">
        <f aca="true" t="shared" si="118" ref="J191:J222">(b_1^3/(27*a_1^3))-(d_1^3/27)+SQRT((ftyp)^2*H191^2/(4*a_1^2*c_1^2*(fsw*kHz)^2))+(b_1^3*(ftyp)*H191/(27*a_1^4*c_1*(fsw*kHz))-(d_1^3*(ftyp)*H191/(27*a_1*c_1*(fsw*kHz)))+(b_1*d_1^2*(ftyp)*H191/(9*a_1^2*c_1*(fsw*kHz)))-(b_1^2*d_1*(ftyp)*H191/(9*a_1^3*c_1*(fsw*kHz))))</f>
        <v>0.019981830744392817</v>
      </c>
      <c r="K191" s="8">
        <f aca="true" t="shared" si="119" ref="K191:K222">(b_1*d_1^2/(9*a_1))-(b_1^2*d_1/(9*a_1^2))+(ftyp*H191/(2*a_1*c_1*fsw*kHz))</f>
        <v>0.01595389994095813</v>
      </c>
      <c r="L191" s="8">
        <f aca="true" t="shared" si="120" ref="L191:L222">(d_1^2/9)+(b_1^2/(9*a_1^2))-(2*b_1*d_1/(9*a_1))</f>
        <v>0.00045657096939147324</v>
      </c>
      <c r="M191" s="8">
        <f aca="true" t="shared" si="121" ref="M191:M222">((b_1*c_1*fsw*kHz)+(2*a_1*c_1*d_1*fsw*kHz))/(3*a_1*c_1*fsw*kHz)</f>
        <v>0.5213675213675214</v>
      </c>
      <c r="N191" s="8">
        <f>(J191+K191)^(1/3)+(L191/(J191^(1/3)))+M191</f>
        <v>0.8530461675538594</v>
      </c>
      <c r="O191" s="8">
        <f aca="true" t="shared" si="122" ref="O191:O222">(b_2^3/(27*a_2^3))-(d_2^3/27)</f>
        <v>0.07325223505585884</v>
      </c>
      <c r="P191" s="8">
        <f aca="true" t="shared" si="123" ref="P191:P222">(ftyp^2*H191^2/(4*a_2^2*c_2^2*(fsw*kHz)^2))+(b_2^3*ftyp*H191/(27*a_2^4*c_2*(fsw*kHz)))-(d_2^3*ftyp*H191/(27*a_2*c_2*(fsw*kHz)))+(b_2*d_2^2*ftyp*H191/(9*a_2^2*c_2*(fsw*kHz)))-(b_2^2*d_2*ftyp*H191/(9*a_2^3*c_2*(fsw*kHz)))</f>
        <v>0.00039625097342464873</v>
      </c>
      <c r="Q191" s="8">
        <f aca="true" t="shared" si="124" ref="Q191:Q222">(b_2*d_2^2/(9*a_2))-(b_2^2*d_2/(9*a_2^2))+(ftyp*H191/(2*a_2*c_2*(fsw*kHz)))</f>
        <v>-0.046645658037321985</v>
      </c>
      <c r="R191" s="8">
        <f aca="true" t="shared" si="125" ref="R191:R222">(d_2^2/9)+(b_2^2/(9*a_2^2))-(2*b_2*d_2/(9*a_2))</f>
        <v>0.06779950800763512</v>
      </c>
      <c r="S191" s="8">
        <f aca="true" t="shared" si="126" ref="S191:S222">(b_2*c_2*(fsw*kHz)+2*a_2*c_2*d_2*(fsw*kHz))/(3*a_2*c_2*(fsw*kHz))</f>
        <v>0.7603833865814694</v>
      </c>
      <c r="T191" s="8">
        <f>((O191+SQRT(P191)+Q191)^(1/3))+(R191/((O191+SQRT(P191)+Q191)^(1/3)))+S191</f>
        <v>1.3085395313999855</v>
      </c>
      <c r="U191" s="8">
        <f aca="true" t="shared" si="127" ref="U191:U222">c_3+(SQRT(ftyp)*SQRT(H191)/(SQRT(a_3)*SQRT(b_3)*SQRT(fsw*kHz)))</f>
        <v>0.5746018721817916</v>
      </c>
      <c r="V191" s="8">
        <f aca="true" t="shared" si="128" ref="V191:V222">(a_4*(fsw*kHz)*b_4/ftyp)</f>
        <v>3.343461545850683</v>
      </c>
      <c r="W191" s="8">
        <f aca="true" t="shared" si="129" ref="W191:W222">IF(I191&gt;=0.5,IF(I191&lt;1,I191,IF(N191&gt;=1,IF(N191&lt;2,N191,IF(VCOMP3&gt;=2,IF(T191&lt;4.5,T191,IF(U191&gt;=4.5,IF(U191&lt;4.6,U191,V191))))))))</f>
        <v>0.7870846704376998</v>
      </c>
      <c r="X191" s="26">
        <f aca="true" t="shared" si="130" ref="X191:X222">Pin_max*G191/(Vline*100)</f>
        <v>0.022883295194508012</v>
      </c>
      <c r="Y191" s="26">
        <f aca="true" t="shared" si="131" ref="Y191:Y222">-Rsense*X191*1.414</f>
        <v>-0.0004853546910755149</v>
      </c>
      <c r="Z191" s="29">
        <f aca="true" t="shared" si="132" ref="Z191:Z222">MIN(6,MAX(0.5,Beta*G*($Y191-Voff_trim)/(MAX(0,MIN(4.5,W191)-Alpha1_A)+MAX(0,MIN(4.5,W191)-Alpha1_B)-Alpha1_C)+Alpha2))</f>
        <v>0.5</v>
      </c>
    </row>
    <row r="192" spans="7:26" ht="12.75">
      <c r="G192" s="9">
        <v>2</v>
      </c>
      <c r="H192" s="9">
        <f t="shared" si="116"/>
        <v>0.0022137528229568475</v>
      </c>
      <c r="I192" s="9">
        <f t="shared" si="117"/>
        <v>0.9059990344824055</v>
      </c>
      <c r="J192" s="9">
        <f t="shared" si="118"/>
        <v>0.037944993433518856</v>
      </c>
      <c r="K192" s="9">
        <f t="shared" si="119"/>
        <v>0.03391671214723878</v>
      </c>
      <c r="L192" s="9">
        <f t="shared" si="120"/>
        <v>0.00045657096939147324</v>
      </c>
      <c r="M192" s="9">
        <f t="shared" si="121"/>
        <v>0.5213675213675214</v>
      </c>
      <c r="N192" s="9">
        <f aca="true" t="shared" si="133" ref="N192:N255">(J192+K192)^(1/3)+(L192/(J192^(1/3)))+M192</f>
        <v>0.938476459379384</v>
      </c>
      <c r="O192" s="9">
        <f t="shared" si="122"/>
        <v>0.07325223505585884</v>
      </c>
      <c r="P192" s="9">
        <f t="shared" si="123"/>
        <v>0.0009528040337891835</v>
      </c>
      <c r="Q192" s="9">
        <f t="shared" si="124"/>
        <v>-0.0376929465223706</v>
      </c>
      <c r="R192" s="9">
        <f t="shared" si="125"/>
        <v>0.06779950800763512</v>
      </c>
      <c r="S192" s="9">
        <f t="shared" si="126"/>
        <v>0.7603833865814694</v>
      </c>
      <c r="T192" s="9">
        <f aca="true" t="shared" si="134" ref="T192:T255">((O192+SQRT(P192)+Q192)^(1/3))+(R192/((O192+SQRT(P192)+Q192)^(1/3)))+S192</f>
        <v>1.3327856299746972</v>
      </c>
      <c r="U192" s="9">
        <f t="shared" si="127"/>
        <v>0.6055029794179138</v>
      </c>
      <c r="V192" s="9">
        <f t="shared" si="128"/>
        <v>3.343461545850683</v>
      </c>
      <c r="W192" s="9">
        <f t="shared" si="129"/>
        <v>0.9059990344824055</v>
      </c>
      <c r="X192" s="27">
        <f t="shared" si="130"/>
        <v>0.045766590389016024</v>
      </c>
      <c r="Y192" s="27">
        <f t="shared" si="131"/>
        <v>-0.0009707093821510298</v>
      </c>
      <c r="Z192" s="30">
        <f t="shared" si="132"/>
        <v>0.5</v>
      </c>
    </row>
    <row r="193" spans="7:26" ht="12.75">
      <c r="G193" s="8">
        <v>3</v>
      </c>
      <c r="H193" s="8">
        <f t="shared" si="116"/>
        <v>0.0033206292344352714</v>
      </c>
      <c r="I193" s="8">
        <f t="shared" si="117"/>
        <v>0.9972452352722633</v>
      </c>
      <c r="J193" s="8">
        <f t="shared" si="118"/>
        <v>0.05590815612264489</v>
      </c>
      <c r="K193" s="8">
        <f t="shared" si="119"/>
        <v>0.05187952435351943</v>
      </c>
      <c r="L193" s="8">
        <f t="shared" si="120"/>
        <v>0.00045657096939147324</v>
      </c>
      <c r="M193" s="8">
        <f t="shared" si="121"/>
        <v>0.5213675213675214</v>
      </c>
      <c r="N193" s="8">
        <f t="shared" si="133"/>
        <v>0.9984695953064874</v>
      </c>
      <c r="O193" s="8">
        <f t="shared" si="122"/>
        <v>0.07325223505585884</v>
      </c>
      <c r="P193" s="8">
        <f t="shared" si="123"/>
        <v>0.001669659181093604</v>
      </c>
      <c r="Q193" s="8">
        <f t="shared" si="124"/>
        <v>-0.028740235007419224</v>
      </c>
      <c r="R193" s="8">
        <f t="shared" si="125"/>
        <v>0.06779950800763512</v>
      </c>
      <c r="S193" s="8">
        <f t="shared" si="126"/>
        <v>0.7603833865814694</v>
      </c>
      <c r="T193" s="8">
        <f t="shared" si="134"/>
        <v>1.3546850756110964</v>
      </c>
      <c r="U193" s="8">
        <f t="shared" si="127"/>
        <v>0.6292142329586222</v>
      </c>
      <c r="V193" s="8">
        <f t="shared" si="128"/>
        <v>3.343461545850683</v>
      </c>
      <c r="W193" s="8">
        <f t="shared" si="129"/>
        <v>0.9972452352722633</v>
      </c>
      <c r="X193" s="26">
        <f t="shared" si="130"/>
        <v>0.06864988558352404</v>
      </c>
      <c r="Y193" s="26">
        <f t="shared" si="131"/>
        <v>-0.0014560640732265448</v>
      </c>
      <c r="Z193" s="29">
        <f t="shared" si="132"/>
        <v>0.5</v>
      </c>
    </row>
    <row r="194" spans="7:26" ht="12.75">
      <c r="G194" s="9">
        <v>4</v>
      </c>
      <c r="H194" s="9">
        <f t="shared" si="116"/>
        <v>0.004427505645913695</v>
      </c>
      <c r="I194" s="9">
        <f t="shared" si="117"/>
        <v>1.0741693408753996</v>
      </c>
      <c r="J194" s="9">
        <f t="shared" si="118"/>
        <v>0.07387131881177092</v>
      </c>
      <c r="K194" s="9">
        <f t="shared" si="119"/>
        <v>0.06984233655980009</v>
      </c>
      <c r="L194" s="9">
        <f t="shared" si="120"/>
        <v>0.00045657096939147324</v>
      </c>
      <c r="M194" s="9">
        <f t="shared" si="121"/>
        <v>0.5213675213675214</v>
      </c>
      <c r="N194" s="9">
        <f t="shared" si="133"/>
        <v>1.0462562815330871</v>
      </c>
      <c r="O194" s="9">
        <f t="shared" si="122"/>
        <v>0.07325223505585884</v>
      </c>
      <c r="P194" s="9">
        <f t="shared" si="123"/>
        <v>0.002546816415337911</v>
      </c>
      <c r="Q194" s="9">
        <f t="shared" si="124"/>
        <v>-0.019787523492467846</v>
      </c>
      <c r="R194" s="9">
        <f t="shared" si="125"/>
        <v>0.06779950800763512</v>
      </c>
      <c r="S194" s="9">
        <f t="shared" si="126"/>
        <v>0.7603833865814694</v>
      </c>
      <c r="T194" s="9">
        <f t="shared" si="134"/>
        <v>1.3747502782782188</v>
      </c>
      <c r="U194" s="9">
        <f t="shared" si="127"/>
        <v>0.6492037443635831</v>
      </c>
      <c r="V194" s="9">
        <f t="shared" si="128"/>
        <v>3.343461545850683</v>
      </c>
      <c r="W194" s="9">
        <f t="shared" si="129"/>
        <v>1.0462562815330871</v>
      </c>
      <c r="X194" s="27">
        <f t="shared" si="130"/>
        <v>0.09153318077803205</v>
      </c>
      <c r="Y194" s="27">
        <f t="shared" si="131"/>
        <v>-0.0019414187643020597</v>
      </c>
      <c r="Z194" s="30">
        <f t="shared" si="132"/>
        <v>0.5</v>
      </c>
    </row>
    <row r="195" spans="7:26" ht="12.75">
      <c r="G195" s="8">
        <v>5</v>
      </c>
      <c r="H195" s="8">
        <f t="shared" si="116"/>
        <v>0.005534382057392119</v>
      </c>
      <c r="I195" s="8">
        <f t="shared" si="117"/>
        <v>1.1419408383968215</v>
      </c>
      <c r="J195" s="8">
        <f t="shared" si="118"/>
        <v>0.09183448150089696</v>
      </c>
      <c r="K195" s="8">
        <f t="shared" si="119"/>
        <v>0.08780514876608073</v>
      </c>
      <c r="L195" s="8">
        <f t="shared" si="120"/>
        <v>0.00045657096939147324</v>
      </c>
      <c r="M195" s="8">
        <f t="shared" si="121"/>
        <v>0.5213675213675214</v>
      </c>
      <c r="N195" s="8">
        <f t="shared" si="133"/>
        <v>1.0866240685292432</v>
      </c>
      <c r="O195" s="8">
        <f t="shared" si="122"/>
        <v>0.07325223505585884</v>
      </c>
      <c r="P195" s="8">
        <f t="shared" si="123"/>
        <v>0.0035842757365221033</v>
      </c>
      <c r="Q195" s="8">
        <f t="shared" si="124"/>
        <v>-0.01083481197751647</v>
      </c>
      <c r="R195" s="8">
        <f t="shared" si="125"/>
        <v>0.06779950800763512</v>
      </c>
      <c r="S195" s="8">
        <f t="shared" si="126"/>
        <v>0.7603833865814694</v>
      </c>
      <c r="T195" s="8">
        <f t="shared" si="134"/>
        <v>1.3933332899740793</v>
      </c>
      <c r="U195" s="8">
        <f t="shared" si="127"/>
        <v>0.6668148574472365</v>
      </c>
      <c r="V195" s="8">
        <f t="shared" si="128"/>
        <v>3.343461545850683</v>
      </c>
      <c r="W195" s="8">
        <f t="shared" si="129"/>
        <v>1.0866240685292432</v>
      </c>
      <c r="X195" s="26">
        <f t="shared" si="130"/>
        <v>0.11441647597254005</v>
      </c>
      <c r="Y195" s="26">
        <f t="shared" si="131"/>
        <v>-0.0024267734553775743</v>
      </c>
      <c r="Z195" s="29">
        <f t="shared" si="132"/>
        <v>0.5</v>
      </c>
    </row>
    <row r="196" spans="6:26" ht="12.75">
      <c r="F196" s="13"/>
      <c r="G196" s="9">
        <v>6</v>
      </c>
      <c r="H196" s="9">
        <f t="shared" si="116"/>
        <v>0.006641258468870543</v>
      </c>
      <c r="I196" s="9">
        <f t="shared" si="117"/>
        <v>1.203210955547435</v>
      </c>
      <c r="J196" s="9">
        <f t="shared" si="118"/>
        <v>0.10979764419002298</v>
      </c>
      <c r="K196" s="9">
        <f t="shared" si="119"/>
        <v>0.1057679609723614</v>
      </c>
      <c r="L196" s="9">
        <f t="shared" si="120"/>
        <v>0.00045657096939147324</v>
      </c>
      <c r="M196" s="9">
        <f t="shared" si="121"/>
        <v>0.5213675213675214</v>
      </c>
      <c r="N196" s="9">
        <f t="shared" si="133"/>
        <v>1.1219185118670487</v>
      </c>
      <c r="O196" s="9">
        <f t="shared" si="122"/>
        <v>0.07325223505585884</v>
      </c>
      <c r="P196" s="9">
        <f t="shared" si="123"/>
        <v>0.004782037144646183</v>
      </c>
      <c r="Q196" s="9">
        <f t="shared" si="124"/>
        <v>-0.001882100462565088</v>
      </c>
      <c r="R196" s="9">
        <f t="shared" si="125"/>
        <v>0.06779950800763512</v>
      </c>
      <c r="S196" s="9">
        <f t="shared" si="126"/>
        <v>0.7603833865814694</v>
      </c>
      <c r="T196" s="9">
        <f t="shared" si="134"/>
        <v>1.4106879899048566</v>
      </c>
      <c r="U196" s="9">
        <f t="shared" si="127"/>
        <v>0.6827365207017202</v>
      </c>
      <c r="V196" s="9">
        <f t="shared" si="128"/>
        <v>3.343461545850683</v>
      </c>
      <c r="W196" s="9">
        <f t="shared" si="129"/>
        <v>1.1219185118670487</v>
      </c>
      <c r="X196" s="27">
        <f t="shared" si="130"/>
        <v>0.13729977116704808</v>
      </c>
      <c r="Y196" s="27">
        <f t="shared" si="131"/>
        <v>-0.0029121281464530896</v>
      </c>
      <c r="Z196" s="30">
        <f t="shared" si="132"/>
        <v>0.5</v>
      </c>
    </row>
    <row r="197" spans="7:26" ht="12.75">
      <c r="G197" s="8">
        <v>7</v>
      </c>
      <c r="H197" s="8">
        <f t="shared" si="116"/>
        <v>0.007748134880348968</v>
      </c>
      <c r="I197" s="8">
        <f t="shared" si="117"/>
        <v>1.2595546431970905</v>
      </c>
      <c r="J197" s="8">
        <f t="shared" si="118"/>
        <v>0.12776080687914904</v>
      </c>
      <c r="K197" s="8">
        <f t="shared" si="119"/>
        <v>0.12373077317864206</v>
      </c>
      <c r="L197" s="8">
        <f t="shared" si="120"/>
        <v>0.00045657096939147324</v>
      </c>
      <c r="M197" s="8">
        <f t="shared" si="121"/>
        <v>0.5213675213675214</v>
      </c>
      <c r="N197" s="8">
        <f t="shared" si="133"/>
        <v>1.1534849282169388</v>
      </c>
      <c r="O197" s="8">
        <f t="shared" si="122"/>
        <v>0.07325223505585884</v>
      </c>
      <c r="P197" s="8">
        <f t="shared" si="123"/>
        <v>0.00614010063971015</v>
      </c>
      <c r="Q197" s="8">
        <f t="shared" si="124"/>
        <v>0.007070611052386294</v>
      </c>
      <c r="R197" s="8">
        <f t="shared" si="125"/>
        <v>0.06779950800763512</v>
      </c>
      <c r="S197" s="8">
        <f t="shared" si="126"/>
        <v>0.7603833865814694</v>
      </c>
      <c r="T197" s="8">
        <f t="shared" si="134"/>
        <v>1.4270043937697383</v>
      </c>
      <c r="U197" s="8">
        <f t="shared" si="127"/>
        <v>0.6973780011328481</v>
      </c>
      <c r="V197" s="8">
        <f t="shared" si="128"/>
        <v>3.343461545850683</v>
      </c>
      <c r="W197" s="8">
        <f t="shared" si="129"/>
        <v>1.1534849282169388</v>
      </c>
      <c r="X197" s="26">
        <f t="shared" si="130"/>
        <v>0.16018306636155608</v>
      </c>
      <c r="Y197" s="26">
        <f t="shared" si="131"/>
        <v>-0.003397482837528604</v>
      </c>
      <c r="Z197" s="29">
        <f t="shared" si="132"/>
        <v>0.5</v>
      </c>
    </row>
    <row r="198" spans="7:26" ht="12.75">
      <c r="G198" s="9">
        <v>8</v>
      </c>
      <c r="H198" s="9">
        <f t="shared" si="116"/>
        <v>0.00885501129182739</v>
      </c>
      <c r="I198" s="9">
        <f t="shared" si="117"/>
        <v>1.311998068964811</v>
      </c>
      <c r="J198" s="9">
        <f t="shared" si="118"/>
        <v>0.14572396956827507</v>
      </c>
      <c r="K198" s="9">
        <f t="shared" si="119"/>
        <v>0.1416935853849227</v>
      </c>
      <c r="L198" s="9">
        <f t="shared" si="120"/>
        <v>0.00045657096939147324</v>
      </c>
      <c r="M198" s="9">
        <f t="shared" si="121"/>
        <v>0.5213675213675214</v>
      </c>
      <c r="N198" s="9">
        <f t="shared" si="133"/>
        <v>1.1821751110369452</v>
      </c>
      <c r="O198" s="9">
        <f t="shared" si="122"/>
        <v>0.07325223505585884</v>
      </c>
      <c r="P198" s="9">
        <f t="shared" si="123"/>
        <v>0.007658466221713999</v>
      </c>
      <c r="Q198" s="9">
        <f t="shared" si="124"/>
        <v>0.01602332256733767</v>
      </c>
      <c r="R198" s="9">
        <f t="shared" si="125"/>
        <v>0.06779950800763512</v>
      </c>
      <c r="S198" s="9">
        <f t="shared" si="126"/>
        <v>0.7603833865814694</v>
      </c>
      <c r="T198" s="9">
        <f t="shared" si="134"/>
        <v>1.442428971805806</v>
      </c>
      <c r="U198" s="9">
        <f t="shared" si="127"/>
        <v>0.7110059588358275</v>
      </c>
      <c r="V198" s="9">
        <f t="shared" si="128"/>
        <v>3.343461545850683</v>
      </c>
      <c r="W198" s="9">
        <f t="shared" si="129"/>
        <v>1.1821751110369452</v>
      </c>
      <c r="X198" s="27">
        <f t="shared" si="130"/>
        <v>0.1830663615560641</v>
      </c>
      <c r="Y198" s="27">
        <f t="shared" si="131"/>
        <v>-0.0038828375286041193</v>
      </c>
      <c r="Z198" s="30">
        <f t="shared" si="132"/>
        <v>0.5</v>
      </c>
    </row>
    <row r="199" spans="7:26" ht="12.75">
      <c r="G199" s="8">
        <v>9</v>
      </c>
      <c r="H199" s="8">
        <f t="shared" si="116"/>
        <v>0.009961887703305814</v>
      </c>
      <c r="I199" s="8">
        <f t="shared" si="117"/>
        <v>1.3612540113130998</v>
      </c>
      <c r="J199" s="8">
        <f t="shared" si="118"/>
        <v>0.16368713225740109</v>
      </c>
      <c r="K199" s="8">
        <f t="shared" si="119"/>
        <v>0.15965639759120334</v>
      </c>
      <c r="L199" s="8">
        <f t="shared" si="120"/>
        <v>0.00045657096939147324</v>
      </c>
      <c r="M199" s="8">
        <f t="shared" si="121"/>
        <v>0.5213675213675214</v>
      </c>
      <c r="N199" s="8">
        <f t="shared" si="133"/>
        <v>1.2085665306078175</v>
      </c>
      <c r="O199" s="8">
        <f t="shared" si="122"/>
        <v>0.07325223505585884</v>
      </c>
      <c r="P199" s="8">
        <f t="shared" si="123"/>
        <v>0.009337133890657733</v>
      </c>
      <c r="Q199" s="8">
        <f t="shared" si="124"/>
        <v>0.02497603408228906</v>
      </c>
      <c r="R199" s="8">
        <f t="shared" si="125"/>
        <v>0.06779950800763512</v>
      </c>
      <c r="S199" s="8">
        <f t="shared" si="126"/>
        <v>0.7603833865814694</v>
      </c>
      <c r="T199" s="8">
        <f t="shared" si="134"/>
        <v>1.457077365403793</v>
      </c>
      <c r="U199" s="8">
        <f t="shared" si="127"/>
        <v>0.7238056165453747</v>
      </c>
      <c r="V199" s="8">
        <f t="shared" si="128"/>
        <v>3.343461545850683</v>
      </c>
      <c r="W199" s="8">
        <f t="shared" si="129"/>
        <v>1.2085665306078175</v>
      </c>
      <c r="X199" s="26">
        <f t="shared" si="130"/>
        <v>0.2059496567505721</v>
      </c>
      <c r="Y199" s="26">
        <f t="shared" si="131"/>
        <v>-0.004368192219679634</v>
      </c>
      <c r="Z199" s="29">
        <f t="shared" si="132"/>
        <v>0.5</v>
      </c>
    </row>
    <row r="200" spans="7:26" ht="12.75">
      <c r="G200" s="9">
        <v>10</v>
      </c>
      <c r="H200" s="9">
        <f t="shared" si="116"/>
        <v>0.011068764114784238</v>
      </c>
      <c r="I200" s="9">
        <f t="shared" si="117"/>
        <v>1.4078414399019399</v>
      </c>
      <c r="J200" s="9">
        <f t="shared" si="118"/>
        <v>0.18165029494652715</v>
      </c>
      <c r="K200" s="9">
        <f t="shared" si="119"/>
        <v>0.17761920979748397</v>
      </c>
      <c r="L200" s="9">
        <f t="shared" si="120"/>
        <v>0.00045657096939147324</v>
      </c>
      <c r="M200" s="9">
        <f t="shared" si="121"/>
        <v>0.5213675213675214</v>
      </c>
      <c r="N200" s="9">
        <f t="shared" si="133"/>
        <v>1.233070866440186</v>
      </c>
      <c r="O200" s="9">
        <f t="shared" si="122"/>
        <v>0.07325223505585884</v>
      </c>
      <c r="P200" s="9">
        <f t="shared" si="123"/>
        <v>0.011176103646541355</v>
      </c>
      <c r="Q200" s="9">
        <f t="shared" si="124"/>
        <v>0.03392874559724042</v>
      </c>
      <c r="R200" s="9">
        <f t="shared" si="125"/>
        <v>0.06779950800763512</v>
      </c>
      <c r="S200" s="9">
        <f t="shared" si="126"/>
        <v>0.7603833865814694</v>
      </c>
      <c r="T200" s="9">
        <f t="shared" si="134"/>
        <v>1.4710427082873436</v>
      </c>
      <c r="U200" s="9">
        <f t="shared" si="127"/>
        <v>0.7359118338072164</v>
      </c>
      <c r="V200" s="9">
        <f t="shared" si="128"/>
        <v>3.343461545850683</v>
      </c>
      <c r="W200" s="9">
        <f t="shared" si="129"/>
        <v>1.233070866440186</v>
      </c>
      <c r="X200" s="27">
        <f t="shared" si="130"/>
        <v>0.2288329519450801</v>
      </c>
      <c r="Y200" s="27">
        <f t="shared" si="131"/>
        <v>-0.004853546910755149</v>
      </c>
      <c r="Z200" s="30">
        <f t="shared" si="132"/>
        <v>0.5</v>
      </c>
    </row>
    <row r="201" spans="7:26" ht="12.75">
      <c r="G201" s="8">
        <v>11</v>
      </c>
      <c r="H201" s="8">
        <f t="shared" si="116"/>
        <v>0.01217564052626266</v>
      </c>
      <c r="I201" s="8">
        <f t="shared" si="117"/>
        <v>1.4521521349046855</v>
      </c>
      <c r="J201" s="8">
        <f t="shared" si="118"/>
        <v>0.19961345763565316</v>
      </c>
      <c r="K201" s="8">
        <f t="shared" si="119"/>
        <v>0.19558202200376462</v>
      </c>
      <c r="L201" s="8">
        <f t="shared" si="120"/>
        <v>0.00045657096939147324</v>
      </c>
      <c r="M201" s="8">
        <f t="shared" si="121"/>
        <v>0.5213675213675214</v>
      </c>
      <c r="N201" s="8">
        <f t="shared" si="133"/>
        <v>1.2559931588014992</v>
      </c>
      <c r="O201" s="8">
        <f t="shared" si="122"/>
        <v>0.07325223505585884</v>
      </c>
      <c r="P201" s="8">
        <f t="shared" si="123"/>
        <v>0.013175375489364864</v>
      </c>
      <c r="Q201" s="8">
        <f t="shared" si="124"/>
        <v>0.042881457112191795</v>
      </c>
      <c r="R201" s="8">
        <f t="shared" si="125"/>
        <v>0.06779950800763512</v>
      </c>
      <c r="S201" s="8">
        <f t="shared" si="126"/>
        <v>0.7603833865814694</v>
      </c>
      <c r="T201" s="8">
        <f t="shared" si="134"/>
        <v>1.4844012746147843</v>
      </c>
      <c r="U201" s="8">
        <f t="shared" si="127"/>
        <v>0.7474264186850548</v>
      </c>
      <c r="V201" s="8">
        <f t="shared" si="128"/>
        <v>3.343461545850683</v>
      </c>
      <c r="W201" s="8">
        <f t="shared" si="129"/>
        <v>1.2559931588014992</v>
      </c>
      <c r="X201" s="26">
        <f t="shared" si="130"/>
        <v>0.2517162471395881</v>
      </c>
      <c r="Y201" s="26">
        <f t="shared" si="131"/>
        <v>-0.0053389016018306635</v>
      </c>
      <c r="Z201" s="29">
        <f t="shared" si="132"/>
        <v>0.5</v>
      </c>
    </row>
    <row r="202" spans="7:26" ht="12.75">
      <c r="G202" s="9">
        <v>12</v>
      </c>
      <c r="H202" s="9">
        <f t="shared" si="116"/>
        <v>0.013282516937741086</v>
      </c>
      <c r="I202" s="9">
        <f t="shared" si="117"/>
        <v>1.4944904705445263</v>
      </c>
      <c r="J202" s="9">
        <f t="shared" si="118"/>
        <v>0.2175766203247792</v>
      </c>
      <c r="K202" s="9">
        <f t="shared" si="119"/>
        <v>0.2135448342100453</v>
      </c>
      <c r="L202" s="9">
        <f t="shared" si="120"/>
        <v>0.00045657096939147324</v>
      </c>
      <c r="M202" s="9">
        <f t="shared" si="121"/>
        <v>0.5213675213675214</v>
      </c>
      <c r="N202" s="9">
        <f t="shared" si="133"/>
        <v>1.2775664599180185</v>
      </c>
      <c r="O202" s="9">
        <f t="shared" si="122"/>
        <v>0.07325223505585884</v>
      </c>
      <c r="P202" s="9">
        <f t="shared" si="123"/>
        <v>0.01533494941912826</v>
      </c>
      <c r="Q202" s="9">
        <f t="shared" si="124"/>
        <v>0.051834168627143185</v>
      </c>
      <c r="R202" s="9">
        <f t="shared" si="125"/>
        <v>0.06779950800763512</v>
      </c>
      <c r="S202" s="9">
        <f t="shared" si="126"/>
        <v>0.7603833865814694</v>
      </c>
      <c r="T202" s="9">
        <f t="shared" si="134"/>
        <v>1.497216432203619</v>
      </c>
      <c r="U202" s="9">
        <f t="shared" si="127"/>
        <v>0.7584284659172444</v>
      </c>
      <c r="V202" s="9">
        <f t="shared" si="128"/>
        <v>3.343461545850683</v>
      </c>
      <c r="W202" s="9">
        <f t="shared" si="129"/>
        <v>1.2775664599180185</v>
      </c>
      <c r="X202" s="27">
        <f t="shared" si="130"/>
        <v>0.27459954233409617</v>
      </c>
      <c r="Y202" s="27">
        <f t="shared" si="131"/>
        <v>-0.005824256292906179</v>
      </c>
      <c r="Z202" s="30">
        <f t="shared" si="132"/>
        <v>0.5136327027192107</v>
      </c>
    </row>
    <row r="203" spans="7:26" ht="12.75">
      <c r="G203" s="8">
        <v>13</v>
      </c>
      <c r="H203" s="8">
        <f t="shared" si="116"/>
        <v>0.01438939334921951</v>
      </c>
      <c r="I203" s="8">
        <f t="shared" si="117"/>
        <v>1.535098499662808</v>
      </c>
      <c r="J203" s="8">
        <f t="shared" si="118"/>
        <v>0.23553978301390524</v>
      </c>
      <c r="K203" s="8">
        <f t="shared" si="119"/>
        <v>0.23150764641632596</v>
      </c>
      <c r="L203" s="8">
        <f t="shared" si="120"/>
        <v>0.00045657096939147324</v>
      </c>
      <c r="M203" s="8">
        <f t="shared" si="121"/>
        <v>0.5213675213675214</v>
      </c>
      <c r="N203" s="8">
        <f t="shared" si="133"/>
        <v>1.2979733113367995</v>
      </c>
      <c r="O203" s="8">
        <f t="shared" si="122"/>
        <v>0.07325223505585884</v>
      </c>
      <c r="P203" s="8">
        <f t="shared" si="123"/>
        <v>0.01765482543583154</v>
      </c>
      <c r="Q203" s="8">
        <f t="shared" si="124"/>
        <v>0.060786880142094574</v>
      </c>
      <c r="R203" s="8">
        <f t="shared" si="125"/>
        <v>0.06779950800763512</v>
      </c>
      <c r="S203" s="8">
        <f t="shared" si="126"/>
        <v>0.7603833865814694</v>
      </c>
      <c r="T203" s="8">
        <f t="shared" si="134"/>
        <v>1.5095414826987308</v>
      </c>
      <c r="U203" s="8">
        <f t="shared" si="127"/>
        <v>0.7689808753970601</v>
      </c>
      <c r="V203" s="8">
        <f t="shared" si="128"/>
        <v>3.343461545850683</v>
      </c>
      <c r="W203" s="8">
        <f t="shared" si="129"/>
        <v>1.2979733113367995</v>
      </c>
      <c r="X203" s="26">
        <f t="shared" si="130"/>
        <v>0.29748283752860416</v>
      </c>
      <c r="Y203" s="26">
        <f t="shared" si="131"/>
        <v>-0.006309610983981693</v>
      </c>
      <c r="Z203" s="29">
        <f t="shared" si="132"/>
        <v>0.5870914151239948</v>
      </c>
    </row>
    <row r="204" spans="7:26" ht="12.75">
      <c r="G204" s="9">
        <v>14</v>
      </c>
      <c r="H204" s="9">
        <f t="shared" si="116"/>
        <v>0.015496269760697935</v>
      </c>
      <c r="I204" s="9">
        <f t="shared" si="117"/>
        <v>1.5741724777727824</v>
      </c>
      <c r="J204" s="9">
        <f t="shared" si="118"/>
        <v>0.2535029457030313</v>
      </c>
      <c r="K204" s="9">
        <f t="shared" si="119"/>
        <v>0.24947045862260664</v>
      </c>
      <c r="L204" s="9">
        <f t="shared" si="120"/>
        <v>0.00045657096939147324</v>
      </c>
      <c r="M204" s="9">
        <f t="shared" si="121"/>
        <v>0.5213675213675214</v>
      </c>
      <c r="N204" s="9">
        <f t="shared" si="133"/>
        <v>1.3173596746898604</v>
      </c>
      <c r="O204" s="9">
        <f t="shared" si="122"/>
        <v>0.07325223505585884</v>
      </c>
      <c r="P204" s="9">
        <f t="shared" si="123"/>
        <v>0.020135003539474717</v>
      </c>
      <c r="Q204" s="9">
        <f t="shared" si="124"/>
        <v>0.06973959165704595</v>
      </c>
      <c r="R204" s="9">
        <f t="shared" si="125"/>
        <v>0.06779950800763512</v>
      </c>
      <c r="S204" s="9">
        <f t="shared" si="126"/>
        <v>0.7603833865814694</v>
      </c>
      <c r="T204" s="9">
        <f t="shared" si="134"/>
        <v>1.5214217485177175</v>
      </c>
      <c r="U204" s="9">
        <f t="shared" si="127"/>
        <v>0.7791346461161659</v>
      </c>
      <c r="V204" s="9">
        <f t="shared" si="128"/>
        <v>3.343461545850683</v>
      </c>
      <c r="W204" s="9">
        <f t="shared" si="129"/>
        <v>1.3173596746898604</v>
      </c>
      <c r="X204" s="27">
        <f t="shared" si="130"/>
        <v>0.32036613272311215</v>
      </c>
      <c r="Y204" s="27">
        <f t="shared" si="131"/>
        <v>-0.006794965675057208</v>
      </c>
      <c r="Z204" s="30">
        <f t="shared" si="132"/>
        <v>0.6567954130237417</v>
      </c>
    </row>
    <row r="205" spans="7:26" ht="12.75">
      <c r="G205" s="8">
        <v>15</v>
      </c>
      <c r="H205" s="8">
        <f t="shared" si="116"/>
        <v>0.016603146172176356</v>
      </c>
      <c r="I205" s="8">
        <f t="shared" si="117"/>
        <v>1.6118741475566565</v>
      </c>
      <c r="J205" s="8">
        <f t="shared" si="118"/>
        <v>0.27146610839215735</v>
      </c>
      <c r="K205" s="8">
        <f t="shared" si="119"/>
        <v>0.26743327082888724</v>
      </c>
      <c r="L205" s="8">
        <f t="shared" si="120"/>
        <v>0.00045657096939147324</v>
      </c>
      <c r="M205" s="8">
        <f t="shared" si="121"/>
        <v>0.5213675213675214</v>
      </c>
      <c r="N205" s="8">
        <f t="shared" si="133"/>
        <v>1.3358443119894354</v>
      </c>
      <c r="O205" s="8">
        <f t="shared" si="122"/>
        <v>0.07325223505585884</v>
      </c>
      <c r="P205" s="8">
        <f t="shared" si="123"/>
        <v>0.022775483730057746</v>
      </c>
      <c r="Q205" s="8">
        <f t="shared" si="124"/>
        <v>0.07869230317199731</v>
      </c>
      <c r="R205" s="8">
        <f t="shared" si="125"/>
        <v>0.06779950800763512</v>
      </c>
      <c r="S205" s="8">
        <f t="shared" si="126"/>
        <v>0.7603833865814694</v>
      </c>
      <c r="T205" s="8">
        <f t="shared" si="134"/>
        <v>1.5328961366862535</v>
      </c>
      <c r="U205" s="8">
        <f t="shared" si="127"/>
        <v>0.7889318085559731</v>
      </c>
      <c r="V205" s="8">
        <f t="shared" si="128"/>
        <v>3.343461545850683</v>
      </c>
      <c r="W205" s="8">
        <f t="shared" si="129"/>
        <v>1.3358443119894354</v>
      </c>
      <c r="X205" s="26">
        <f t="shared" si="130"/>
        <v>0.3432494279176202</v>
      </c>
      <c r="Y205" s="26">
        <f t="shared" si="131"/>
        <v>-0.007280320366132724</v>
      </c>
      <c r="Z205" s="29">
        <f t="shared" si="132"/>
        <v>0.7232688012167527</v>
      </c>
    </row>
    <row r="206" spans="7:26" ht="12.75">
      <c r="G206" s="9">
        <v>16</v>
      </c>
      <c r="H206" s="9">
        <f t="shared" si="116"/>
        <v>0.01771002258365478</v>
      </c>
      <c r="I206" s="9">
        <f t="shared" si="117"/>
        <v>1.6483386817507995</v>
      </c>
      <c r="J206" s="9">
        <f t="shared" si="118"/>
        <v>0.28942927108128336</v>
      </c>
      <c r="K206" s="9">
        <f t="shared" si="119"/>
        <v>0.2853960830351679</v>
      </c>
      <c r="L206" s="9">
        <f t="shared" si="120"/>
        <v>0.00045657096939147324</v>
      </c>
      <c r="M206" s="9">
        <f t="shared" si="121"/>
        <v>0.5213675213675214</v>
      </c>
      <c r="N206" s="9">
        <f t="shared" si="133"/>
        <v>1.353525303141449</v>
      </c>
      <c r="O206" s="9">
        <f t="shared" si="122"/>
        <v>0.07325223505585884</v>
      </c>
      <c r="P206" s="9">
        <f t="shared" si="123"/>
        <v>0.025576266007580704</v>
      </c>
      <c r="Q206" s="9">
        <f t="shared" si="124"/>
        <v>0.0876450146869487</v>
      </c>
      <c r="R206" s="9">
        <f t="shared" si="125"/>
        <v>0.06779950800763512</v>
      </c>
      <c r="S206" s="9">
        <f t="shared" si="126"/>
        <v>0.7603833865814694</v>
      </c>
      <c r="T206" s="9">
        <f t="shared" si="134"/>
        <v>1.5439983310514476</v>
      </c>
      <c r="U206" s="9">
        <f t="shared" si="127"/>
        <v>0.7984074887271662</v>
      </c>
      <c r="V206" s="9">
        <f t="shared" si="128"/>
        <v>3.343461545850683</v>
      </c>
      <c r="W206" s="9">
        <f t="shared" si="129"/>
        <v>1.353525303141449</v>
      </c>
      <c r="X206" s="27">
        <f t="shared" si="130"/>
        <v>0.3661327231121282</v>
      </c>
      <c r="Y206" s="27">
        <f t="shared" si="131"/>
        <v>-0.007765675057208239</v>
      </c>
      <c r="Z206" s="30">
        <f t="shared" si="132"/>
        <v>0.7869298612345419</v>
      </c>
    </row>
    <row r="207" spans="7:26" ht="12.75">
      <c r="G207" s="8">
        <v>17</v>
      </c>
      <c r="H207" s="8">
        <f t="shared" si="116"/>
        <v>0.018816898995133204</v>
      </c>
      <c r="I207" s="8">
        <f t="shared" si="117"/>
        <v>1.6836804197102726</v>
      </c>
      <c r="J207" s="8">
        <f t="shared" si="118"/>
        <v>0.30739243377040937</v>
      </c>
      <c r="K207" s="8">
        <f t="shared" si="119"/>
        <v>0.30335889524144855</v>
      </c>
      <c r="L207" s="8">
        <f t="shared" si="120"/>
        <v>0.00045657096939147324</v>
      </c>
      <c r="M207" s="8">
        <f t="shared" si="121"/>
        <v>0.5213675213675214</v>
      </c>
      <c r="N207" s="8">
        <f t="shared" si="133"/>
        <v>1.3704846969090152</v>
      </c>
      <c r="O207" s="8">
        <f t="shared" si="122"/>
        <v>0.07325223505585884</v>
      </c>
      <c r="P207" s="8">
        <f t="shared" si="123"/>
        <v>0.02853735037204353</v>
      </c>
      <c r="Q207" s="8">
        <f t="shared" si="124"/>
        <v>0.09659772620190009</v>
      </c>
      <c r="R207" s="8">
        <f t="shared" si="125"/>
        <v>0.06779950800763512</v>
      </c>
      <c r="S207" s="8">
        <f t="shared" si="126"/>
        <v>0.7603833865814694</v>
      </c>
      <c r="T207" s="8">
        <f t="shared" si="134"/>
        <v>1.554757715167157</v>
      </c>
      <c r="U207" s="8">
        <f t="shared" si="127"/>
        <v>0.8075913988743544</v>
      </c>
      <c r="V207" s="8">
        <f t="shared" si="128"/>
        <v>3.343461545850683</v>
      </c>
      <c r="W207" s="8">
        <f t="shared" si="129"/>
        <v>1.3704846969090152</v>
      </c>
      <c r="X207" s="26">
        <f t="shared" si="130"/>
        <v>0.38901601830663624</v>
      </c>
      <c r="Y207" s="26">
        <f t="shared" si="131"/>
        <v>-0.008251029748283753</v>
      </c>
      <c r="Z207" s="29">
        <f t="shared" si="132"/>
        <v>0.8481178598272046</v>
      </c>
    </row>
    <row r="208" spans="7:26" ht="12.75">
      <c r="G208" s="9">
        <v>18</v>
      </c>
      <c r="H208" s="9">
        <f t="shared" si="116"/>
        <v>0.019923775406611628</v>
      </c>
      <c r="I208" s="9">
        <f t="shared" si="117"/>
        <v>1.7179971034472166</v>
      </c>
      <c r="J208" s="9">
        <f t="shared" si="118"/>
        <v>0.3253555964595354</v>
      </c>
      <c r="K208" s="9">
        <f t="shared" si="119"/>
        <v>0.3213217074477292</v>
      </c>
      <c r="L208" s="9">
        <f t="shared" si="120"/>
        <v>0.00045657096939147324</v>
      </c>
      <c r="M208" s="9">
        <f t="shared" si="121"/>
        <v>0.5213675213675214</v>
      </c>
      <c r="N208" s="9">
        <f t="shared" si="133"/>
        <v>1.3867919071445762</v>
      </c>
      <c r="O208" s="9">
        <f t="shared" si="122"/>
        <v>0.07325223505585884</v>
      </c>
      <c r="P208" s="9">
        <f t="shared" si="123"/>
        <v>0.031658736823446235</v>
      </c>
      <c r="Q208" s="9">
        <f t="shared" si="124"/>
        <v>0.10555043771685148</v>
      </c>
      <c r="R208" s="9">
        <f t="shared" si="125"/>
        <v>0.06779950800763512</v>
      </c>
      <c r="S208" s="9">
        <f t="shared" si="126"/>
        <v>0.7603833865814694</v>
      </c>
      <c r="T208" s="9">
        <f t="shared" si="134"/>
        <v>1.5652000964945811</v>
      </c>
      <c r="U208" s="9">
        <f t="shared" si="127"/>
        <v>0.8165089382537412</v>
      </c>
      <c r="V208" s="9">
        <f t="shared" si="128"/>
        <v>3.343461545850683</v>
      </c>
      <c r="W208" s="9">
        <f t="shared" si="129"/>
        <v>1.3867919071445762</v>
      </c>
      <c r="X208" s="27">
        <f t="shared" si="130"/>
        <v>0.4118993135011442</v>
      </c>
      <c r="Y208" s="27">
        <f t="shared" si="131"/>
        <v>-0.008736384439359268</v>
      </c>
      <c r="Z208" s="30">
        <f t="shared" si="132"/>
        <v>0.9071118781467691</v>
      </c>
    </row>
    <row r="209" spans="7:26" ht="12.75">
      <c r="G209" s="8">
        <v>19</v>
      </c>
      <c r="H209" s="8">
        <f t="shared" si="116"/>
        <v>0.02103065181809005</v>
      </c>
      <c r="I209" s="8">
        <f t="shared" si="117"/>
        <v>1.7513730666776122</v>
      </c>
      <c r="J209" s="8">
        <f t="shared" si="118"/>
        <v>0.3433187591486615</v>
      </c>
      <c r="K209" s="8">
        <f t="shared" si="119"/>
        <v>0.3392845196540098</v>
      </c>
      <c r="L209" s="8">
        <f t="shared" si="120"/>
        <v>0.00045657096939147324</v>
      </c>
      <c r="M209" s="8">
        <f t="shared" si="121"/>
        <v>0.5213675213675214</v>
      </c>
      <c r="N209" s="8">
        <f t="shared" si="133"/>
        <v>1.4025062430006225</v>
      </c>
      <c r="O209" s="8">
        <f t="shared" si="122"/>
        <v>0.07325223505585884</v>
      </c>
      <c r="P209" s="8">
        <f t="shared" si="123"/>
        <v>0.03494042536178883</v>
      </c>
      <c r="Q209" s="8">
        <f t="shared" si="124"/>
        <v>0.11450314923180281</v>
      </c>
      <c r="R209" s="8">
        <f t="shared" si="125"/>
        <v>0.06779950800763512</v>
      </c>
      <c r="S209" s="8">
        <f t="shared" si="126"/>
        <v>0.7603833865814694</v>
      </c>
      <c r="T209" s="8">
        <f t="shared" si="134"/>
        <v>1.5753482816885627</v>
      </c>
      <c r="U209" s="8">
        <f t="shared" si="127"/>
        <v>0.8251820218393675</v>
      </c>
      <c r="V209" s="8">
        <f t="shared" si="128"/>
        <v>3.343461545850683</v>
      </c>
      <c r="W209" s="8">
        <f t="shared" si="129"/>
        <v>1.4025062430006225</v>
      </c>
      <c r="X209" s="26">
        <f t="shared" si="130"/>
        <v>0.4347826086956523</v>
      </c>
      <c r="Y209" s="26">
        <f t="shared" si="131"/>
        <v>-0.009221739130434784</v>
      </c>
      <c r="Z209" s="29">
        <f t="shared" si="132"/>
        <v>0.9641443473846105</v>
      </c>
    </row>
    <row r="210" spans="7:26" ht="12.75">
      <c r="G210" s="9">
        <v>20</v>
      </c>
      <c r="H210" s="9">
        <f t="shared" si="116"/>
        <v>0.022137528229568475</v>
      </c>
      <c r="I210" s="9">
        <f t="shared" si="117"/>
        <v>1.7838816767936427</v>
      </c>
      <c r="J210" s="9">
        <f t="shared" si="118"/>
        <v>0.3612819218377875</v>
      </c>
      <c r="K210" s="9">
        <f t="shared" si="119"/>
        <v>0.35724733186029045</v>
      </c>
      <c r="L210" s="9">
        <f t="shared" si="120"/>
        <v>0.00045657096939147324</v>
      </c>
      <c r="M210" s="9">
        <f t="shared" si="121"/>
        <v>0.5213675213675214</v>
      </c>
      <c r="N210" s="9">
        <f t="shared" si="133"/>
        <v>1.417678827459127</v>
      </c>
      <c r="O210" s="9">
        <f t="shared" si="122"/>
        <v>0.07325223505585884</v>
      </c>
      <c r="P210" s="9">
        <f t="shared" si="123"/>
        <v>0.03838241598707132</v>
      </c>
      <c r="Q210" s="9">
        <f t="shared" si="124"/>
        <v>0.1234558607467542</v>
      </c>
      <c r="R210" s="9">
        <f t="shared" si="125"/>
        <v>0.06779950800763512</v>
      </c>
      <c r="S210" s="9">
        <f t="shared" si="126"/>
        <v>0.7603833865814694</v>
      </c>
      <c r="T210" s="9">
        <f t="shared" si="134"/>
        <v>1.5852225386680443</v>
      </c>
      <c r="U210" s="9">
        <f t="shared" si="127"/>
        <v>0.8336297148944729</v>
      </c>
      <c r="V210" s="9">
        <f t="shared" si="128"/>
        <v>3.343461545850683</v>
      </c>
      <c r="W210" s="9">
        <f t="shared" si="129"/>
        <v>1.417678827459127</v>
      </c>
      <c r="X210" s="27">
        <f t="shared" si="130"/>
        <v>0.4576659038901602</v>
      </c>
      <c r="Y210" s="27">
        <f t="shared" si="131"/>
        <v>-0.009707093821510297</v>
      </c>
      <c r="Z210" s="30">
        <f t="shared" si="132"/>
        <v>1.0194109795421284</v>
      </c>
    </row>
    <row r="211" spans="7:26" ht="12.75">
      <c r="G211" s="8">
        <v>21</v>
      </c>
      <c r="H211" s="8">
        <f t="shared" si="116"/>
        <v>0.023244404641046896</v>
      </c>
      <c r="I211" s="8">
        <f t="shared" si="117"/>
        <v>1.8155872331422107</v>
      </c>
      <c r="J211" s="8">
        <f t="shared" si="118"/>
        <v>0.3792450845269135</v>
      </c>
      <c r="K211" s="8">
        <f t="shared" si="119"/>
        <v>0.3752101440665711</v>
      </c>
      <c r="L211" s="8">
        <f t="shared" si="120"/>
        <v>0.00045657096939147324</v>
      </c>
      <c r="M211" s="8">
        <f t="shared" si="121"/>
        <v>0.5213675213675214</v>
      </c>
      <c r="N211" s="8">
        <f t="shared" si="133"/>
        <v>1.4323540749476207</v>
      </c>
      <c r="O211" s="8">
        <f t="shared" si="122"/>
        <v>0.07325223505585884</v>
      </c>
      <c r="P211" s="8">
        <f t="shared" si="123"/>
        <v>0.04198470869929367</v>
      </c>
      <c r="Q211" s="8">
        <f t="shared" si="124"/>
        <v>0.13240857226170555</v>
      </c>
      <c r="R211" s="8">
        <f t="shared" si="125"/>
        <v>0.06779950800763512</v>
      </c>
      <c r="S211" s="8">
        <f t="shared" si="126"/>
        <v>0.7603833865814694</v>
      </c>
      <c r="T211" s="8">
        <f t="shared" si="134"/>
        <v>1.5948409714925873</v>
      </c>
      <c r="U211" s="8">
        <f t="shared" si="127"/>
        <v>0.8418687262584803</v>
      </c>
      <c r="V211" s="8">
        <f t="shared" si="128"/>
        <v>3.343461545850683</v>
      </c>
      <c r="W211" s="8">
        <f t="shared" si="129"/>
        <v>1.4323540749476207</v>
      </c>
      <c r="X211" s="26">
        <f t="shared" si="130"/>
        <v>0.48054919908466825</v>
      </c>
      <c r="Y211" s="26">
        <f t="shared" si="131"/>
        <v>-0.010192448512585812</v>
      </c>
      <c r="Z211" s="29">
        <f t="shared" si="132"/>
        <v>1.0730781861106566</v>
      </c>
    </row>
    <row r="212" spans="7:26" ht="12.75">
      <c r="G212" s="9">
        <v>22</v>
      </c>
      <c r="H212" s="9">
        <f t="shared" si="116"/>
        <v>0.02435128105252532</v>
      </c>
      <c r="I212" s="9">
        <f t="shared" si="117"/>
        <v>1.8465464626247028</v>
      </c>
      <c r="J212" s="9">
        <f t="shared" si="118"/>
        <v>0.39720824721603953</v>
      </c>
      <c r="K212" s="9">
        <f t="shared" si="119"/>
        <v>0.39317295627285176</v>
      </c>
      <c r="L212" s="9">
        <f t="shared" si="120"/>
        <v>0.00045657096939147324</v>
      </c>
      <c r="M212" s="9">
        <f t="shared" si="121"/>
        <v>0.5213675213675214</v>
      </c>
      <c r="N212" s="9">
        <f t="shared" si="133"/>
        <v>1.4465708453415846</v>
      </c>
      <c r="O212" s="9">
        <f t="shared" si="122"/>
        <v>0.07325223505585884</v>
      </c>
      <c r="P212" s="9">
        <f t="shared" si="123"/>
        <v>0.04574730349845593</v>
      </c>
      <c r="Q212" s="9">
        <f t="shared" si="124"/>
        <v>0.14136128377665697</v>
      </c>
      <c r="R212" s="9">
        <f t="shared" si="125"/>
        <v>0.06779950800763512</v>
      </c>
      <c r="S212" s="9">
        <f t="shared" si="126"/>
        <v>0.7603833865814694</v>
      </c>
      <c r="T212" s="9">
        <f t="shared" si="134"/>
        <v>1.6042198272928205</v>
      </c>
      <c r="U212" s="9">
        <f t="shared" si="127"/>
        <v>0.8499137969938082</v>
      </c>
      <c r="V212" s="9">
        <f t="shared" si="128"/>
        <v>3.343461545850683</v>
      </c>
      <c r="W212" s="9">
        <f t="shared" si="129"/>
        <v>1.4465708453415846</v>
      </c>
      <c r="X212" s="27">
        <f t="shared" si="130"/>
        <v>0.5034324942791762</v>
      </c>
      <c r="Y212" s="27">
        <f t="shared" si="131"/>
        <v>-0.010677803203661327</v>
      </c>
      <c r="Z212" s="30">
        <f t="shared" si="132"/>
        <v>1.1252887100196913</v>
      </c>
    </row>
    <row r="213" spans="7:26" ht="12.75">
      <c r="G213" s="8">
        <v>23</v>
      </c>
      <c r="H213" s="8">
        <f t="shared" si="116"/>
        <v>0.02545815746400375</v>
      </c>
      <c r="I213" s="8">
        <f t="shared" si="117"/>
        <v>1.8768097123449643</v>
      </c>
      <c r="J213" s="8">
        <f t="shared" si="118"/>
        <v>0.4151714099051657</v>
      </c>
      <c r="K213" s="8">
        <f t="shared" si="119"/>
        <v>0.4111357684791325</v>
      </c>
      <c r="L213" s="8">
        <f t="shared" si="120"/>
        <v>0.00045657096939147324</v>
      </c>
      <c r="M213" s="8">
        <f t="shared" si="121"/>
        <v>0.5213675213675214</v>
      </c>
      <c r="N213" s="8">
        <f t="shared" si="133"/>
        <v>1.4603633565776337</v>
      </c>
      <c r="O213" s="8">
        <f t="shared" si="122"/>
        <v>0.07325223505585884</v>
      </c>
      <c r="P213" s="8">
        <f t="shared" si="123"/>
        <v>0.04967020038455809</v>
      </c>
      <c r="Q213" s="8">
        <f t="shared" si="124"/>
        <v>0.15031399529160838</v>
      </c>
      <c r="R213" s="8">
        <f t="shared" si="125"/>
        <v>0.06779950800763512</v>
      </c>
      <c r="S213" s="8">
        <f t="shared" si="126"/>
        <v>0.7603833865814694</v>
      </c>
      <c r="T213" s="8">
        <f t="shared" si="134"/>
        <v>1.6133737496830354</v>
      </c>
      <c r="U213" s="8">
        <f t="shared" si="127"/>
        <v>0.8577780103075823</v>
      </c>
      <c r="V213" s="8">
        <f t="shared" si="128"/>
        <v>3.343461545850683</v>
      </c>
      <c r="W213" s="8">
        <f t="shared" si="129"/>
        <v>1.4603633565776337</v>
      </c>
      <c r="X213" s="26">
        <f t="shared" si="130"/>
        <v>0.5263157894736843</v>
      </c>
      <c r="Y213" s="26">
        <f t="shared" si="131"/>
        <v>-0.011163157894736842</v>
      </c>
      <c r="Z213" s="29">
        <f t="shared" si="132"/>
        <v>1.1761659633392954</v>
      </c>
    </row>
    <row r="214" spans="7:26" ht="12.75">
      <c r="G214" s="9">
        <v>24</v>
      </c>
      <c r="H214" s="9">
        <f t="shared" si="116"/>
        <v>0.02656503387548217</v>
      </c>
      <c r="I214" s="9">
        <f t="shared" si="117"/>
        <v>1.9064219110948697</v>
      </c>
      <c r="J214" s="9">
        <f t="shared" si="118"/>
        <v>0.4331345725942916</v>
      </c>
      <c r="K214" s="9">
        <f t="shared" si="119"/>
        <v>0.4290985806854131</v>
      </c>
      <c r="L214" s="9">
        <f t="shared" si="120"/>
        <v>0.00045657096939147324</v>
      </c>
      <c r="M214" s="9">
        <f t="shared" si="121"/>
        <v>0.5213675213675214</v>
      </c>
      <c r="N214" s="9">
        <f t="shared" si="133"/>
        <v>1.473761914572977</v>
      </c>
      <c r="O214" s="9">
        <f t="shared" si="122"/>
        <v>0.07325223505585884</v>
      </c>
      <c r="P214" s="9">
        <f t="shared" si="123"/>
        <v>0.05375339935760011</v>
      </c>
      <c r="Q214" s="9">
        <f t="shared" si="124"/>
        <v>0.15926670680655974</v>
      </c>
      <c r="R214" s="9">
        <f t="shared" si="125"/>
        <v>0.06779950800763512</v>
      </c>
      <c r="S214" s="9">
        <f t="shared" si="126"/>
        <v>0.7603833865814694</v>
      </c>
      <c r="T214" s="9">
        <f t="shared" si="134"/>
        <v>1.622315989603903</v>
      </c>
      <c r="U214" s="9">
        <f t="shared" si="127"/>
        <v>0.8654730414034403</v>
      </c>
      <c r="V214" s="9">
        <f t="shared" si="128"/>
        <v>3.343461545850683</v>
      </c>
      <c r="W214" s="9">
        <f t="shared" si="129"/>
        <v>1.473761914572977</v>
      </c>
      <c r="X214" s="27">
        <f t="shared" si="130"/>
        <v>0.5491990846681923</v>
      </c>
      <c r="Y214" s="27">
        <f t="shared" si="131"/>
        <v>-0.011648512585812358</v>
      </c>
      <c r="Z214" s="30">
        <f t="shared" si="132"/>
        <v>1.2258174119512297</v>
      </c>
    </row>
    <row r="215" spans="7:26" ht="12.75">
      <c r="G215" s="8">
        <v>25</v>
      </c>
      <c r="H215" s="8">
        <f t="shared" si="116"/>
        <v>0.027671910286960595</v>
      </c>
      <c r="I215" s="8">
        <f t="shared" si="117"/>
        <v>1.9354233521884994</v>
      </c>
      <c r="J215" s="8">
        <f t="shared" si="118"/>
        <v>0.45109773528341773</v>
      </c>
      <c r="K215" s="8">
        <f t="shared" si="119"/>
        <v>0.4470613928916938</v>
      </c>
      <c r="L215" s="8">
        <f t="shared" si="120"/>
        <v>0.00045657096939147324</v>
      </c>
      <c r="M215" s="8">
        <f t="shared" si="121"/>
        <v>0.5213675213675214</v>
      </c>
      <c r="N215" s="8">
        <f t="shared" si="133"/>
        <v>1.4867935030433745</v>
      </c>
      <c r="O215" s="8">
        <f t="shared" si="122"/>
        <v>0.07325223505585884</v>
      </c>
      <c r="P215" s="8">
        <f t="shared" si="123"/>
        <v>0.057996900417582015</v>
      </c>
      <c r="Q215" s="8">
        <f t="shared" si="124"/>
        <v>0.1682194183215111</v>
      </c>
      <c r="R215" s="8">
        <f t="shared" si="125"/>
        <v>0.06779950800763512</v>
      </c>
      <c r="S215" s="8">
        <f t="shared" si="126"/>
        <v>0.7603833865814694</v>
      </c>
      <c r="T215" s="8">
        <f t="shared" si="134"/>
        <v>1.6310585819959655</v>
      </c>
      <c r="U215" s="8">
        <f t="shared" si="127"/>
        <v>0.8730093609089578</v>
      </c>
      <c r="V215" s="8">
        <f t="shared" si="128"/>
        <v>3.343461545850683</v>
      </c>
      <c r="W215" s="8">
        <f t="shared" si="129"/>
        <v>1.4867935030433745</v>
      </c>
      <c r="X215" s="26">
        <f t="shared" si="130"/>
        <v>0.5720823798627003</v>
      </c>
      <c r="Y215" s="26">
        <f t="shared" si="131"/>
        <v>-0.012133867276887872</v>
      </c>
      <c r="Z215" s="29">
        <f t="shared" si="132"/>
        <v>1.2743372479479667</v>
      </c>
    </row>
    <row r="216" spans="7:26" ht="12.75">
      <c r="G216" s="9">
        <v>26</v>
      </c>
      <c r="H216" s="9">
        <f t="shared" si="116"/>
        <v>0.02877878669843902</v>
      </c>
      <c r="I216" s="9">
        <f t="shared" si="117"/>
        <v>1.9638503366151854</v>
      </c>
      <c r="J216" s="9">
        <f t="shared" si="118"/>
        <v>0.4690608979725437</v>
      </c>
      <c r="K216" s="9">
        <f t="shared" si="119"/>
        <v>0.46502420509797443</v>
      </c>
      <c r="L216" s="9">
        <f t="shared" si="120"/>
        <v>0.00045657096939147324</v>
      </c>
      <c r="M216" s="9">
        <f t="shared" si="121"/>
        <v>0.5213675213675214</v>
      </c>
      <c r="N216" s="9">
        <f t="shared" si="133"/>
        <v>1.4994822645892862</v>
      </c>
      <c r="O216" s="9">
        <f t="shared" si="122"/>
        <v>0.07325223505585884</v>
      </c>
      <c r="P216" s="9">
        <f t="shared" si="123"/>
        <v>0.062400703564503814</v>
      </c>
      <c r="Q216" s="9">
        <f t="shared" si="124"/>
        <v>0.17717212983646252</v>
      </c>
      <c r="R216" s="9">
        <f t="shared" si="125"/>
        <v>0.06779950800763512</v>
      </c>
      <c r="S216" s="9">
        <f t="shared" si="126"/>
        <v>0.7603833865814694</v>
      </c>
      <c r="T216" s="9">
        <f t="shared" si="134"/>
        <v>1.6396124948167183</v>
      </c>
      <c r="U216" s="9">
        <f t="shared" si="127"/>
        <v>0.88039640200551</v>
      </c>
      <c r="V216" s="9">
        <f t="shared" si="128"/>
        <v>3.343461545850683</v>
      </c>
      <c r="W216" s="9">
        <f t="shared" si="129"/>
        <v>1.4994822645892862</v>
      </c>
      <c r="X216" s="27">
        <f t="shared" si="130"/>
        <v>0.5949656750572083</v>
      </c>
      <c r="Y216" s="27">
        <f t="shared" si="131"/>
        <v>-0.012619221967963386</v>
      </c>
      <c r="Z216" s="30">
        <f t="shared" si="132"/>
        <v>1.3218085224676392</v>
      </c>
    </row>
    <row r="217" spans="7:26" ht="12.75">
      <c r="G217" s="8">
        <v>27</v>
      </c>
      <c r="H217" s="8">
        <f t="shared" si="116"/>
        <v>0.02988566310991744</v>
      </c>
      <c r="I217" s="8">
        <f t="shared" si="117"/>
        <v>1.991735705816789</v>
      </c>
      <c r="J217" s="8">
        <f t="shared" si="118"/>
        <v>0.4870240606616697</v>
      </c>
      <c r="K217" s="8">
        <f t="shared" si="119"/>
        <v>0.482987017304255</v>
      </c>
      <c r="L217" s="8">
        <f t="shared" si="120"/>
        <v>0.00045657096939147324</v>
      </c>
      <c r="M217" s="8">
        <f t="shared" si="121"/>
        <v>0.5213675213675214</v>
      </c>
      <c r="N217" s="8">
        <f t="shared" si="133"/>
        <v>1.5118498964692217</v>
      </c>
      <c r="O217" s="8">
        <f t="shared" si="122"/>
        <v>0.07325223505585884</v>
      </c>
      <c r="P217" s="8">
        <f t="shared" si="123"/>
        <v>0.06696480879836549</v>
      </c>
      <c r="Q217" s="8">
        <f t="shared" si="124"/>
        <v>0.18612484135141383</v>
      </c>
      <c r="R217" s="8">
        <f t="shared" si="125"/>
        <v>0.06779950800763512</v>
      </c>
      <c r="S217" s="8">
        <f t="shared" si="126"/>
        <v>0.7603833865814694</v>
      </c>
      <c r="T217" s="8">
        <f t="shared" si="134"/>
        <v>1.6479877554988387</v>
      </c>
      <c r="U217" s="8">
        <f t="shared" si="127"/>
        <v>0.8876426988758667</v>
      </c>
      <c r="V217" s="8">
        <f t="shared" si="128"/>
        <v>3.343461545850683</v>
      </c>
      <c r="W217" s="8">
        <f t="shared" si="129"/>
        <v>1.5118498964692217</v>
      </c>
      <c r="X217" s="26">
        <f t="shared" si="130"/>
        <v>0.6178489702517163</v>
      </c>
      <c r="Y217" s="26">
        <f t="shared" si="131"/>
        <v>-0.013104576659038901</v>
      </c>
      <c r="Z217" s="29">
        <f t="shared" si="132"/>
        <v>1.3683048647332323</v>
      </c>
    </row>
    <row r="218" spans="7:26" ht="12.75">
      <c r="G218" s="9">
        <v>28</v>
      </c>
      <c r="H218" s="9">
        <f t="shared" si="116"/>
        <v>0.03099253952139587</v>
      </c>
      <c r="I218" s="9">
        <f t="shared" si="117"/>
        <v>2.019109286394181</v>
      </c>
      <c r="J218" s="9">
        <f t="shared" si="118"/>
        <v>0.5049872233507957</v>
      </c>
      <c r="K218" s="9">
        <f t="shared" si="119"/>
        <v>0.5009498295105358</v>
      </c>
      <c r="L218" s="9">
        <f t="shared" si="120"/>
        <v>0.00045657096939147324</v>
      </c>
      <c r="M218" s="9">
        <f t="shared" si="121"/>
        <v>0.5213675213675214</v>
      </c>
      <c r="N218" s="9">
        <f t="shared" si="133"/>
        <v>1.5239159787614538</v>
      </c>
      <c r="O218" s="9">
        <f t="shared" si="122"/>
        <v>0.07325223505585884</v>
      </c>
      <c r="P218" s="9">
        <f t="shared" si="123"/>
        <v>0.07168921611916709</v>
      </c>
      <c r="Q218" s="9">
        <f t="shared" si="124"/>
        <v>0.19507755286636524</v>
      </c>
      <c r="R218" s="9">
        <f t="shared" si="125"/>
        <v>0.06779950800763512</v>
      </c>
      <c r="S218" s="9">
        <f t="shared" si="126"/>
        <v>0.7603833865814694</v>
      </c>
      <c r="T218" s="9">
        <f t="shared" si="134"/>
        <v>1.6561935588748167</v>
      </c>
      <c r="U218" s="9">
        <f t="shared" si="127"/>
        <v>0.8947560022656962</v>
      </c>
      <c r="V218" s="9">
        <f t="shared" si="128"/>
        <v>3.343461545850683</v>
      </c>
      <c r="W218" s="9">
        <f t="shared" si="129"/>
        <v>1.5239159787614538</v>
      </c>
      <c r="X218" s="27">
        <f t="shared" si="130"/>
        <v>0.6407322654462243</v>
      </c>
      <c r="Y218" s="27">
        <f t="shared" si="131"/>
        <v>-0.013589931350114416</v>
      </c>
      <c r="Z218" s="30">
        <f t="shared" si="132"/>
        <v>1.4138918801493445</v>
      </c>
    </row>
    <row r="219" spans="7:26" ht="12.75">
      <c r="G219" s="8">
        <v>29</v>
      </c>
      <c r="H219" s="8">
        <f t="shared" si="116"/>
        <v>0.03209941593287429</v>
      </c>
      <c r="I219" s="8">
        <f t="shared" si="117"/>
        <v>2.045998263908909</v>
      </c>
      <c r="J219" s="8">
        <f t="shared" si="118"/>
        <v>0.5229503860399218</v>
      </c>
      <c r="K219" s="8">
        <f t="shared" si="119"/>
        <v>0.5189126417168164</v>
      </c>
      <c r="L219" s="8">
        <f t="shared" si="120"/>
        <v>0.00045657096939147324</v>
      </c>
      <c r="M219" s="8">
        <f t="shared" si="121"/>
        <v>0.5213675213675214</v>
      </c>
      <c r="N219" s="8">
        <f t="shared" si="133"/>
        <v>1.5356982484463848</v>
      </c>
      <c r="O219" s="8">
        <f t="shared" si="122"/>
        <v>0.07325223505585884</v>
      </c>
      <c r="P219" s="8">
        <f t="shared" si="123"/>
        <v>0.07657392552690856</v>
      </c>
      <c r="Q219" s="8">
        <f t="shared" si="124"/>
        <v>0.20403026438131666</v>
      </c>
      <c r="R219" s="8">
        <f t="shared" si="125"/>
        <v>0.06779950800763512</v>
      </c>
      <c r="S219" s="8">
        <f t="shared" si="126"/>
        <v>0.7603833865814694</v>
      </c>
      <c r="T219" s="8">
        <f t="shared" si="134"/>
        <v>1.6642383597727175</v>
      </c>
      <c r="U219" s="8">
        <f t="shared" si="127"/>
        <v>0.9017433766197305</v>
      </c>
      <c r="V219" s="8">
        <f t="shared" si="128"/>
        <v>3.343461545850683</v>
      </c>
      <c r="W219" s="8">
        <f t="shared" si="129"/>
        <v>1.5356982484463848</v>
      </c>
      <c r="X219" s="26">
        <f t="shared" si="130"/>
        <v>0.6636155606407323</v>
      </c>
      <c r="Y219" s="26">
        <f t="shared" si="131"/>
        <v>-0.014075286041189933</v>
      </c>
      <c r="Z219" s="29">
        <f t="shared" si="132"/>
        <v>1.4586282968788515</v>
      </c>
    </row>
    <row r="220" spans="7:26" ht="12.75">
      <c r="G220" s="9">
        <v>30</v>
      </c>
      <c r="H220" s="9">
        <f t="shared" si="116"/>
        <v>0.03320629234435271</v>
      </c>
      <c r="I220" s="9">
        <f t="shared" si="117"/>
        <v>2.0724274991266474</v>
      </c>
      <c r="J220" s="9">
        <f t="shared" si="118"/>
        <v>0.5409135487290478</v>
      </c>
      <c r="K220" s="9">
        <f t="shared" si="119"/>
        <v>0.536875453923097</v>
      </c>
      <c r="L220" s="9">
        <f t="shared" si="120"/>
        <v>0.00045657096939147324</v>
      </c>
      <c r="M220" s="9">
        <f t="shared" si="121"/>
        <v>0.5213675213675214</v>
      </c>
      <c r="N220" s="9">
        <f t="shared" si="133"/>
        <v>1.547212829863705</v>
      </c>
      <c r="O220" s="9">
        <f t="shared" si="122"/>
        <v>0.07325223505585884</v>
      </c>
      <c r="P220" s="9">
        <f t="shared" si="123"/>
        <v>0.08161893702158987</v>
      </c>
      <c r="Q220" s="9">
        <f t="shared" si="124"/>
        <v>0.21298297589626797</v>
      </c>
      <c r="R220" s="9">
        <f t="shared" si="125"/>
        <v>0.06779950800763512</v>
      </c>
      <c r="S220" s="9">
        <f t="shared" si="126"/>
        <v>0.7603833865814694</v>
      </c>
      <c r="T220" s="9">
        <f t="shared" si="134"/>
        <v>1.6721299528541655</v>
      </c>
      <c r="U220" s="9">
        <f t="shared" si="127"/>
        <v>0.9086112822608439</v>
      </c>
      <c r="V220" s="9">
        <f t="shared" si="128"/>
        <v>3.343461545850683</v>
      </c>
      <c r="W220" s="9">
        <f t="shared" si="129"/>
        <v>1.547212829863705</v>
      </c>
      <c r="X220" s="27">
        <f t="shared" si="130"/>
        <v>0.6864988558352404</v>
      </c>
      <c r="Y220" s="27">
        <f t="shared" si="131"/>
        <v>-0.014560640732265448</v>
      </c>
      <c r="Z220" s="30">
        <f t="shared" si="132"/>
        <v>1.5025669134096646</v>
      </c>
    </row>
    <row r="221" spans="7:26" ht="12.75">
      <c r="G221" s="8">
        <v>31</v>
      </c>
      <c r="H221" s="8">
        <f t="shared" si="116"/>
        <v>0.03431316875583114</v>
      </c>
      <c r="I221" s="8">
        <f t="shared" si="117"/>
        <v>2.098419797177827</v>
      </c>
      <c r="J221" s="8">
        <f t="shared" si="118"/>
        <v>0.5588767114181739</v>
      </c>
      <c r="K221" s="8">
        <f t="shared" si="119"/>
        <v>0.5548382661293776</v>
      </c>
      <c r="L221" s="8">
        <f t="shared" si="120"/>
        <v>0.00045657096939147324</v>
      </c>
      <c r="M221" s="8">
        <f t="shared" si="121"/>
        <v>0.5213675213675214</v>
      </c>
      <c r="N221" s="8">
        <f t="shared" si="133"/>
        <v>1.5584744296990691</v>
      </c>
      <c r="O221" s="8">
        <f t="shared" si="122"/>
        <v>0.07325223505585884</v>
      </c>
      <c r="P221" s="8">
        <f t="shared" si="123"/>
        <v>0.08682425060321114</v>
      </c>
      <c r="Q221" s="8">
        <f t="shared" si="124"/>
        <v>0.22193568741121938</v>
      </c>
      <c r="R221" s="8">
        <f t="shared" si="125"/>
        <v>0.06779950800763512</v>
      </c>
      <c r="S221" s="8">
        <f t="shared" si="126"/>
        <v>0.7603833865814694</v>
      </c>
      <c r="T221" s="8">
        <f t="shared" si="134"/>
        <v>1.6798755417720876</v>
      </c>
      <c r="U221" s="8">
        <f t="shared" si="127"/>
        <v>0.9153656453341794</v>
      </c>
      <c r="V221" s="8">
        <f t="shared" si="128"/>
        <v>3.343461545850683</v>
      </c>
      <c r="W221" s="8">
        <f t="shared" si="129"/>
        <v>1.5584744296990691</v>
      </c>
      <c r="X221" s="26">
        <f t="shared" si="130"/>
        <v>0.7093821510297483</v>
      </c>
      <c r="Y221" s="26">
        <f t="shared" si="131"/>
        <v>-0.01504599542334096</v>
      </c>
      <c r="Z221" s="29">
        <f t="shared" si="132"/>
        <v>1.5457553872580467</v>
      </c>
    </row>
    <row r="222" spans="7:26" ht="12.75">
      <c r="G222" s="9">
        <v>32</v>
      </c>
      <c r="H222" s="9">
        <f t="shared" si="116"/>
        <v>0.03542004516730956</v>
      </c>
      <c r="I222" s="9">
        <f t="shared" si="117"/>
        <v>2.123996137929622</v>
      </c>
      <c r="J222" s="9">
        <f t="shared" si="118"/>
        <v>0.5768398741072999</v>
      </c>
      <c r="K222" s="9">
        <f t="shared" si="119"/>
        <v>0.5728010783356583</v>
      </c>
      <c r="L222" s="9">
        <f t="shared" si="120"/>
        <v>0.00045657096939147324</v>
      </c>
      <c r="M222" s="9">
        <f t="shared" si="121"/>
        <v>0.5213675213675214</v>
      </c>
      <c r="N222" s="9">
        <f t="shared" si="133"/>
        <v>1.5694965029187222</v>
      </c>
      <c r="O222" s="9">
        <f t="shared" si="122"/>
        <v>0.07325223505585884</v>
      </c>
      <c r="P222" s="9">
        <f t="shared" si="123"/>
        <v>0.0921898662717722</v>
      </c>
      <c r="Q222" s="9">
        <f t="shared" si="124"/>
        <v>0.23088839892617075</v>
      </c>
      <c r="R222" s="9">
        <f t="shared" si="125"/>
        <v>0.06779950800763512</v>
      </c>
      <c r="S222" s="9">
        <f t="shared" si="126"/>
        <v>0.7603833865814694</v>
      </c>
      <c r="T222" s="9">
        <f t="shared" si="134"/>
        <v>1.6874817993382574</v>
      </c>
      <c r="U222" s="9">
        <f t="shared" si="127"/>
        <v>0.922011917671655</v>
      </c>
      <c r="V222" s="9">
        <f t="shared" si="128"/>
        <v>3.343461545850683</v>
      </c>
      <c r="W222" s="9">
        <f t="shared" si="129"/>
        <v>1.5694965029187222</v>
      </c>
      <c r="X222" s="27">
        <f t="shared" si="130"/>
        <v>0.7322654462242564</v>
      </c>
      <c r="Y222" s="27">
        <f t="shared" si="131"/>
        <v>-0.015531350114416477</v>
      </c>
      <c r="Z222" s="30">
        <f t="shared" si="132"/>
        <v>1.5882368958089854</v>
      </c>
    </row>
    <row r="223" spans="7:26" ht="12.75">
      <c r="G223" s="8">
        <v>33</v>
      </c>
      <c r="H223" s="8">
        <f aca="true" t="shared" si="135" ref="H223:H254">(((G223/100)*Iout)*(Vout_nom^2)*2.5*Rsense*K_1)/(eff*(Vline^2)*K_FQ)*us</f>
        <v>0.03652692157878799</v>
      </c>
      <c r="I223" s="8">
        <f aca="true" t="shared" si="136" ref="I223:I254">(1*10^-9*(5*10^8*SQRT(fsw*kHz)+(1.09655978*10^10)*SQRT(ftyp)*SQRT(H223)))/SQRT(fsw*kHz)</f>
        <v>2.149175874190091</v>
      </c>
      <c r="J223" s="8">
        <f aca="true" t="shared" si="137" ref="J223:J254">(b_1^3/(27*a_1^3))-(d_1^3/27)+SQRT((ftyp)^2*H223^2/(4*a_1^2*c_1^2*(fsw*kHz)^2))+(b_1^3*(ftyp)*H223/(27*a_1^4*c_1*(fsw*kHz))-(d_1^3*(ftyp)*H223/(27*a_1*c_1*(fsw*kHz)))+(b_1*d_1^2*(ftyp)*H223/(9*a_1^2*c_1*(fsw*kHz)))-(b_1^2*d_1*(ftyp)*H223/(9*a_1^3*c_1*(fsw*kHz))))</f>
        <v>0.594803036796426</v>
      </c>
      <c r="K223" s="8">
        <f aca="true" t="shared" si="138" ref="K223:K254">(b_1*d_1^2/(9*a_1))-(b_1^2*d_1/(9*a_1^2))+(ftyp*H223/(2*a_1*c_1*fsw*kHz))</f>
        <v>0.590763890541939</v>
      </c>
      <c r="L223" s="8">
        <f aca="true" t="shared" si="139" ref="L223:L254">(d_1^2/9)+(b_1^2/(9*a_1^2))-(2*b_1*d_1/(9*a_1))</f>
        <v>0.00045657096939147324</v>
      </c>
      <c r="M223" s="8">
        <f aca="true" t="shared" si="140" ref="M223:M254">((b_1*c_1*fsw*kHz)+(2*a_1*c_1*d_1*fsw*kHz))/(3*a_1*c_1*fsw*kHz)</f>
        <v>0.5213675213675214</v>
      </c>
      <c r="N223" s="8">
        <f t="shared" si="133"/>
        <v>1.5802913947462596</v>
      </c>
      <c r="O223" s="8">
        <f aca="true" t="shared" si="141" ref="O223:O254">(b_2^3/(27*a_2^3))-(d_2^3/27)</f>
        <v>0.07325223505585884</v>
      </c>
      <c r="P223" s="8">
        <f aca="true" t="shared" si="142" ref="P223:P254">(ftyp^2*H223^2/(4*a_2^2*c_2^2*(fsw*kHz)^2))+(b_2^3*ftyp*H223/(27*a_2^4*c_2*(fsw*kHz)))-(d_2^3*ftyp*H223/(27*a_2*c_2*(fsw*kHz)))+(b_2*d_2^2*ftyp*H223/(9*a_2^2*c_2*(fsw*kHz)))-(b_2^2*d_2*ftyp*H223/(9*a_2^3*c_2*(fsw*kHz)))</f>
        <v>0.09771578402727324</v>
      </c>
      <c r="Q223" s="8">
        <f aca="true" t="shared" si="143" ref="Q223:Q254">(b_2*d_2^2/(9*a_2))-(b_2^2*d_2/(9*a_2^2))+(ftyp*H223/(2*a_2*c_2*(fsw*kHz)))</f>
        <v>0.2398411104411221</v>
      </c>
      <c r="R223" s="8">
        <f aca="true" t="shared" si="144" ref="R223:R254">(d_2^2/9)+(b_2^2/(9*a_2^2))-(2*b_2*d_2/(9*a_2))</f>
        <v>0.06779950800763512</v>
      </c>
      <c r="S223" s="8">
        <f aca="true" t="shared" si="145" ref="S223:S254">(b_2*c_2*(fsw*kHz)+2*a_2*c_2*d_2*(fsw*kHz))/(3*a_2*c_2*(fsw*kHz))</f>
        <v>0.7603833865814694</v>
      </c>
      <c r="T223" s="8">
        <f t="shared" si="134"/>
        <v>1.6949549200841165</v>
      </c>
      <c r="U223" s="8">
        <f aca="true" t="shared" si="146" ref="U223:U254">c_3+(SQRT(ftyp)*SQRT(H223)/(SQRT(a_3)*SQRT(b_3)*SQRT(fsw*kHz)))</f>
        <v>0.9285551282973243</v>
      </c>
      <c r="V223" s="8">
        <f aca="true" t="shared" si="147" ref="V223:V254">(a_4*(fsw*kHz)*b_4/ftyp)</f>
        <v>3.343461545850683</v>
      </c>
      <c r="W223" s="8">
        <f aca="true" t="shared" si="148" ref="W223:W254">IF(I223&gt;=0.5,IF(I223&lt;1,I223,IF(N223&gt;=1,IF(N223&lt;2,N223,IF(VCOMP3&gt;=2,IF(T223&lt;4.5,T223,IF(U223&gt;=4.5,IF(U223&lt;4.6,U223,V223))))))))</f>
        <v>1.5802913947462596</v>
      </c>
      <c r="X223" s="26">
        <f aca="true" t="shared" si="149" ref="X223:X254">Pin_max*G223/(Vline*100)</f>
        <v>0.7551487414187643</v>
      </c>
      <c r="Y223" s="26">
        <f aca="true" t="shared" si="150" ref="Y223:Y254">-Rsense*X223*1.414</f>
        <v>-0.01601670480549199</v>
      </c>
      <c r="Z223" s="29">
        <f aca="true" t="shared" si="151" ref="Z223:Z254">MIN(6,MAX(0.5,Beta*G*($Y223-Voff_trim)/(MAX(0,MIN(4.5,W223)-Alpha1_A)+MAX(0,MIN(4.5,W223)-Alpha1_B)-Alpha1_C)+Alpha2))</f>
        <v>1.6300506934539618</v>
      </c>
    </row>
    <row r="224" spans="7:26" ht="12.75">
      <c r="G224" s="9">
        <v>34</v>
      </c>
      <c r="H224" s="9">
        <f t="shared" si="135"/>
        <v>0.03763379799026641</v>
      </c>
      <c r="I224" s="9">
        <f t="shared" si="136"/>
        <v>2.1739769030697444</v>
      </c>
      <c r="J224" s="9">
        <f t="shared" si="137"/>
        <v>0.6127661994855519</v>
      </c>
      <c r="K224" s="9">
        <f t="shared" si="138"/>
        <v>0.6087267027482196</v>
      </c>
      <c r="L224" s="9">
        <f t="shared" si="139"/>
        <v>0.00045657096939147324</v>
      </c>
      <c r="M224" s="9">
        <f t="shared" si="140"/>
        <v>0.5213675213675214</v>
      </c>
      <c r="N224" s="9">
        <f t="shared" si="133"/>
        <v>1.5908704627562331</v>
      </c>
      <c r="O224" s="9">
        <f t="shared" si="141"/>
        <v>0.07325223505585884</v>
      </c>
      <c r="P224" s="9">
        <f t="shared" si="142"/>
        <v>0.10340200386971411</v>
      </c>
      <c r="Q224" s="9">
        <f t="shared" si="143"/>
        <v>0.24879382195607352</v>
      </c>
      <c r="R224" s="9">
        <f t="shared" si="144"/>
        <v>0.06779950800763512</v>
      </c>
      <c r="S224" s="9">
        <f t="shared" si="145"/>
        <v>0.7603833865814694</v>
      </c>
      <c r="T224" s="9">
        <f t="shared" si="134"/>
        <v>1.7023006663541338</v>
      </c>
      <c r="U224" s="9">
        <f t="shared" si="146"/>
        <v>0.9349999279574244</v>
      </c>
      <c r="V224" s="9">
        <f t="shared" si="147"/>
        <v>3.343461545850683</v>
      </c>
      <c r="W224" s="9">
        <f t="shared" si="148"/>
        <v>1.5908704627562331</v>
      </c>
      <c r="X224" s="27">
        <f t="shared" si="149"/>
        <v>0.7780320366132725</v>
      </c>
      <c r="Y224" s="27">
        <f t="shared" si="150"/>
        <v>-0.016502059496567505</v>
      </c>
      <c r="Z224" s="30">
        <f t="shared" si="151"/>
        <v>1.6712325840184161</v>
      </c>
    </row>
    <row r="225" spans="7:26" ht="12.75">
      <c r="G225" s="8">
        <v>35</v>
      </c>
      <c r="H225" s="8">
        <f t="shared" si="135"/>
        <v>0.038740674401744835</v>
      </c>
      <c r="I225" s="8">
        <f t="shared" si="136"/>
        <v>2.1984158148142923</v>
      </c>
      <c r="J225" s="8">
        <f t="shared" si="137"/>
        <v>0.630729362174678</v>
      </c>
      <c r="K225" s="8">
        <f t="shared" si="138"/>
        <v>0.6266895149545003</v>
      </c>
      <c r="L225" s="8">
        <f t="shared" si="139"/>
        <v>0.00045657096939147324</v>
      </c>
      <c r="M225" s="8">
        <f t="shared" si="140"/>
        <v>0.5213675213675214</v>
      </c>
      <c r="N225" s="8">
        <f t="shared" si="133"/>
        <v>1.6012441823676937</v>
      </c>
      <c r="O225" s="8">
        <f t="shared" si="141"/>
        <v>0.07325223505585884</v>
      </c>
      <c r="P225" s="8">
        <f t="shared" si="142"/>
        <v>0.10924852579909489</v>
      </c>
      <c r="Q225" s="8">
        <f t="shared" si="143"/>
        <v>0.2577465334710249</v>
      </c>
      <c r="R225" s="8">
        <f t="shared" si="144"/>
        <v>0.06779950800763512</v>
      </c>
      <c r="S225" s="8">
        <f t="shared" si="145"/>
        <v>0.7603833865814694</v>
      </c>
      <c r="T225" s="8">
        <f t="shared" si="134"/>
        <v>1.7095244088750896</v>
      </c>
      <c r="U225" s="8">
        <f t="shared" si="146"/>
        <v>0.9413506277960788</v>
      </c>
      <c r="V225" s="8">
        <f t="shared" si="147"/>
        <v>3.343461545850683</v>
      </c>
      <c r="W225" s="8">
        <f t="shared" si="148"/>
        <v>1.6012441823676937</v>
      </c>
      <c r="X225" s="26">
        <f t="shared" si="149"/>
        <v>0.8009153318077804</v>
      </c>
      <c r="Y225" s="26">
        <f t="shared" si="150"/>
        <v>-0.016987414187643022</v>
      </c>
      <c r="Z225" s="29">
        <f t="shared" si="151"/>
        <v>1.711815323529131</v>
      </c>
    </row>
    <row r="226" spans="7:26" ht="12.75">
      <c r="G226" s="12">
        <v>36</v>
      </c>
      <c r="H226" s="9">
        <f t="shared" si="135"/>
        <v>0.039847550813223255</v>
      </c>
      <c r="I226" s="9">
        <f t="shared" si="136"/>
        <v>2.222508022626199</v>
      </c>
      <c r="J226" s="9">
        <f t="shared" si="137"/>
        <v>0.6486925248638039</v>
      </c>
      <c r="K226" s="9">
        <f t="shared" si="138"/>
        <v>0.6446523271607809</v>
      </c>
      <c r="L226" s="9">
        <f t="shared" si="139"/>
        <v>0.00045657096939147324</v>
      </c>
      <c r="M226" s="9">
        <f t="shared" si="140"/>
        <v>0.5213675213675214</v>
      </c>
      <c r="N226" s="9">
        <f t="shared" si="133"/>
        <v>1.6114222384009613</v>
      </c>
      <c r="O226" s="9">
        <f t="shared" si="141"/>
        <v>0.07325223505585884</v>
      </c>
      <c r="P226" s="9">
        <f t="shared" si="142"/>
        <v>0.1152553498154155</v>
      </c>
      <c r="Q226" s="9">
        <f t="shared" si="143"/>
        <v>0.2666992449859763</v>
      </c>
      <c r="R226" s="9">
        <f t="shared" si="144"/>
        <v>0.06779950800763512</v>
      </c>
      <c r="S226" s="9">
        <f t="shared" si="145"/>
        <v>0.7603833865814694</v>
      </c>
      <c r="T226" s="9">
        <f t="shared" si="134"/>
        <v>1.7166311625866142</v>
      </c>
      <c r="U226" s="9">
        <f t="shared" si="146"/>
        <v>0.9476112330907493</v>
      </c>
      <c r="V226" s="9">
        <f t="shared" si="147"/>
        <v>3.343461545850683</v>
      </c>
      <c r="W226" s="9">
        <f t="shared" si="148"/>
        <v>1.6114222384009613</v>
      </c>
      <c r="X226" s="27">
        <f t="shared" si="149"/>
        <v>0.8237986270022885</v>
      </c>
      <c r="Y226" s="27">
        <f t="shared" si="150"/>
        <v>-0.017472768878718535</v>
      </c>
      <c r="Z226" s="30">
        <f t="shared" si="151"/>
        <v>1.7518289653381205</v>
      </c>
    </row>
    <row r="227" spans="7:26" ht="12.75">
      <c r="G227" s="8">
        <v>37</v>
      </c>
      <c r="H227" s="8">
        <f t="shared" si="135"/>
        <v>0.040954427224701676</v>
      </c>
      <c r="I227" s="8">
        <f t="shared" si="136"/>
        <v>2.2462678763614536</v>
      </c>
      <c r="J227" s="8">
        <f t="shared" si="137"/>
        <v>0.66665568755293</v>
      </c>
      <c r="K227" s="8">
        <f t="shared" si="138"/>
        <v>0.6626151393670615</v>
      </c>
      <c r="L227" s="8">
        <f t="shared" si="139"/>
        <v>0.00045657096939147324</v>
      </c>
      <c r="M227" s="8">
        <f t="shared" si="140"/>
        <v>0.5213675213675214</v>
      </c>
      <c r="N227" s="8">
        <f t="shared" si="133"/>
        <v>1.6214136048720373</v>
      </c>
      <c r="O227" s="8">
        <f t="shared" si="141"/>
        <v>0.07325223505585884</v>
      </c>
      <c r="P227" s="8">
        <f t="shared" si="142"/>
        <v>0.12142247591867605</v>
      </c>
      <c r="Q227" s="8">
        <f t="shared" si="143"/>
        <v>0.2756519565009276</v>
      </c>
      <c r="R227" s="8">
        <f t="shared" si="144"/>
        <v>0.06779950800763512</v>
      </c>
      <c r="S227" s="8">
        <f t="shared" si="145"/>
        <v>0.7603833865814694</v>
      </c>
      <c r="T227" s="8">
        <f t="shared" si="134"/>
        <v>1.723625618389971</v>
      </c>
      <c r="U227" s="8">
        <f t="shared" si="146"/>
        <v>0.9537854727974988</v>
      </c>
      <c r="V227" s="8">
        <f t="shared" si="147"/>
        <v>3.343461545850683</v>
      </c>
      <c r="W227" s="8">
        <f t="shared" si="148"/>
        <v>1.6214136048720373</v>
      </c>
      <c r="X227" s="26">
        <f t="shared" si="149"/>
        <v>0.8466819221967964</v>
      </c>
      <c r="Y227" s="26">
        <f t="shared" si="150"/>
        <v>-0.01795812356979405</v>
      </c>
      <c r="Z227" s="29">
        <f t="shared" si="151"/>
        <v>1.7913011572653947</v>
      </c>
    </row>
    <row r="228" spans="7:26" ht="12.75">
      <c r="G228" s="9">
        <v>38</v>
      </c>
      <c r="H228" s="9">
        <f t="shared" si="135"/>
        <v>0.0420613036361801</v>
      </c>
      <c r="I228" s="9">
        <f t="shared" si="136"/>
        <v>2.2697087624838908</v>
      </c>
      <c r="J228" s="9">
        <f t="shared" si="137"/>
        <v>0.6846188502420562</v>
      </c>
      <c r="K228" s="9">
        <f t="shared" si="138"/>
        <v>0.6805779515733421</v>
      </c>
      <c r="L228" s="9">
        <f t="shared" si="139"/>
        <v>0.00045657096939147324</v>
      </c>
      <c r="M228" s="9">
        <f t="shared" si="140"/>
        <v>0.5213675213675214</v>
      </c>
      <c r="N228" s="9">
        <f t="shared" si="133"/>
        <v>1.6312266148105805</v>
      </c>
      <c r="O228" s="9">
        <f t="shared" si="141"/>
        <v>0.07325223505585884</v>
      </c>
      <c r="P228" s="9">
        <f t="shared" si="142"/>
        <v>0.12774990410887652</v>
      </c>
      <c r="Q228" s="9">
        <f t="shared" si="143"/>
        <v>0.28460466801587897</v>
      </c>
      <c r="R228" s="9">
        <f t="shared" si="144"/>
        <v>0.06779950800763512</v>
      </c>
      <c r="S228" s="9">
        <f t="shared" si="145"/>
        <v>0.7603833865814694</v>
      </c>
      <c r="T228" s="9">
        <f t="shared" si="134"/>
        <v>1.7305121713673315</v>
      </c>
      <c r="U228" s="9">
        <f t="shared" si="146"/>
        <v>0.9598768255251378</v>
      </c>
      <c r="V228" s="9">
        <f t="shared" si="147"/>
        <v>3.343461545850683</v>
      </c>
      <c r="W228" s="9">
        <f t="shared" si="148"/>
        <v>1.6312266148105805</v>
      </c>
      <c r="X228" s="27">
        <f t="shared" si="149"/>
        <v>0.8695652173913045</v>
      </c>
      <c r="Y228" s="27">
        <f t="shared" si="150"/>
        <v>-0.018443478260869568</v>
      </c>
      <c r="Z228" s="30">
        <f t="shared" si="151"/>
        <v>1.830257398581789</v>
      </c>
    </row>
    <row r="229" spans="7:26" ht="12.75">
      <c r="G229" s="8">
        <v>39</v>
      </c>
      <c r="H229" s="8">
        <f t="shared" si="135"/>
        <v>0.04316818004765852</v>
      </c>
      <c r="I229" s="8">
        <f t="shared" si="136"/>
        <v>2.292843192254299</v>
      </c>
      <c r="J229" s="8">
        <f t="shared" si="137"/>
        <v>0.7025820129311819</v>
      </c>
      <c r="K229" s="8">
        <f t="shared" si="138"/>
        <v>0.6985407637796228</v>
      </c>
      <c r="L229" s="8">
        <f t="shared" si="139"/>
        <v>0.00045657096939147324</v>
      </c>
      <c r="M229" s="8">
        <f t="shared" si="140"/>
        <v>0.5213675213675214</v>
      </c>
      <c r="N229" s="8">
        <f t="shared" si="133"/>
        <v>1.6408690215766826</v>
      </c>
      <c r="O229" s="8">
        <f t="shared" si="141"/>
        <v>0.07325223505585884</v>
      </c>
      <c r="P229" s="8">
        <f t="shared" si="142"/>
        <v>0.1342376343860168</v>
      </c>
      <c r="Q229" s="8">
        <f t="shared" si="143"/>
        <v>0.2935573795308304</v>
      </c>
      <c r="R229" s="8">
        <f t="shared" si="144"/>
        <v>0.06779950800763512</v>
      </c>
      <c r="S229" s="8">
        <f t="shared" si="145"/>
        <v>0.7603833865814694</v>
      </c>
      <c r="T229" s="8">
        <f t="shared" si="134"/>
        <v>1.7372949459378018</v>
      </c>
      <c r="U229" s="8">
        <f t="shared" si="146"/>
        <v>0.9658885424520613</v>
      </c>
      <c r="V229" s="8">
        <f t="shared" si="147"/>
        <v>3.343461545850683</v>
      </c>
      <c r="W229" s="8">
        <f t="shared" si="148"/>
        <v>1.6408690215766826</v>
      </c>
      <c r="X229" s="26">
        <f t="shared" si="149"/>
        <v>0.8924485125858125</v>
      </c>
      <c r="Y229" s="26">
        <f t="shared" si="150"/>
        <v>-0.01892883295194508</v>
      </c>
      <c r="Z229" s="29">
        <f t="shared" si="151"/>
        <v>1.8687212632023842</v>
      </c>
    </row>
    <row r="230" spans="7:26" ht="12.75">
      <c r="G230" s="9">
        <v>40</v>
      </c>
      <c r="H230" s="9">
        <f t="shared" si="135"/>
        <v>0.04427505645913695</v>
      </c>
      <c r="I230" s="9">
        <f t="shared" si="136"/>
        <v>2.3156828798038793</v>
      </c>
      <c r="J230" s="9">
        <f t="shared" si="137"/>
        <v>0.7205451756203082</v>
      </c>
      <c r="K230" s="9">
        <f t="shared" si="138"/>
        <v>0.7165035759859034</v>
      </c>
      <c r="L230" s="9">
        <f t="shared" si="139"/>
        <v>0.00045657096939147324</v>
      </c>
      <c r="M230" s="9">
        <f t="shared" si="140"/>
        <v>0.5213675213675214</v>
      </c>
      <c r="N230" s="9">
        <f t="shared" si="133"/>
        <v>1.6503480529015153</v>
      </c>
      <c r="O230" s="9">
        <f t="shared" si="141"/>
        <v>0.07325223505585884</v>
      </c>
      <c r="P230" s="9">
        <f t="shared" si="142"/>
        <v>0.14088566675009703</v>
      </c>
      <c r="Q230" s="9">
        <f t="shared" si="143"/>
        <v>0.30251009104578175</v>
      </c>
      <c r="R230" s="9">
        <f t="shared" si="144"/>
        <v>0.06779950800763512</v>
      </c>
      <c r="S230" s="9">
        <f t="shared" si="145"/>
        <v>0.7603833865814694</v>
      </c>
      <c r="T230" s="9">
        <f t="shared" si="134"/>
        <v>1.7439778183455483</v>
      </c>
      <c r="U230" s="9">
        <f t="shared" si="146"/>
        <v>0.9718236676144327</v>
      </c>
      <c r="V230" s="9">
        <f t="shared" si="147"/>
        <v>3.343461545850683</v>
      </c>
      <c r="W230" s="9">
        <f t="shared" si="148"/>
        <v>1.6503480529015153</v>
      </c>
      <c r="X230" s="27">
        <f t="shared" si="149"/>
        <v>0.9153318077803204</v>
      </c>
      <c r="Y230" s="27">
        <f t="shared" si="150"/>
        <v>-0.019414187643020595</v>
      </c>
      <c r="Z230" s="30">
        <f t="shared" si="151"/>
        <v>1.9067145943101738</v>
      </c>
    </row>
    <row r="231" spans="7:26" ht="12.75">
      <c r="G231" s="8">
        <v>41</v>
      </c>
      <c r="H231" s="8">
        <f t="shared" si="135"/>
        <v>0.04538193287061537</v>
      </c>
      <c r="I231" s="8">
        <f t="shared" si="136"/>
        <v>2.3382388114750574</v>
      </c>
      <c r="J231" s="8">
        <f t="shared" si="137"/>
        <v>0.7385083383094341</v>
      </c>
      <c r="K231" s="8">
        <f t="shared" si="138"/>
        <v>0.7344663881921841</v>
      </c>
      <c r="L231" s="8">
        <f t="shared" si="139"/>
        <v>0.00045657096939147324</v>
      </c>
      <c r="M231" s="8">
        <f t="shared" si="140"/>
        <v>0.5213675213675214</v>
      </c>
      <c r="N231" s="8">
        <f t="shared" si="133"/>
        <v>1.659670458674376</v>
      </c>
      <c r="O231" s="8">
        <f t="shared" si="141"/>
        <v>0.07325223505585884</v>
      </c>
      <c r="P231" s="8">
        <f t="shared" si="142"/>
        <v>0.1476940012011171</v>
      </c>
      <c r="Q231" s="8">
        <f t="shared" si="143"/>
        <v>0.31146280256073317</v>
      </c>
      <c r="R231" s="8">
        <f t="shared" si="144"/>
        <v>0.06779950800763512</v>
      </c>
      <c r="S231" s="8">
        <f t="shared" si="145"/>
        <v>0.7603833865814694</v>
      </c>
      <c r="T231" s="8">
        <f t="shared" si="134"/>
        <v>1.750564436816594</v>
      </c>
      <c r="U231" s="8">
        <f t="shared" si="146"/>
        <v>0.9776850559250969</v>
      </c>
      <c r="V231" s="8">
        <f t="shared" si="147"/>
        <v>3.343461545850683</v>
      </c>
      <c r="W231" s="8">
        <f t="shared" si="148"/>
        <v>1.659670458674376</v>
      </c>
      <c r="X231" s="26">
        <f t="shared" si="149"/>
        <v>0.9382151029748286</v>
      </c>
      <c r="Y231" s="26">
        <f t="shared" si="150"/>
        <v>-0.01989954233409611</v>
      </c>
      <c r="Z231" s="29">
        <f t="shared" si="151"/>
        <v>1.944257674710566</v>
      </c>
    </row>
    <row r="232" spans="7:26" ht="12.75">
      <c r="G232" s="9">
        <v>42</v>
      </c>
      <c r="H232" s="9">
        <f t="shared" si="135"/>
        <v>0.04648880928209379</v>
      </c>
      <c r="I232" s="9">
        <f t="shared" si="136"/>
        <v>2.3605213075946097</v>
      </c>
      <c r="J232" s="9">
        <f t="shared" si="137"/>
        <v>0.7564715009985602</v>
      </c>
      <c r="K232" s="9">
        <f t="shared" si="138"/>
        <v>0.7524292003984647</v>
      </c>
      <c r="L232" s="9">
        <f t="shared" si="139"/>
        <v>0.00045657096939147324</v>
      </c>
      <c r="M232" s="9">
        <f t="shared" si="140"/>
        <v>0.5213675213675214</v>
      </c>
      <c r="N232" s="9">
        <f t="shared" si="133"/>
        <v>1.6688425533336821</v>
      </c>
      <c r="O232" s="9">
        <f t="shared" si="141"/>
        <v>0.07325223505585884</v>
      </c>
      <c r="P232" s="9">
        <f t="shared" si="142"/>
        <v>0.15466263773907707</v>
      </c>
      <c r="Q232" s="9">
        <f t="shared" si="143"/>
        <v>0.32041551407568447</v>
      </c>
      <c r="R232" s="9">
        <f t="shared" si="144"/>
        <v>0.06779950800763512</v>
      </c>
      <c r="S232" s="9">
        <f t="shared" si="145"/>
        <v>0.7603833865814694</v>
      </c>
      <c r="T232" s="9">
        <f t="shared" si="134"/>
        <v>1.7570582396719179</v>
      </c>
      <c r="U232" s="9">
        <f t="shared" si="146"/>
        <v>0.9834753892259578</v>
      </c>
      <c r="V232" s="9">
        <f t="shared" si="147"/>
        <v>3.343461545850683</v>
      </c>
      <c r="W232" s="9">
        <f t="shared" si="148"/>
        <v>1.6688425533336821</v>
      </c>
      <c r="X232" s="27">
        <f t="shared" si="149"/>
        <v>0.9610983981693365</v>
      </c>
      <c r="Y232" s="27">
        <f t="shared" si="150"/>
        <v>-0.020384897025171624</v>
      </c>
      <c r="Z232" s="30">
        <f t="shared" si="151"/>
        <v>1.9813693764788094</v>
      </c>
    </row>
    <row r="233" spans="7:26" ht="12.75">
      <c r="G233" s="8">
        <v>43</v>
      </c>
      <c r="H233" s="8">
        <f t="shared" si="135"/>
        <v>0.04759568569357222</v>
      </c>
      <c r="I233" s="8">
        <f t="shared" si="136"/>
        <v>2.3825400776647165</v>
      </c>
      <c r="J233" s="8">
        <f t="shared" si="137"/>
        <v>0.7744346636876862</v>
      </c>
      <c r="K233" s="8">
        <f t="shared" si="138"/>
        <v>0.7703920126047454</v>
      </c>
      <c r="L233" s="8">
        <f t="shared" si="139"/>
        <v>0.00045657096939147324</v>
      </c>
      <c r="M233" s="8">
        <f t="shared" si="140"/>
        <v>0.5213675213675214</v>
      </c>
      <c r="N233" s="8">
        <f t="shared" si="133"/>
        <v>1.677870253584366</v>
      </c>
      <c r="O233" s="8">
        <f t="shared" si="141"/>
        <v>0.07325223505585884</v>
      </c>
      <c r="P233" s="8">
        <f t="shared" si="142"/>
        <v>0.16179157636397695</v>
      </c>
      <c r="Q233" s="8">
        <f t="shared" si="143"/>
        <v>0.3293682255906359</v>
      </c>
      <c r="R233" s="8">
        <f t="shared" si="144"/>
        <v>0.06779950800763512</v>
      </c>
      <c r="S233" s="8">
        <f t="shared" si="145"/>
        <v>0.7603833865814694</v>
      </c>
      <c r="T233" s="8">
        <f t="shared" si="134"/>
        <v>1.763462471643579</v>
      </c>
      <c r="U233" s="8">
        <f t="shared" si="146"/>
        <v>0.9891971906299337</v>
      </c>
      <c r="V233" s="8">
        <f t="shared" si="147"/>
        <v>3.343461545850683</v>
      </c>
      <c r="W233" s="8">
        <f t="shared" si="148"/>
        <v>1.677870253584366</v>
      </c>
      <c r="X233" s="26">
        <f t="shared" si="149"/>
        <v>0.9839816933638446</v>
      </c>
      <c r="Y233" s="26">
        <f t="shared" si="150"/>
        <v>-0.02087025171624714</v>
      </c>
      <c r="Z233" s="29">
        <f t="shared" si="151"/>
        <v>2.01806729286557</v>
      </c>
    </row>
    <row r="234" spans="7:26" ht="12.75">
      <c r="G234" s="9">
        <v>44</v>
      </c>
      <c r="H234" s="9">
        <f t="shared" si="135"/>
        <v>0.04870256210505064</v>
      </c>
      <c r="I234" s="9">
        <f t="shared" si="136"/>
        <v>2.4043042698093706</v>
      </c>
      <c r="J234" s="9">
        <f t="shared" si="137"/>
        <v>0.7923978263768122</v>
      </c>
      <c r="K234" s="9">
        <f t="shared" si="138"/>
        <v>0.788354824811026</v>
      </c>
      <c r="L234" s="9">
        <f t="shared" si="139"/>
        <v>0.00045657096939147324</v>
      </c>
      <c r="M234" s="9">
        <f t="shared" si="140"/>
        <v>0.5213675213675214</v>
      </c>
      <c r="N234" s="9">
        <f t="shared" si="133"/>
        <v>1.6867591120529561</v>
      </c>
      <c r="O234" s="9">
        <f t="shared" si="141"/>
        <v>0.07325223505585884</v>
      </c>
      <c r="P234" s="9">
        <f t="shared" si="142"/>
        <v>0.16908081707581668</v>
      </c>
      <c r="Q234" s="9">
        <f t="shared" si="143"/>
        <v>0.33832093710558725</v>
      </c>
      <c r="R234" s="9">
        <f t="shared" si="144"/>
        <v>0.06779950800763512</v>
      </c>
      <c r="S234" s="9">
        <f t="shared" si="145"/>
        <v>0.7603833865814694</v>
      </c>
      <c r="T234" s="9">
        <f t="shared" si="134"/>
        <v>1.769780198606219</v>
      </c>
      <c r="U234" s="9">
        <f t="shared" si="146"/>
        <v>0.9948528373701095</v>
      </c>
      <c r="V234" s="9">
        <f t="shared" si="147"/>
        <v>3.343461545850683</v>
      </c>
      <c r="W234" s="9">
        <f t="shared" si="148"/>
        <v>1.6867591120529561</v>
      </c>
      <c r="X234" s="27">
        <f t="shared" si="149"/>
        <v>1.0068649885583525</v>
      </c>
      <c r="Y234" s="27">
        <f t="shared" si="150"/>
        <v>-0.021355606407322654</v>
      </c>
      <c r="Z234" s="30">
        <f t="shared" si="151"/>
        <v>2.054367854940722</v>
      </c>
    </row>
    <row r="235" spans="7:26" ht="12.75">
      <c r="G235" s="8">
        <v>45</v>
      </c>
      <c r="H235" s="8">
        <f t="shared" si="135"/>
        <v>0.049809438516529074</v>
      </c>
      <c r="I235" s="8">
        <f t="shared" si="136"/>
        <v>2.4258225151904638</v>
      </c>
      <c r="J235" s="8">
        <f t="shared" si="137"/>
        <v>0.8103609890659383</v>
      </c>
      <c r="K235" s="8">
        <f t="shared" si="138"/>
        <v>0.8063176370173067</v>
      </c>
      <c r="L235" s="8">
        <f t="shared" si="139"/>
        <v>0.00045657096939147324</v>
      </c>
      <c r="M235" s="8">
        <f t="shared" si="140"/>
        <v>0.5213675213675214</v>
      </c>
      <c r="N235" s="8">
        <f t="shared" si="133"/>
        <v>1.6955143473996794</v>
      </c>
      <c r="O235" s="8">
        <f t="shared" si="141"/>
        <v>0.07325223505585884</v>
      </c>
      <c r="P235" s="8">
        <f t="shared" si="142"/>
        <v>0.17653035987459637</v>
      </c>
      <c r="Q235" s="8">
        <f t="shared" si="143"/>
        <v>0.34727364862053867</v>
      </c>
      <c r="R235" s="8">
        <f t="shared" si="144"/>
        <v>0.06779950800763512</v>
      </c>
      <c r="S235" s="8">
        <f t="shared" si="145"/>
        <v>0.7603833865814694</v>
      </c>
      <c r="T235" s="8">
        <f t="shared" si="134"/>
        <v>1.7760143209073482</v>
      </c>
      <c r="U235" s="8">
        <f t="shared" si="146"/>
        <v>1.0004445723417095</v>
      </c>
      <c r="V235" s="8">
        <f t="shared" si="147"/>
        <v>3.343461545850683</v>
      </c>
      <c r="W235" s="8">
        <f t="shared" si="148"/>
        <v>1.6955143473996794</v>
      </c>
      <c r="X235" s="26">
        <f t="shared" si="149"/>
        <v>1.0297482837528606</v>
      </c>
      <c r="Y235" s="26">
        <f t="shared" si="150"/>
        <v>-0.02184096109839817</v>
      </c>
      <c r="Z235" s="29">
        <f t="shared" si="151"/>
        <v>2.0902864350590797</v>
      </c>
    </row>
    <row r="236" spans="7:26" ht="12.75">
      <c r="G236" s="9">
        <v>46</v>
      </c>
      <c r="H236" s="9">
        <f t="shared" si="135"/>
        <v>0.0509163149280075</v>
      </c>
      <c r="I236" s="9">
        <f t="shared" si="136"/>
        <v>2.447102968005248</v>
      </c>
      <c r="J236" s="9">
        <f t="shared" si="137"/>
        <v>0.8283241517550646</v>
      </c>
      <c r="K236" s="9">
        <f t="shared" si="138"/>
        <v>0.8242804492235876</v>
      </c>
      <c r="L236" s="9">
        <f t="shared" si="139"/>
        <v>0.00045657096939147324</v>
      </c>
      <c r="M236" s="9">
        <f t="shared" si="140"/>
        <v>0.5213675213675214</v>
      </c>
      <c r="N236" s="9">
        <f t="shared" si="133"/>
        <v>1.704140871330524</v>
      </c>
      <c r="O236" s="9">
        <f t="shared" si="141"/>
        <v>0.07325223505585884</v>
      </c>
      <c r="P236" s="9">
        <f t="shared" si="142"/>
        <v>0.18414020476031592</v>
      </c>
      <c r="Q236" s="9">
        <f t="shared" si="143"/>
        <v>0.35622636013549014</v>
      </c>
      <c r="R236" s="9">
        <f t="shared" si="144"/>
        <v>0.06779950800763512</v>
      </c>
      <c r="S236" s="9">
        <f t="shared" si="145"/>
        <v>0.7603833865814694</v>
      </c>
      <c r="T236" s="9">
        <f t="shared" si="134"/>
        <v>1.782167585455301</v>
      </c>
      <c r="U236" s="9">
        <f t="shared" si="146"/>
        <v>1.0059745144958439</v>
      </c>
      <c r="V236" s="9">
        <f t="shared" si="147"/>
        <v>3.343461545850683</v>
      </c>
      <c r="W236" s="9">
        <f t="shared" si="148"/>
        <v>1.704140871330524</v>
      </c>
      <c r="X236" s="27">
        <f t="shared" si="149"/>
        <v>1.0526315789473686</v>
      </c>
      <c r="Y236" s="27">
        <f t="shared" si="150"/>
        <v>-0.022326315789473684</v>
      </c>
      <c r="Z236" s="30">
        <f t="shared" si="151"/>
        <v>2.1258374389062666</v>
      </c>
    </row>
    <row r="237" spans="7:26" ht="12.75">
      <c r="G237" s="8">
        <v>47</v>
      </c>
      <c r="H237" s="8">
        <f t="shared" si="135"/>
        <v>0.05202319133948591</v>
      </c>
      <c r="I237" s="8">
        <f t="shared" si="136"/>
        <v>2.4681533415908343</v>
      </c>
      <c r="J237" s="8">
        <f t="shared" si="137"/>
        <v>0.8462873144441903</v>
      </c>
      <c r="K237" s="8">
        <f t="shared" si="138"/>
        <v>0.8422432614298678</v>
      </c>
      <c r="L237" s="8">
        <f t="shared" si="139"/>
        <v>0.00045657096939147324</v>
      </c>
      <c r="M237" s="8">
        <f t="shared" si="140"/>
        <v>0.5213675213675214</v>
      </c>
      <c r="N237" s="8">
        <f t="shared" si="133"/>
        <v>1.7126433128884693</v>
      </c>
      <c r="O237" s="8">
        <f t="shared" si="141"/>
        <v>0.07325223505585884</v>
      </c>
      <c r="P237" s="8">
        <f t="shared" si="142"/>
        <v>0.19191035173297516</v>
      </c>
      <c r="Q237" s="8">
        <f t="shared" si="143"/>
        <v>0.36517907165044133</v>
      </c>
      <c r="R237" s="8">
        <f t="shared" si="144"/>
        <v>0.06779950800763512</v>
      </c>
      <c r="S237" s="8">
        <f t="shared" si="145"/>
        <v>0.7603833865814694</v>
      </c>
      <c r="T237" s="8">
        <f t="shared" si="134"/>
        <v>1.7882425967029478</v>
      </c>
      <c r="U237" s="8">
        <f t="shared" si="146"/>
        <v>1.01144466822163</v>
      </c>
      <c r="V237" s="8">
        <f t="shared" si="147"/>
        <v>3.343461545850683</v>
      </c>
      <c r="W237" s="8">
        <f t="shared" si="148"/>
        <v>1.7126433128884693</v>
      </c>
      <c r="X237" s="26">
        <f t="shared" si="149"/>
        <v>1.0755148741418765</v>
      </c>
      <c r="Y237" s="26">
        <f t="shared" si="150"/>
        <v>-0.0228116704805492</v>
      </c>
      <c r="Z237" s="29">
        <f t="shared" si="151"/>
        <v>2.1610343876143596</v>
      </c>
    </row>
    <row r="238" spans="7:26" ht="12.75">
      <c r="G238" s="9">
        <v>48</v>
      </c>
      <c r="H238" s="9">
        <f t="shared" si="135"/>
        <v>0.05313006775096434</v>
      </c>
      <c r="I238" s="9">
        <f t="shared" si="136"/>
        <v>2.488980941089052</v>
      </c>
      <c r="J238" s="9">
        <f t="shared" si="137"/>
        <v>0.8642504771333164</v>
      </c>
      <c r="K238" s="9">
        <f t="shared" si="138"/>
        <v>0.8602060736361488</v>
      </c>
      <c r="L238" s="9">
        <f t="shared" si="139"/>
        <v>0.00045657096939147324</v>
      </c>
      <c r="M238" s="9">
        <f t="shared" si="140"/>
        <v>0.5213675213675214</v>
      </c>
      <c r="N238" s="9">
        <f t="shared" si="133"/>
        <v>1.7210260403496513</v>
      </c>
      <c r="O238" s="9">
        <f t="shared" si="141"/>
        <v>0.07325223505585884</v>
      </c>
      <c r="P238" s="9">
        <f t="shared" si="142"/>
        <v>0.19984080079257455</v>
      </c>
      <c r="Q238" s="9">
        <f t="shared" si="143"/>
        <v>0.3741317831653928</v>
      </c>
      <c r="R238" s="9">
        <f t="shared" si="144"/>
        <v>0.06779950800763512</v>
      </c>
      <c r="S238" s="9">
        <f t="shared" si="145"/>
        <v>0.7603833865814694</v>
      </c>
      <c r="T238" s="9">
        <f t="shared" si="134"/>
        <v>1.7942418266475126</v>
      </c>
      <c r="U238" s="9">
        <f t="shared" si="146"/>
        <v>1.0168569318344889</v>
      </c>
      <c r="V238" s="9">
        <f t="shared" si="147"/>
        <v>3.343461545850683</v>
      </c>
      <c r="W238" s="9">
        <f t="shared" si="148"/>
        <v>1.7210260403496513</v>
      </c>
      <c r="X238" s="27">
        <f t="shared" si="149"/>
        <v>1.0983981693363847</v>
      </c>
      <c r="Y238" s="27">
        <f t="shared" si="150"/>
        <v>-0.023297025171624717</v>
      </c>
      <c r="Z238" s="30">
        <f t="shared" si="151"/>
        <v>2.195889991214346</v>
      </c>
    </row>
    <row r="239" spans="7:26" ht="12.75">
      <c r="G239" s="8">
        <v>49</v>
      </c>
      <c r="H239" s="8">
        <f t="shared" si="135"/>
        <v>0.05423694416244276</v>
      </c>
      <c r="I239" s="8">
        <f t="shared" si="136"/>
        <v>2.509592693063899</v>
      </c>
      <c r="J239" s="8">
        <f t="shared" si="137"/>
        <v>0.8822136398224424</v>
      </c>
      <c r="K239" s="8">
        <f t="shared" si="138"/>
        <v>0.8781688858424294</v>
      </c>
      <c r="L239" s="8">
        <f t="shared" si="139"/>
        <v>0.00045657096939147324</v>
      </c>
      <c r="M239" s="8">
        <f t="shared" si="140"/>
        <v>0.5213675213675214</v>
      </c>
      <c r="N239" s="8">
        <f t="shared" si="133"/>
        <v>1.729293181005303</v>
      </c>
      <c r="O239" s="8">
        <f t="shared" si="141"/>
        <v>0.07325223505585884</v>
      </c>
      <c r="P239" s="8">
        <f t="shared" si="142"/>
        <v>0.20793155193911367</v>
      </c>
      <c r="Q239" s="8">
        <f t="shared" si="143"/>
        <v>0.38308449468034417</v>
      </c>
      <c r="R239" s="8">
        <f t="shared" si="144"/>
        <v>0.06779950800763512</v>
      </c>
      <c r="S239" s="8">
        <f t="shared" si="145"/>
        <v>0.7603833865814694</v>
      </c>
      <c r="T239" s="8">
        <f t="shared" si="134"/>
        <v>1.800167623951685</v>
      </c>
      <c r="U239" s="8">
        <f t="shared" si="146"/>
        <v>1.022213105272541</v>
      </c>
      <c r="V239" s="8">
        <f t="shared" si="147"/>
        <v>3.343461545850683</v>
      </c>
      <c r="W239" s="8">
        <f t="shared" si="148"/>
        <v>1.729293181005303</v>
      </c>
      <c r="X239" s="26">
        <f t="shared" si="149"/>
        <v>1.1212814645308926</v>
      </c>
      <c r="Y239" s="26">
        <f t="shared" si="150"/>
        <v>-0.02378237986270023</v>
      </c>
      <c r="Z239" s="29">
        <f t="shared" si="151"/>
        <v>2.2304162145070814</v>
      </c>
    </row>
    <row r="240" spans="7:26" ht="12.75">
      <c r="G240" s="12">
        <v>50</v>
      </c>
      <c r="H240" s="12">
        <f t="shared" si="135"/>
        <v>0.05534382057392119</v>
      </c>
      <c r="I240" s="12">
        <f t="shared" si="136"/>
        <v>2.5299951724120273</v>
      </c>
      <c r="J240" s="12">
        <f t="shared" si="137"/>
        <v>0.9001768025115686</v>
      </c>
      <c r="K240" s="12">
        <f t="shared" si="138"/>
        <v>0.8961316980487101</v>
      </c>
      <c r="L240" s="12">
        <f t="shared" si="139"/>
        <v>0.00045657096939147324</v>
      </c>
      <c r="M240" s="12">
        <f t="shared" si="140"/>
        <v>0.5213675213675214</v>
      </c>
      <c r="N240" s="12">
        <f t="shared" si="133"/>
        <v>1.7374486390723467</v>
      </c>
      <c r="O240" s="12">
        <f t="shared" si="141"/>
        <v>0.07325223505585884</v>
      </c>
      <c r="P240" s="12">
        <f t="shared" si="142"/>
        <v>0.21618260517259286</v>
      </c>
      <c r="Q240" s="12">
        <f t="shared" si="143"/>
        <v>0.3920372061952956</v>
      </c>
      <c r="R240" s="12">
        <f t="shared" si="144"/>
        <v>0.06779950800763512</v>
      </c>
      <c r="S240" s="12">
        <f t="shared" si="145"/>
        <v>0.7603833865814694</v>
      </c>
      <c r="T240" s="12">
        <f t="shared" si="134"/>
        <v>1.8060222222782119</v>
      </c>
      <c r="U240" s="12">
        <f t="shared" si="146"/>
        <v>1.027514897089569</v>
      </c>
      <c r="V240" s="12">
        <f t="shared" si="147"/>
        <v>3.343461545850683</v>
      </c>
      <c r="W240" s="12">
        <f t="shared" si="148"/>
        <v>1.7374486390723467</v>
      </c>
      <c r="X240" s="27">
        <f t="shared" si="149"/>
        <v>1.1441647597254005</v>
      </c>
      <c r="Y240" s="27">
        <f t="shared" si="150"/>
        <v>-0.024267734553775743</v>
      </c>
      <c r="Z240" s="30">
        <f t="shared" si="151"/>
        <v>2.264624336279536</v>
      </c>
    </row>
    <row r="241" spans="7:26" ht="12.75">
      <c r="G241" s="8">
        <v>51</v>
      </c>
      <c r="H241" s="8">
        <f t="shared" si="135"/>
        <v>0.05645069698539961</v>
      </c>
      <c r="I241" s="8">
        <f t="shared" si="136"/>
        <v>2.550194626862645</v>
      </c>
      <c r="J241" s="8">
        <f t="shared" si="137"/>
        <v>0.9181399652006945</v>
      </c>
      <c r="K241" s="8">
        <f t="shared" si="138"/>
        <v>0.9140945102549907</v>
      </c>
      <c r="L241" s="8">
        <f t="shared" si="139"/>
        <v>0.00045657096939147324</v>
      </c>
      <c r="M241" s="8">
        <f t="shared" si="140"/>
        <v>0.5213675213675214</v>
      </c>
      <c r="N241" s="8">
        <f t="shared" si="133"/>
        <v>1.745496111943341</v>
      </c>
      <c r="O241" s="8">
        <f t="shared" si="141"/>
        <v>0.07325223505585884</v>
      </c>
      <c r="P241" s="8">
        <f t="shared" si="142"/>
        <v>0.22459396049301172</v>
      </c>
      <c r="Q241" s="8">
        <f t="shared" si="143"/>
        <v>0.40098991771024695</v>
      </c>
      <c r="R241" s="8">
        <f t="shared" si="144"/>
        <v>0.06779950800763512</v>
      </c>
      <c r="S241" s="8">
        <f t="shared" si="145"/>
        <v>0.7603833865814694</v>
      </c>
      <c r="T241" s="8">
        <f t="shared" si="134"/>
        <v>1.8118077479189725</v>
      </c>
      <c r="U241" s="8">
        <f t="shared" si="146"/>
        <v>1.0327639308215661</v>
      </c>
      <c r="V241" s="8">
        <f t="shared" si="147"/>
        <v>3.343461545850683</v>
      </c>
      <c r="W241" s="8">
        <f t="shared" si="148"/>
        <v>1.745496111943341</v>
      </c>
      <c r="X241" s="26">
        <f t="shared" si="149"/>
        <v>1.1670480549199085</v>
      </c>
      <c r="Y241" s="26">
        <f t="shared" si="150"/>
        <v>-0.024753089244851256</v>
      </c>
      <c r="Z241" s="29">
        <f t="shared" si="151"/>
        <v>2.2985250026630677</v>
      </c>
    </row>
    <row r="242" spans="7:26" ht="12.75">
      <c r="G242" s="9">
        <v>52</v>
      </c>
      <c r="H242" s="9">
        <f t="shared" si="135"/>
        <v>0.05755757339687804</v>
      </c>
      <c r="I242" s="9">
        <f t="shared" si="136"/>
        <v>2.5701969993256157</v>
      </c>
      <c r="J242" s="9">
        <f t="shared" si="137"/>
        <v>0.9361031278898205</v>
      </c>
      <c r="K242" s="9">
        <f t="shared" si="138"/>
        <v>0.9320573224612714</v>
      </c>
      <c r="L242" s="9">
        <f t="shared" si="139"/>
        <v>0.00045657096939147324</v>
      </c>
      <c r="M242" s="9">
        <f t="shared" si="140"/>
        <v>0.5213675213675214</v>
      </c>
      <c r="N242" s="9">
        <f t="shared" si="133"/>
        <v>1.7534391049591185</v>
      </c>
      <c r="O242" s="9">
        <f t="shared" si="141"/>
        <v>0.07325223505585884</v>
      </c>
      <c r="P242" s="9">
        <f t="shared" si="142"/>
        <v>0.23316561790037055</v>
      </c>
      <c r="Q242" s="9">
        <f t="shared" si="143"/>
        <v>0.40994262922519836</v>
      </c>
      <c r="R242" s="9">
        <f t="shared" si="144"/>
        <v>0.06779950800763512</v>
      </c>
      <c r="S242" s="9">
        <f t="shared" si="145"/>
        <v>0.7603833865814694</v>
      </c>
      <c r="T242" s="9">
        <f t="shared" si="134"/>
        <v>1.8175262267898828</v>
      </c>
      <c r="U242" s="9">
        <f t="shared" si="146"/>
        <v>1.0379617507941201</v>
      </c>
      <c r="V242" s="9">
        <f t="shared" si="147"/>
        <v>3.343461545850683</v>
      </c>
      <c r="W242" s="9">
        <f t="shared" si="148"/>
        <v>1.7534391049591185</v>
      </c>
      <c r="X242" s="27">
        <f t="shared" si="149"/>
        <v>1.1899313501144166</v>
      </c>
      <c r="Y242" s="27">
        <f t="shared" si="150"/>
        <v>-0.025238443935926773</v>
      </c>
      <c r="Z242" s="30">
        <f t="shared" si="151"/>
        <v>2.332128275320935</v>
      </c>
    </row>
    <row r="243" spans="7:26" ht="12.75">
      <c r="G243" s="8">
        <v>53</v>
      </c>
      <c r="H243" s="8">
        <f t="shared" si="135"/>
        <v>0.05866444980835647</v>
      </c>
      <c r="I243" s="8">
        <f t="shared" si="136"/>
        <v>2.5900079483143372</v>
      </c>
      <c r="J243" s="8">
        <f t="shared" si="137"/>
        <v>0.9540662905789468</v>
      </c>
      <c r="K243" s="8">
        <f t="shared" si="138"/>
        <v>0.9500201346675522</v>
      </c>
      <c r="L243" s="8">
        <f t="shared" si="139"/>
        <v>0.00045657096939147324</v>
      </c>
      <c r="M243" s="8">
        <f t="shared" si="140"/>
        <v>0.5213675213675214</v>
      </c>
      <c r="N243" s="8">
        <f t="shared" si="133"/>
        <v>1.7612809448640832</v>
      </c>
      <c r="O243" s="8">
        <f t="shared" si="141"/>
        <v>0.07325223505585884</v>
      </c>
      <c r="P243" s="8">
        <f t="shared" si="142"/>
        <v>0.2418975773946694</v>
      </c>
      <c r="Q243" s="8">
        <f t="shared" si="143"/>
        <v>0.4188953407401498</v>
      </c>
      <c r="R243" s="8">
        <f t="shared" si="144"/>
        <v>0.06779950800763512</v>
      </c>
      <c r="S243" s="8">
        <f t="shared" si="145"/>
        <v>0.7603833865814694</v>
      </c>
      <c r="T243" s="8">
        <f t="shared" si="134"/>
        <v>1.8231795908546289</v>
      </c>
      <c r="U243" s="8">
        <f t="shared" si="146"/>
        <v>1.043109827429502</v>
      </c>
      <c r="V243" s="8">
        <f t="shared" si="147"/>
        <v>3.343461545850683</v>
      </c>
      <c r="W243" s="8">
        <f t="shared" si="148"/>
        <v>1.7612809448640832</v>
      </c>
      <c r="X243" s="26">
        <f t="shared" si="149"/>
        <v>1.2128146453089246</v>
      </c>
      <c r="Y243" s="26">
        <f t="shared" si="150"/>
        <v>-0.02572379862700229</v>
      </c>
      <c r="Z243" s="29">
        <f t="shared" si="151"/>
        <v>2.365443675059637</v>
      </c>
    </row>
    <row r="244" spans="7:26" ht="12.75">
      <c r="G244" s="9">
        <v>54</v>
      </c>
      <c r="H244" s="9">
        <f t="shared" si="135"/>
        <v>0.05977132621983488</v>
      </c>
      <c r="I244" s="9">
        <f t="shared" si="136"/>
        <v>2.6096328666423045</v>
      </c>
      <c r="J244" s="9">
        <f t="shared" si="137"/>
        <v>0.9720294532680726</v>
      </c>
      <c r="K244" s="9">
        <f t="shared" si="138"/>
        <v>0.9679829468738325</v>
      </c>
      <c r="L244" s="9">
        <f t="shared" si="139"/>
        <v>0.00045657096939147324</v>
      </c>
      <c r="M244" s="9">
        <f t="shared" si="140"/>
        <v>0.5213675213675214</v>
      </c>
      <c r="N244" s="9">
        <f t="shared" si="133"/>
        <v>1.76902479208416</v>
      </c>
      <c r="O244" s="9">
        <f t="shared" si="141"/>
        <v>0.07325223505585884</v>
      </c>
      <c r="P244" s="9">
        <f t="shared" si="142"/>
        <v>0.2507898389759079</v>
      </c>
      <c r="Q244" s="9">
        <f t="shared" si="143"/>
        <v>0.42784805225510103</v>
      </c>
      <c r="R244" s="9">
        <f t="shared" si="144"/>
        <v>0.06779950800763512</v>
      </c>
      <c r="S244" s="9">
        <f t="shared" si="145"/>
        <v>0.7603833865814694</v>
      </c>
      <c r="T244" s="9">
        <f t="shared" si="134"/>
        <v>1.8287696840329808</v>
      </c>
      <c r="U244" s="9">
        <f t="shared" si="146"/>
        <v>1.0482095621051606</v>
      </c>
      <c r="V244" s="9">
        <f t="shared" si="147"/>
        <v>3.343461545850683</v>
      </c>
      <c r="W244" s="9">
        <f t="shared" si="148"/>
        <v>1.76902479208416</v>
      </c>
      <c r="X244" s="27">
        <f t="shared" si="149"/>
        <v>1.2356979405034325</v>
      </c>
      <c r="Y244" s="27">
        <f t="shared" si="150"/>
        <v>-0.026209153318077803</v>
      </c>
      <c r="Z244" s="30">
        <f t="shared" si="151"/>
        <v>2.39848022138003</v>
      </c>
    </row>
    <row r="245" spans="7:26" ht="12.75">
      <c r="G245" s="8">
        <v>55</v>
      </c>
      <c r="H245" s="8">
        <f t="shared" si="135"/>
        <v>0.060878202631313307</v>
      </c>
      <c r="I245" s="8">
        <f t="shared" si="136"/>
        <v>2.6290768985684263</v>
      </c>
      <c r="J245" s="8">
        <f t="shared" si="137"/>
        <v>0.9899926159571988</v>
      </c>
      <c r="K245" s="8">
        <f t="shared" si="138"/>
        <v>0.9859457590801133</v>
      </c>
      <c r="L245" s="8">
        <f t="shared" si="139"/>
        <v>0.00045657096939147324</v>
      </c>
      <c r="M245" s="8">
        <f t="shared" si="140"/>
        <v>0.5213675213675214</v>
      </c>
      <c r="N245" s="8">
        <f t="shared" si="133"/>
        <v>1.776673651950178</v>
      </c>
      <c r="O245" s="8">
        <f t="shared" si="141"/>
        <v>0.07325223505585884</v>
      </c>
      <c r="P245" s="8">
        <f t="shared" si="142"/>
        <v>0.2598424026440864</v>
      </c>
      <c r="Q245" s="8">
        <f t="shared" si="143"/>
        <v>0.43680076377005245</v>
      </c>
      <c r="R245" s="8">
        <f t="shared" si="144"/>
        <v>0.06779950800763512</v>
      </c>
      <c r="S245" s="8">
        <f t="shared" si="145"/>
        <v>0.7603833865814694</v>
      </c>
      <c r="T245" s="8">
        <f t="shared" si="134"/>
        <v>1.8342982676431396</v>
      </c>
      <c r="U245" s="8">
        <f t="shared" si="146"/>
        <v>1.0532622916091066</v>
      </c>
      <c r="V245" s="8">
        <f t="shared" si="147"/>
        <v>3.343461545850683</v>
      </c>
      <c r="W245" s="8">
        <f t="shared" si="148"/>
        <v>1.776673651950178</v>
      </c>
      <c r="X245" s="26">
        <f t="shared" si="149"/>
        <v>1.2585812356979407</v>
      </c>
      <c r="Y245" s="26">
        <f t="shared" si="150"/>
        <v>-0.02669450800915332</v>
      </c>
      <c r="Z245" s="29">
        <f t="shared" si="151"/>
        <v>2.4312464684173207</v>
      </c>
    </row>
    <row r="246" spans="7:26" ht="12.75">
      <c r="G246" s="9">
        <v>56</v>
      </c>
      <c r="H246" s="9">
        <f t="shared" si="135"/>
        <v>0.06198507904279174</v>
      </c>
      <c r="I246" s="9">
        <f t="shared" si="136"/>
        <v>2.6483449555455643</v>
      </c>
      <c r="J246" s="9">
        <f t="shared" si="137"/>
        <v>1.0079557786463247</v>
      </c>
      <c r="K246" s="9">
        <f t="shared" si="138"/>
        <v>1.003908571286394</v>
      </c>
      <c r="L246" s="9">
        <f t="shared" si="139"/>
        <v>0.00045657096939147324</v>
      </c>
      <c r="M246" s="9">
        <f t="shared" si="140"/>
        <v>0.5213675213675214</v>
      </c>
      <c r="N246" s="9">
        <f t="shared" si="133"/>
        <v>1.7842303849747068</v>
      </c>
      <c r="O246" s="9">
        <f t="shared" si="141"/>
        <v>0.07325223505585884</v>
      </c>
      <c r="P246" s="9">
        <f t="shared" si="142"/>
        <v>0.26905526839920485</v>
      </c>
      <c r="Q246" s="9">
        <f t="shared" si="143"/>
        <v>0.44575347528500386</v>
      </c>
      <c r="R246" s="9">
        <f t="shared" si="144"/>
        <v>0.06779950800763512</v>
      </c>
      <c r="S246" s="9">
        <f t="shared" si="145"/>
        <v>0.7603833865814694</v>
      </c>
      <c r="T246" s="9">
        <f t="shared" si="134"/>
        <v>1.8397670254220722</v>
      </c>
      <c r="U246" s="9">
        <f t="shared" si="146"/>
        <v>1.0582692922323318</v>
      </c>
      <c r="V246" s="9">
        <f t="shared" si="147"/>
        <v>3.343461545850683</v>
      </c>
      <c r="W246" s="9">
        <f t="shared" si="148"/>
        <v>1.7842303849747068</v>
      </c>
      <c r="X246" s="27">
        <f t="shared" si="149"/>
        <v>1.2814645308924486</v>
      </c>
      <c r="Y246" s="27">
        <f t="shared" si="150"/>
        <v>-0.027179862700228832</v>
      </c>
      <c r="Z246" s="30">
        <f t="shared" si="151"/>
        <v>2.463750537661813</v>
      </c>
    </row>
    <row r="247" spans="7:26" ht="12.75">
      <c r="G247" s="8">
        <v>57</v>
      </c>
      <c r="H247" s="8">
        <f t="shared" si="135"/>
        <v>0.06309195545427014</v>
      </c>
      <c r="I247" s="8">
        <f t="shared" si="136"/>
        <v>2.667441730708901</v>
      </c>
      <c r="J247" s="8">
        <f t="shared" si="137"/>
        <v>1.0259189413354504</v>
      </c>
      <c r="K247" s="8">
        <f t="shared" si="138"/>
        <v>1.0218713834926743</v>
      </c>
      <c r="L247" s="8">
        <f t="shared" si="139"/>
        <v>0.00045657096939147324</v>
      </c>
      <c r="M247" s="8">
        <f t="shared" si="140"/>
        <v>0.5213675213675214</v>
      </c>
      <c r="N247" s="8">
        <f t="shared" si="133"/>
        <v>1.7916977162775525</v>
      </c>
      <c r="O247" s="8">
        <f t="shared" si="141"/>
        <v>0.07325223505585884</v>
      </c>
      <c r="P247" s="8">
        <f t="shared" si="142"/>
        <v>0.2784284362412629</v>
      </c>
      <c r="Q247" s="8">
        <f t="shared" si="143"/>
        <v>0.4547061867999551</v>
      </c>
      <c r="R247" s="8">
        <f t="shared" si="144"/>
        <v>0.06779950800763512</v>
      </c>
      <c r="S247" s="8">
        <f t="shared" si="145"/>
        <v>0.7603833865814694</v>
      </c>
      <c r="T247" s="8">
        <f t="shared" si="134"/>
        <v>1.8451775681629816</v>
      </c>
      <c r="U247" s="8">
        <f t="shared" si="146"/>
        <v>1.063231783533757</v>
      </c>
      <c r="V247" s="8">
        <f t="shared" si="147"/>
        <v>3.343461545850683</v>
      </c>
      <c r="W247" s="8">
        <f t="shared" si="148"/>
        <v>1.7916977162775525</v>
      </c>
      <c r="X247" s="26">
        <f t="shared" si="149"/>
        <v>1.3043478260869568</v>
      </c>
      <c r="Y247" s="26">
        <f t="shared" si="150"/>
        <v>-0.02766521739130435</v>
      </c>
      <c r="Z247" s="29">
        <f t="shared" si="151"/>
        <v>2.4960001478033753</v>
      </c>
    </row>
    <row r="248" spans="7:26" ht="12.75">
      <c r="G248" s="9">
        <v>58</v>
      </c>
      <c r="H248" s="9">
        <f t="shared" si="135"/>
        <v>0.06419883186574858</v>
      </c>
      <c r="I248" s="9">
        <f t="shared" si="136"/>
        <v>2.6863717122252377</v>
      </c>
      <c r="J248" s="9">
        <f t="shared" si="137"/>
        <v>1.043882104024577</v>
      </c>
      <c r="K248" s="9">
        <f t="shared" si="138"/>
        <v>1.0398341956989552</v>
      </c>
      <c r="L248" s="9">
        <f t="shared" si="139"/>
        <v>0.00045657096939147324</v>
      </c>
      <c r="M248" s="9">
        <f t="shared" si="140"/>
        <v>0.5213675213675214</v>
      </c>
      <c r="N248" s="9">
        <f t="shared" si="133"/>
        <v>1.7990782442440754</v>
      </c>
      <c r="O248" s="9">
        <f t="shared" si="141"/>
        <v>0.07325223505585884</v>
      </c>
      <c r="P248" s="9">
        <f t="shared" si="142"/>
        <v>0.28796190617026135</v>
      </c>
      <c r="Q248" s="9">
        <f t="shared" si="143"/>
        <v>0.4636588983149067</v>
      </c>
      <c r="R248" s="9">
        <f t="shared" si="144"/>
        <v>0.06779950800763512</v>
      </c>
      <c r="S248" s="9">
        <f t="shared" si="145"/>
        <v>0.7603833865814694</v>
      </c>
      <c r="T248" s="9">
        <f t="shared" si="134"/>
        <v>1.8505314380048592</v>
      </c>
      <c r="U248" s="9">
        <f t="shared" si="146"/>
        <v>1.068150931809185</v>
      </c>
      <c r="V248" s="9">
        <f t="shared" si="147"/>
        <v>3.343461545850683</v>
      </c>
      <c r="W248" s="9">
        <f t="shared" si="148"/>
        <v>1.7990782442440754</v>
      </c>
      <c r="X248" s="27">
        <f t="shared" si="149"/>
        <v>1.3272311212814647</v>
      </c>
      <c r="Y248" s="27">
        <f t="shared" si="150"/>
        <v>-0.028150572082379866</v>
      </c>
      <c r="Z248" s="30">
        <f t="shared" si="151"/>
        <v>2.5280026420004624</v>
      </c>
    </row>
    <row r="249" spans="7:26" ht="12.75">
      <c r="G249" s="8">
        <v>59</v>
      </c>
      <c r="H249" s="8">
        <f t="shared" si="135"/>
        <v>0.06530570827722698</v>
      </c>
      <c r="I249" s="8">
        <f t="shared" si="136"/>
        <v>2.7051391956107986</v>
      </c>
      <c r="J249" s="8">
        <f t="shared" si="137"/>
        <v>1.0618452667137024</v>
      </c>
      <c r="K249" s="8">
        <f t="shared" si="138"/>
        <v>1.0577970079052355</v>
      </c>
      <c r="L249" s="8">
        <f t="shared" si="139"/>
        <v>0.00045657096939147324</v>
      </c>
      <c r="M249" s="8">
        <f t="shared" si="140"/>
        <v>0.5213675213675214</v>
      </c>
      <c r="N249" s="8">
        <f t="shared" si="133"/>
        <v>1.8063744484908395</v>
      </c>
      <c r="O249" s="8">
        <f t="shared" si="141"/>
        <v>0.07325223505585884</v>
      </c>
      <c r="P249" s="8">
        <f t="shared" si="142"/>
        <v>0.29765567818619904</v>
      </c>
      <c r="Q249" s="8">
        <f t="shared" si="143"/>
        <v>0.4726116098298577</v>
      </c>
      <c r="R249" s="8">
        <f t="shared" si="144"/>
        <v>0.06779950800763512</v>
      </c>
      <c r="S249" s="8">
        <f t="shared" si="145"/>
        <v>0.7603833865814694</v>
      </c>
      <c r="T249" s="8">
        <f t="shared" si="134"/>
        <v>1.8558301124053602</v>
      </c>
      <c r="U249" s="8">
        <f t="shared" si="146"/>
        <v>1.0730278532922057</v>
      </c>
      <c r="V249" s="8">
        <f t="shared" si="147"/>
        <v>3.343461545850683</v>
      </c>
      <c r="W249" s="8">
        <f t="shared" si="148"/>
        <v>1.8063744484908395</v>
      </c>
      <c r="X249" s="26">
        <f t="shared" si="149"/>
        <v>1.3501144164759729</v>
      </c>
      <c r="Y249" s="26">
        <f t="shared" si="150"/>
        <v>-0.028635926773455382</v>
      </c>
      <c r="Z249" s="29">
        <f t="shared" si="151"/>
        <v>2.559765012838318</v>
      </c>
    </row>
    <row r="250" spans="7:26" ht="12.75">
      <c r="G250" s="9">
        <v>60</v>
      </c>
      <c r="H250" s="9">
        <f t="shared" si="135"/>
        <v>0.06641258468870542</v>
      </c>
      <c r="I250" s="9">
        <f t="shared" si="136"/>
        <v>2.7237482951133125</v>
      </c>
      <c r="J250" s="9">
        <f t="shared" si="137"/>
        <v>1.079808429402829</v>
      </c>
      <c r="K250" s="9">
        <f t="shared" si="138"/>
        <v>1.0757598201115164</v>
      </c>
      <c r="L250" s="9">
        <f t="shared" si="139"/>
        <v>0.00045657096939147324</v>
      </c>
      <c r="M250" s="9">
        <f t="shared" si="140"/>
        <v>0.5213675213675214</v>
      </c>
      <c r="N250" s="9">
        <f t="shared" si="133"/>
        <v>1.8135886972047701</v>
      </c>
      <c r="O250" s="9">
        <f t="shared" si="141"/>
        <v>0.07325223505585884</v>
      </c>
      <c r="P250" s="9">
        <f t="shared" si="142"/>
        <v>0.3075097522890772</v>
      </c>
      <c r="Q250" s="9">
        <f t="shared" si="143"/>
        <v>0.4815643213448093</v>
      </c>
      <c r="R250" s="9">
        <f t="shared" si="144"/>
        <v>0.06779950800763512</v>
      </c>
      <c r="S250" s="9">
        <f t="shared" si="145"/>
        <v>0.7603833865814694</v>
      </c>
      <c r="T250" s="9">
        <f t="shared" si="134"/>
        <v>1.8610750078249962</v>
      </c>
      <c r="U250" s="9">
        <f t="shared" si="146"/>
        <v>1.0778636171119462</v>
      </c>
      <c r="V250" s="9">
        <f t="shared" si="147"/>
        <v>3.343461545850683</v>
      </c>
      <c r="W250" s="9">
        <f t="shared" si="148"/>
        <v>1.8135886972047701</v>
      </c>
      <c r="X250" s="27">
        <f t="shared" si="149"/>
        <v>1.3729977116704808</v>
      </c>
      <c r="Y250" s="27">
        <f t="shared" si="150"/>
        <v>-0.029121281464530895</v>
      </c>
      <c r="Z250" s="30">
        <f t="shared" si="151"/>
        <v>2.5912939252095786</v>
      </c>
    </row>
    <row r="251" spans="7:26" ht="12.75">
      <c r="G251" s="8">
        <v>61</v>
      </c>
      <c r="H251" s="8">
        <f t="shared" si="135"/>
        <v>0.06751946110018385</v>
      </c>
      <c r="I251" s="8">
        <f t="shared" si="136"/>
        <v>2.742202954243814</v>
      </c>
      <c r="J251" s="8">
        <f t="shared" si="137"/>
        <v>1.097771592091955</v>
      </c>
      <c r="K251" s="8">
        <f t="shared" si="138"/>
        <v>1.093722632317797</v>
      </c>
      <c r="L251" s="8">
        <f t="shared" si="139"/>
        <v>0.00045657096939147324</v>
      </c>
      <c r="M251" s="8">
        <f t="shared" si="140"/>
        <v>0.5213675213675214</v>
      </c>
      <c r="N251" s="8">
        <f t="shared" si="133"/>
        <v>1.8207232539146472</v>
      </c>
      <c r="O251" s="8">
        <f t="shared" si="141"/>
        <v>0.07325223505585884</v>
      </c>
      <c r="P251" s="8">
        <f t="shared" si="142"/>
        <v>0.317524128478895</v>
      </c>
      <c r="Q251" s="8">
        <f t="shared" si="143"/>
        <v>0.4905170328597608</v>
      </c>
      <c r="R251" s="8">
        <f t="shared" si="144"/>
        <v>0.06779950800763512</v>
      </c>
      <c r="S251" s="8">
        <f t="shared" si="145"/>
        <v>0.7603833865814694</v>
      </c>
      <c r="T251" s="8">
        <f t="shared" si="134"/>
        <v>1.8662674831477575</v>
      </c>
      <c r="U251" s="8">
        <f t="shared" si="146"/>
        <v>1.0826592480298671</v>
      </c>
      <c r="V251" s="8">
        <f t="shared" si="147"/>
        <v>3.343461545850683</v>
      </c>
      <c r="W251" s="8">
        <f t="shared" si="148"/>
        <v>1.8207232539146472</v>
      </c>
      <c r="X251" s="26">
        <f t="shared" si="149"/>
        <v>1.3958810068649887</v>
      </c>
      <c r="Y251" s="26">
        <f t="shared" si="150"/>
        <v>-0.02960663615560641</v>
      </c>
      <c r="Z251" s="29">
        <f t="shared" si="151"/>
        <v>2.6225957373234037</v>
      </c>
    </row>
    <row r="252" spans="7:26" ht="12.75">
      <c r="G252" s="9">
        <v>62</v>
      </c>
      <c r="H252" s="9">
        <f t="shared" si="135"/>
        <v>0.06862633751166228</v>
      </c>
      <c r="I252" s="9">
        <f t="shared" si="136"/>
        <v>2.7605069555345345</v>
      </c>
      <c r="J252" s="9">
        <f t="shared" si="137"/>
        <v>1.115734754781081</v>
      </c>
      <c r="K252" s="9">
        <f t="shared" si="138"/>
        <v>1.1116854445240776</v>
      </c>
      <c r="L252" s="9">
        <f t="shared" si="139"/>
        <v>0.00045657096939147324</v>
      </c>
      <c r="M252" s="9">
        <f t="shared" si="140"/>
        <v>0.5213675213675214</v>
      </c>
      <c r="N252" s="9">
        <f t="shared" si="133"/>
        <v>1.827780283747392</v>
      </c>
      <c r="O252" s="9">
        <f t="shared" si="141"/>
        <v>0.07325223505585884</v>
      </c>
      <c r="P252" s="9">
        <f t="shared" si="142"/>
        <v>0.32769880675565266</v>
      </c>
      <c r="Q252" s="9">
        <f t="shared" si="143"/>
        <v>0.49946974437471214</v>
      </c>
      <c r="R252" s="9">
        <f t="shared" si="144"/>
        <v>0.06779950800763512</v>
      </c>
      <c r="S252" s="9">
        <f t="shared" si="145"/>
        <v>0.7603833865814694</v>
      </c>
      <c r="T252" s="9">
        <f t="shared" si="134"/>
        <v>1.8714088428607658</v>
      </c>
      <c r="U252" s="9">
        <f t="shared" si="146"/>
        <v>1.0874157289754496</v>
      </c>
      <c r="V252" s="9">
        <f t="shared" si="147"/>
        <v>3.343461545850683</v>
      </c>
      <c r="W252" s="9">
        <f t="shared" si="148"/>
        <v>1.827780283747392</v>
      </c>
      <c r="X252" s="27">
        <f t="shared" si="149"/>
        <v>1.4187643020594967</v>
      </c>
      <c r="Y252" s="27">
        <f t="shared" si="150"/>
        <v>-0.03009199084668192</v>
      </c>
      <c r="Z252" s="30">
        <f t="shared" si="151"/>
        <v>2.6536765200256296</v>
      </c>
    </row>
    <row r="253" spans="7:26" ht="12.75">
      <c r="G253" s="8">
        <v>63</v>
      </c>
      <c r="H253" s="8">
        <f t="shared" si="135"/>
        <v>0.0697332139231407</v>
      </c>
      <c r="I253" s="8">
        <f t="shared" si="136"/>
        <v>2.778663929591271</v>
      </c>
      <c r="J253" s="8">
        <f t="shared" si="137"/>
        <v>1.1336979174702069</v>
      </c>
      <c r="K253" s="8">
        <f t="shared" si="138"/>
        <v>1.1296482567303585</v>
      </c>
      <c r="L253" s="8">
        <f t="shared" si="139"/>
        <v>0.00045657096939147324</v>
      </c>
      <c r="M253" s="8">
        <f t="shared" si="140"/>
        <v>0.5213675213675214</v>
      </c>
      <c r="N253" s="8">
        <f t="shared" si="133"/>
        <v>1.8347618592159773</v>
      </c>
      <c r="O253" s="8">
        <f t="shared" si="141"/>
        <v>0.07325223505585884</v>
      </c>
      <c r="P253" s="8">
        <f t="shared" si="142"/>
        <v>0.3380337871193503</v>
      </c>
      <c r="Q253" s="8">
        <f t="shared" si="143"/>
        <v>0.5084224558896635</v>
      </c>
      <c r="R253" s="8">
        <f t="shared" si="144"/>
        <v>0.06779950800763512</v>
      </c>
      <c r="S253" s="8">
        <f t="shared" si="145"/>
        <v>0.7603833865814694</v>
      </c>
      <c r="T253" s="8">
        <f t="shared" si="134"/>
        <v>1.8765003400132838</v>
      </c>
      <c r="U253" s="8">
        <f t="shared" si="146"/>
        <v>1.092134003398544</v>
      </c>
      <c r="V253" s="8">
        <f t="shared" si="147"/>
        <v>3.343461545850683</v>
      </c>
      <c r="W253" s="8">
        <f t="shared" si="148"/>
        <v>1.8347618592159773</v>
      </c>
      <c r="X253" s="26">
        <f t="shared" si="149"/>
        <v>1.4416475972540046</v>
      </c>
      <c r="Y253" s="26">
        <f t="shared" si="150"/>
        <v>-0.030577345537757438</v>
      </c>
      <c r="Z253" s="29">
        <f t="shared" si="151"/>
        <v>2.6845420745919135</v>
      </c>
    </row>
    <row r="254" spans="7:26" ht="12.75">
      <c r="G254" s="9">
        <v>64</v>
      </c>
      <c r="H254" s="9">
        <f t="shared" si="135"/>
        <v>0.07084009033461912</v>
      </c>
      <c r="I254" s="9">
        <f t="shared" si="136"/>
        <v>2.7966773635015985</v>
      </c>
      <c r="J254" s="9">
        <f t="shared" si="137"/>
        <v>1.151661080159333</v>
      </c>
      <c r="K254" s="9">
        <f t="shared" si="138"/>
        <v>1.147611068936639</v>
      </c>
      <c r="L254" s="9">
        <f t="shared" si="139"/>
        <v>0.00045657096939147324</v>
      </c>
      <c r="M254" s="9">
        <f t="shared" si="140"/>
        <v>0.5213675213675214</v>
      </c>
      <c r="N254" s="9">
        <f t="shared" si="133"/>
        <v>1.8416699655808788</v>
      </c>
      <c r="O254" s="9">
        <f t="shared" si="141"/>
        <v>0.07325223505585884</v>
      </c>
      <c r="P254" s="9">
        <f t="shared" si="142"/>
        <v>0.3485290695699877</v>
      </c>
      <c r="Q254" s="9">
        <f t="shared" si="143"/>
        <v>0.5173751674046149</v>
      </c>
      <c r="R254" s="9">
        <f t="shared" si="144"/>
        <v>0.06779950800763512</v>
      </c>
      <c r="S254" s="9">
        <f t="shared" si="145"/>
        <v>0.7603833865814694</v>
      </c>
      <c r="T254" s="9">
        <f t="shared" si="134"/>
        <v>1.8815431789734345</v>
      </c>
      <c r="U254" s="9">
        <f t="shared" si="146"/>
        <v>1.0968149774543323</v>
      </c>
      <c r="V254" s="9">
        <f t="shared" si="147"/>
        <v>3.343461545850683</v>
      </c>
      <c r="W254" s="9">
        <f t="shared" si="148"/>
        <v>1.8416699655808788</v>
      </c>
      <c r="X254" s="27">
        <f t="shared" si="149"/>
        <v>1.4645308924485128</v>
      </c>
      <c r="Y254" s="27">
        <f t="shared" si="150"/>
        <v>-0.031062700228832955</v>
      </c>
      <c r="Z254" s="30">
        <f t="shared" si="151"/>
        <v>2.71519794913789</v>
      </c>
    </row>
    <row r="255" spans="7:26" ht="12.75">
      <c r="G255" s="8">
        <v>65</v>
      </c>
      <c r="H255" s="8">
        <f aca="true" t="shared" si="152" ref="H255:H286">(((G255/100)*Iout)*(Vout_nom^2)*2.5*Rsense*K_1)/(eff*(Vline^2)*K_FQ)*us</f>
        <v>0.07194696674609755</v>
      </c>
      <c r="I255" s="8">
        <f aca="true" t="shared" si="153" ref="I255:I286">(1*10^-9*(5*10^8*SQRT(fsw*kHz)+(1.09655978*10^10)*SQRT(ftyp)*SQRT(H255)))/SQRT(fsw*kHz)</f>
        <v>2.8145506086540815</v>
      </c>
      <c r="J255" s="8">
        <f aca="true" t="shared" si="154" ref="J255:J290">(b_1^3/(27*a_1^3))-(d_1^3/27)+SQRT((ftyp)^2*H255^2/(4*a_1^2*c_1^2*(fsw*kHz)^2))+(b_1^3*(ftyp)*H255/(27*a_1^4*c_1*(fsw*kHz))-(d_1^3*(ftyp)*H255/(27*a_1*c_1*(fsw*kHz)))+(b_1*d_1^2*(ftyp)*H255/(9*a_1^2*c_1*(fsw*kHz)))-(b_1^2*d_1*(ftyp)*H255/(9*a_1^3*c_1*(fsw*kHz))))</f>
        <v>1.1696242428484591</v>
      </c>
      <c r="K255" s="8">
        <f aca="true" t="shared" si="155" ref="K255:K290">(b_1*d_1^2/(9*a_1))-(b_1^2*d_1/(9*a_1^2))+(ftyp*H255/(2*a_1*c_1*fsw*kHz))</f>
        <v>1.1655738811429197</v>
      </c>
      <c r="L255" s="8">
        <f aca="true" t="shared" si="156" ref="L255:L290">(d_1^2/9)+(b_1^2/(9*a_1^2))-(2*b_1*d_1/(9*a_1))</f>
        <v>0.00045657096939147324</v>
      </c>
      <c r="M255" s="8">
        <f aca="true" t="shared" si="157" ref="M255:M290">((b_1*c_1*fsw*kHz)+(2*a_1*c_1*d_1*fsw*kHz))/(3*a_1*c_1*fsw*kHz)</f>
        <v>0.5213675213675214</v>
      </c>
      <c r="N255" s="8">
        <f t="shared" si="133"/>
        <v>1.848506505822621</v>
      </c>
      <c r="O255" s="8">
        <f aca="true" t="shared" si="158" ref="O255:O290">(b_2^3/(27*a_2^3))-(d_2^3/27)</f>
        <v>0.07325223505585884</v>
      </c>
      <c r="P255" s="8">
        <f aca="true" t="shared" si="159" ref="P255:P290">(ftyp^2*H255^2/(4*a_2^2*c_2^2*(fsw*kHz)^2))+(b_2^3*ftyp*H255/(27*a_2^4*c_2*(fsw*kHz)))-(d_2^3*ftyp*H255/(27*a_2*c_2*(fsw*kHz)))+(b_2*d_2^2*ftyp*H255/(9*a_2^2*c_2*(fsw*kHz)))-(b_2^2*d_2*ftyp*H255/(9*a_2^3*c_2*(fsw*kHz)))</f>
        <v>0.3591846541075651</v>
      </c>
      <c r="Q255" s="8">
        <f aca="true" t="shared" si="160" ref="Q255:Q290">(b_2*d_2^2/(9*a_2))-(b_2^2*d_2/(9*a_2^2))+(ftyp*H255/(2*a_2*c_2*(fsw*kHz)))</f>
        <v>0.5263278789195663</v>
      </c>
      <c r="R255" s="8">
        <f aca="true" t="shared" si="161" ref="R255:R290">(d_2^2/9)+(b_2^2/(9*a_2^2))-(2*b_2*d_2/(9*a_2))</f>
        <v>0.06779950800763512</v>
      </c>
      <c r="S255" s="8">
        <f aca="true" t="shared" si="162" ref="S255:S290">(b_2*c_2*(fsw*kHz)+2*a_2*c_2*d_2*(fsw*kHz))/(3*a_2*c_2*(fsw*kHz))</f>
        <v>0.7603833865814694</v>
      </c>
      <c r="T255" s="8">
        <f t="shared" si="134"/>
        <v>1.8865385179992051</v>
      </c>
      <c r="U255" s="8">
        <f aca="true" t="shared" si="163" ref="U255:U290">c_3+(SQRT(ftyp)*SQRT(H255)/(SQRT(a_3)*SQRT(b_3)*SQRT(fsw*kHz)))</f>
        <v>1.1014595220352272</v>
      </c>
      <c r="V255" s="8">
        <f aca="true" t="shared" si="164" ref="V255:V290">(a_4*(fsw*kHz)*b_4/ftyp)</f>
        <v>3.343461545850683</v>
      </c>
      <c r="W255" s="8">
        <f aca="true" t="shared" si="165" ref="W255:W286">IF(I255&gt;=0.5,IF(I255&lt;1,I255,IF(N255&gt;=1,IF(N255&lt;2,N255,IF(VCOMP3&gt;=2,IF(T255&lt;4.5,T255,IF(U255&gt;=4.5,IF(U255&lt;4.6,U255,V255))))))))</f>
        <v>1.848506505822621</v>
      </c>
      <c r="X255" s="26">
        <f aca="true" t="shared" si="166" ref="X255:X290">Pin_max*G255/(Vline*100)</f>
        <v>1.487414187643021</v>
      </c>
      <c r="Y255" s="26">
        <f aca="true" t="shared" si="167" ref="Y255:Y286">-Rsense*X255*1.414</f>
        <v>-0.031548054919908475</v>
      </c>
      <c r="Z255" s="29">
        <f aca="true" t="shared" si="168" ref="Z255:Z290">MIN(6,MAX(0.5,Beta*G*($Y255-Voff_trim)/(MAX(0,MIN(4.5,W255)-Alpha1_A)+MAX(0,MIN(4.5,W255)-Alpha1_B)-Alpha1_C)+Alpha2))</f>
        <v>2.7456494537746847</v>
      </c>
    </row>
    <row r="256" spans="7:26" ht="12.75">
      <c r="G256" s="9">
        <v>66</v>
      </c>
      <c r="H256" s="9">
        <f t="shared" si="152"/>
        <v>0.07305384315757597</v>
      </c>
      <c r="I256" s="9">
        <f t="shared" si="153"/>
        <v>2.8322868880181318</v>
      </c>
      <c r="J256" s="9">
        <f t="shared" si="154"/>
        <v>1.1875874055375852</v>
      </c>
      <c r="K256" s="9">
        <f t="shared" si="155"/>
        <v>1.1835366933492004</v>
      </c>
      <c r="L256" s="9">
        <f t="shared" si="156"/>
        <v>0.00045657096939147324</v>
      </c>
      <c r="M256" s="9">
        <f t="shared" si="157"/>
        <v>0.5213675213675214</v>
      </c>
      <c r="N256" s="9">
        <f aca="true" t="shared" si="169" ref="N256:N290">(J256+K256)^(1/3)+(L256/(J256^(1/3)))+M256</f>
        <v>1.855273305259157</v>
      </c>
      <c r="O256" s="9">
        <f t="shared" si="158"/>
        <v>0.07325223505585884</v>
      </c>
      <c r="P256" s="9">
        <f t="shared" si="159"/>
        <v>0.3700005407320824</v>
      </c>
      <c r="Q256" s="9">
        <f t="shared" si="160"/>
        <v>0.5352805904345176</v>
      </c>
      <c r="R256" s="9">
        <f t="shared" si="161"/>
        <v>0.06779950800763512</v>
      </c>
      <c r="S256" s="9">
        <f t="shared" si="162"/>
        <v>0.7603833865814694</v>
      </c>
      <c r="T256" s="9">
        <f aca="true" t="shared" si="170" ref="T256:T290">((O256+SQRT(P256)+Q256)^(1/3))+(R256/((O256+SQRT(P256)+Q256)^(1/3)))+S256</f>
        <v>1.8914874716387349</v>
      </c>
      <c r="U256" s="9">
        <f t="shared" si="163"/>
        <v>1.1060684746626177</v>
      </c>
      <c r="V256" s="9">
        <f t="shared" si="164"/>
        <v>3.343461545850683</v>
      </c>
      <c r="W256" s="9">
        <f t="shared" si="165"/>
        <v>1.855273305259157</v>
      </c>
      <c r="X256" s="27">
        <f t="shared" si="166"/>
        <v>1.5102974828375286</v>
      </c>
      <c r="Y256" s="27">
        <f t="shared" si="167"/>
        <v>-0.03203340961098398</v>
      </c>
      <c r="Z256" s="30">
        <f t="shared" si="168"/>
        <v>2.7759016746243494</v>
      </c>
    </row>
    <row r="257" spans="7:26" ht="12.75">
      <c r="G257" s="8">
        <v>67</v>
      </c>
      <c r="H257" s="8">
        <f t="shared" si="152"/>
        <v>0.07416071956905439</v>
      </c>
      <c r="I257" s="8">
        <f t="shared" si="153"/>
        <v>2.849889302929315</v>
      </c>
      <c r="J257" s="8">
        <f t="shared" si="154"/>
        <v>1.205550568226711</v>
      </c>
      <c r="K257" s="8">
        <f t="shared" si="155"/>
        <v>1.201499505555481</v>
      </c>
      <c r="L257" s="8">
        <f t="shared" si="156"/>
        <v>0.00045657096939147324</v>
      </c>
      <c r="M257" s="8">
        <f t="shared" si="157"/>
        <v>0.5213675213675214</v>
      </c>
      <c r="N257" s="8">
        <f t="shared" si="169"/>
        <v>1.8619721158384204</v>
      </c>
      <c r="O257" s="8">
        <f t="shared" si="158"/>
        <v>0.07325223505585884</v>
      </c>
      <c r="P257" s="8">
        <f t="shared" si="159"/>
        <v>0.38097672944353933</v>
      </c>
      <c r="Q257" s="8">
        <f t="shared" si="160"/>
        <v>0.544233301949469</v>
      </c>
      <c r="R257" s="8">
        <f t="shared" si="161"/>
        <v>0.06779950800763512</v>
      </c>
      <c r="S257" s="8">
        <f t="shared" si="162"/>
        <v>0.7603833865814694</v>
      </c>
      <c r="T257" s="8">
        <f t="shared" si="170"/>
        <v>1.8963911129734816</v>
      </c>
      <c r="U257" s="8">
        <f t="shared" si="163"/>
        <v>1.1106426412501018</v>
      </c>
      <c r="V257" s="8">
        <f t="shared" si="164"/>
        <v>3.343461545850683</v>
      </c>
      <c r="W257" s="8">
        <f t="shared" si="165"/>
        <v>1.8619721158384204</v>
      </c>
      <c r="X257" s="26">
        <f t="shared" si="166"/>
        <v>1.5331807780320368</v>
      </c>
      <c r="Y257" s="26">
        <f t="shared" si="167"/>
        <v>-0.032518764302059494</v>
      </c>
      <c r="Z257" s="29">
        <f t="shared" si="168"/>
        <v>2.805959486797698</v>
      </c>
    </row>
    <row r="258" spans="7:26" ht="12.75">
      <c r="G258" s="9">
        <v>68</v>
      </c>
      <c r="H258" s="9">
        <f t="shared" si="152"/>
        <v>0.07526759598053281</v>
      </c>
      <c r="I258" s="9">
        <f t="shared" si="153"/>
        <v>2.8673608394205448</v>
      </c>
      <c r="J258" s="9">
        <f t="shared" si="154"/>
        <v>1.223513730915837</v>
      </c>
      <c r="K258" s="9">
        <f t="shared" si="155"/>
        <v>1.2194623177617616</v>
      </c>
      <c r="L258" s="9">
        <f t="shared" si="156"/>
        <v>0.00045657096939147324</v>
      </c>
      <c r="M258" s="9">
        <f t="shared" si="157"/>
        <v>0.5213675213675214</v>
      </c>
      <c r="N258" s="9">
        <f t="shared" si="169"/>
        <v>1.868604620133386</v>
      </c>
      <c r="O258" s="9">
        <f t="shared" si="158"/>
        <v>0.07325223505585884</v>
      </c>
      <c r="P258" s="9">
        <f t="shared" si="159"/>
        <v>0.3921132202419364</v>
      </c>
      <c r="Q258" s="9">
        <f t="shared" si="160"/>
        <v>0.5531860134644204</v>
      </c>
      <c r="R258" s="9">
        <f t="shared" si="161"/>
        <v>0.06779950800763512</v>
      </c>
      <c r="S258" s="9">
        <f t="shared" si="162"/>
        <v>0.7603833865814694</v>
      </c>
      <c r="T258" s="9">
        <f t="shared" si="170"/>
        <v>1.9012504757165964</v>
      </c>
      <c r="U258" s="9">
        <f t="shared" si="163"/>
        <v>1.1151827977487088</v>
      </c>
      <c r="V258" s="9">
        <f t="shared" si="164"/>
        <v>3.343461545850683</v>
      </c>
      <c r="W258" s="9">
        <f t="shared" si="165"/>
        <v>1.868604620133386</v>
      </c>
      <c r="X258" s="27">
        <f t="shared" si="166"/>
        <v>1.556064073226545</v>
      </c>
      <c r="Y258" s="27">
        <f t="shared" si="167"/>
        <v>-0.03300411899313501</v>
      </c>
      <c r="Z258" s="30">
        <f t="shared" si="168"/>
        <v>2.835827566426362</v>
      </c>
    </row>
    <row r="259" spans="7:26" ht="12.75">
      <c r="G259" s="8">
        <v>69</v>
      </c>
      <c r="H259" s="8">
        <f t="shared" si="152"/>
        <v>0.07637447239201124</v>
      </c>
      <c r="I259" s="8">
        <f t="shared" si="153"/>
        <v>2.884704374135769</v>
      </c>
      <c r="J259" s="8">
        <f t="shared" si="154"/>
        <v>1.2414768936049634</v>
      </c>
      <c r="K259" s="8">
        <f t="shared" si="155"/>
        <v>1.237425129968042</v>
      </c>
      <c r="L259" s="8">
        <f t="shared" si="156"/>
        <v>0.00045657096939147324</v>
      </c>
      <c r="M259" s="8">
        <f t="shared" si="157"/>
        <v>0.5213675213675214</v>
      </c>
      <c r="N259" s="8">
        <f t="shared" si="169"/>
        <v>1.8751724350643078</v>
      </c>
      <c r="O259" s="8">
        <f t="shared" si="158"/>
        <v>0.07325223505585884</v>
      </c>
      <c r="P259" s="8">
        <f t="shared" si="159"/>
        <v>0.40341001312727337</v>
      </c>
      <c r="Q259" s="8">
        <f t="shared" si="160"/>
        <v>0.5621387249793717</v>
      </c>
      <c r="R259" s="8">
        <f t="shared" si="161"/>
        <v>0.06779950800763512</v>
      </c>
      <c r="S259" s="8">
        <f t="shared" si="162"/>
        <v>0.7603833865814694</v>
      </c>
      <c r="T259" s="8">
        <f t="shared" si="170"/>
        <v>1.9060665561777212</v>
      </c>
      <c r="U259" s="8">
        <f t="shared" si="163"/>
        <v>1.119689691683634</v>
      </c>
      <c r="V259" s="8">
        <f t="shared" si="164"/>
        <v>3.343461545850683</v>
      </c>
      <c r="W259" s="8">
        <f t="shared" si="165"/>
        <v>1.8751724350643078</v>
      </c>
      <c r="X259" s="26">
        <f t="shared" si="166"/>
        <v>1.5789473684210527</v>
      </c>
      <c r="Y259" s="26">
        <f t="shared" si="167"/>
        <v>-0.03348947368421053</v>
      </c>
      <c r="Z259" s="29">
        <f t="shared" si="168"/>
        <v>2.8655104018315014</v>
      </c>
    </row>
    <row r="260" spans="7:26" ht="12.75">
      <c r="G260" s="9">
        <v>70</v>
      </c>
      <c r="H260" s="9">
        <f t="shared" si="152"/>
        <v>0.07748134880348967</v>
      </c>
      <c r="I260" s="9">
        <f t="shared" si="153"/>
        <v>2.9019226798593234</v>
      </c>
      <c r="J260" s="9">
        <f t="shared" si="154"/>
        <v>1.2594400562940893</v>
      </c>
      <c r="K260" s="9">
        <f t="shared" si="155"/>
        <v>1.255387942174323</v>
      </c>
      <c r="L260" s="9">
        <f t="shared" si="156"/>
        <v>0.00045657096939147324</v>
      </c>
      <c r="M260" s="9">
        <f t="shared" si="157"/>
        <v>0.5213675213675214</v>
      </c>
      <c r="N260" s="9">
        <f t="shared" si="169"/>
        <v>1.8816771153704375</v>
      </c>
      <c r="O260" s="9">
        <f t="shared" si="158"/>
        <v>0.07325223505585884</v>
      </c>
      <c r="P260" s="9">
        <f t="shared" si="159"/>
        <v>0.41486710809955024</v>
      </c>
      <c r="Q260" s="9">
        <f t="shared" si="160"/>
        <v>0.5710914364943231</v>
      </c>
      <c r="R260" s="9">
        <f t="shared" si="161"/>
        <v>0.06779950800763512</v>
      </c>
      <c r="S260" s="9">
        <f t="shared" si="162"/>
        <v>0.7603833865814694</v>
      </c>
      <c r="T260" s="9">
        <f t="shared" si="170"/>
        <v>1.9108403151044127</v>
      </c>
      <c r="U260" s="9">
        <f t="shared" si="163"/>
        <v>1.1241640435910945</v>
      </c>
      <c r="V260" s="9">
        <f t="shared" si="164"/>
        <v>3.343461545850683</v>
      </c>
      <c r="W260" s="9">
        <f t="shared" si="165"/>
        <v>1.8816771153704375</v>
      </c>
      <c r="X260" s="27">
        <f t="shared" si="166"/>
        <v>1.6018306636155608</v>
      </c>
      <c r="Y260" s="27">
        <f t="shared" si="167"/>
        <v>-0.033974828375286044</v>
      </c>
      <c r="Z260" s="30">
        <f t="shared" si="168"/>
        <v>2.895012303903268</v>
      </c>
    </row>
    <row r="261" spans="7:26" ht="12.75">
      <c r="G261" s="8">
        <v>71</v>
      </c>
      <c r="H261" s="8">
        <f t="shared" si="152"/>
        <v>0.07858822521496808</v>
      </c>
      <c r="I261" s="8">
        <f t="shared" si="153"/>
        <v>2.9190184306910347</v>
      </c>
      <c r="J261" s="8">
        <f t="shared" si="154"/>
        <v>1.2774032189832152</v>
      </c>
      <c r="K261" s="8">
        <f t="shared" si="155"/>
        <v>1.2733507543806035</v>
      </c>
      <c r="L261" s="8">
        <f t="shared" si="156"/>
        <v>0.00045657096939147324</v>
      </c>
      <c r="M261" s="8">
        <f t="shared" si="157"/>
        <v>0.5213675213675214</v>
      </c>
      <c r="N261" s="8">
        <f t="shared" si="169"/>
        <v>1.888120156851398</v>
      </c>
      <c r="O261" s="8">
        <f t="shared" si="158"/>
        <v>0.07325223505585884</v>
      </c>
      <c r="P261" s="8">
        <f t="shared" si="159"/>
        <v>0.4264845051587668</v>
      </c>
      <c r="Q261" s="8">
        <f t="shared" si="160"/>
        <v>0.5800441480092745</v>
      </c>
      <c r="R261" s="8">
        <f t="shared" si="161"/>
        <v>0.06779950800763512</v>
      </c>
      <c r="S261" s="8">
        <f t="shared" si="162"/>
        <v>0.7603833865814694</v>
      </c>
      <c r="T261" s="8">
        <f t="shared" si="170"/>
        <v>1.9155726794094816</v>
      </c>
      <c r="U261" s="8">
        <f t="shared" si="163"/>
        <v>1.128606548363135</v>
      </c>
      <c r="V261" s="8">
        <f t="shared" si="164"/>
        <v>3.343461545850683</v>
      </c>
      <c r="W261" s="8">
        <f t="shared" si="165"/>
        <v>1.888120156851398</v>
      </c>
      <c r="X261" s="26">
        <f t="shared" si="166"/>
        <v>1.6247139588100687</v>
      </c>
      <c r="Y261" s="26">
        <f t="shared" si="167"/>
        <v>-0.034460183066361554</v>
      </c>
      <c r="Z261" s="29">
        <f t="shared" si="168"/>
        <v>2.924337415757771</v>
      </c>
    </row>
    <row r="262" spans="7:26" ht="12.75">
      <c r="G262" s="9">
        <v>72</v>
      </c>
      <c r="H262" s="9">
        <f t="shared" si="152"/>
        <v>0.07969510162644651</v>
      </c>
      <c r="I262" s="9">
        <f t="shared" si="153"/>
        <v>2.935994206894433</v>
      </c>
      <c r="J262" s="9">
        <f t="shared" si="154"/>
        <v>1.295366381672341</v>
      </c>
      <c r="K262" s="9">
        <f t="shared" si="155"/>
        <v>1.2913135665868842</v>
      </c>
      <c r="L262" s="9">
        <f t="shared" si="156"/>
        <v>0.00045657096939147324</v>
      </c>
      <c r="M262" s="9">
        <f t="shared" si="157"/>
        <v>0.5213675213675214</v>
      </c>
      <c r="N262" s="9">
        <f t="shared" si="169"/>
        <v>1.8945029993965212</v>
      </c>
      <c r="O262" s="9">
        <f t="shared" si="158"/>
        <v>0.07325223505585884</v>
      </c>
      <c r="P262" s="9">
        <f t="shared" si="159"/>
        <v>0.43826220430492324</v>
      </c>
      <c r="Q262" s="9">
        <f t="shared" si="160"/>
        <v>0.588996859524226</v>
      </c>
      <c r="R262" s="9">
        <f t="shared" si="161"/>
        <v>0.06779950800763512</v>
      </c>
      <c r="S262" s="9">
        <f t="shared" si="162"/>
        <v>0.7603833865814694</v>
      </c>
      <c r="T262" s="9">
        <f t="shared" si="170"/>
        <v>1.9202645437927361</v>
      </c>
      <c r="U262" s="9">
        <f t="shared" si="163"/>
        <v>1.1330178765074823</v>
      </c>
      <c r="V262" s="9">
        <f t="shared" si="164"/>
        <v>3.343461545850683</v>
      </c>
      <c r="W262" s="9">
        <f t="shared" si="165"/>
        <v>1.8945029993965212</v>
      </c>
      <c r="X262" s="27">
        <f t="shared" si="166"/>
        <v>1.647597254004577</v>
      </c>
      <c r="Y262" s="27">
        <f t="shared" si="167"/>
        <v>-0.03494553775743707</v>
      </c>
      <c r="Z262" s="30">
        <f t="shared" si="168"/>
        <v>2.9534897217317604</v>
      </c>
    </row>
    <row r="263" spans="7:26" ht="12.75">
      <c r="G263" s="8">
        <v>73</v>
      </c>
      <c r="H263" s="8">
        <f t="shared" si="152"/>
        <v>0.08080197803792494</v>
      </c>
      <c r="I263" s="8">
        <f t="shared" si="153"/>
        <v>2.952852499442957</v>
      </c>
      <c r="J263" s="8">
        <f t="shared" si="154"/>
        <v>1.3133295443614672</v>
      </c>
      <c r="K263" s="8">
        <f t="shared" si="155"/>
        <v>1.3092763787931647</v>
      </c>
      <c r="L263" s="8">
        <f t="shared" si="156"/>
        <v>0.00045657096939147324</v>
      </c>
      <c r="M263" s="8">
        <f t="shared" si="157"/>
        <v>0.5213675213675214</v>
      </c>
      <c r="N263" s="8">
        <f t="shared" si="169"/>
        <v>1.9008270298187502</v>
      </c>
      <c r="O263" s="8">
        <f t="shared" si="158"/>
        <v>0.07325223505585884</v>
      </c>
      <c r="P263" s="8">
        <f t="shared" si="159"/>
        <v>0.4502002055380198</v>
      </c>
      <c r="Q263" s="8">
        <f t="shared" si="160"/>
        <v>0.5979495710391772</v>
      </c>
      <c r="R263" s="8">
        <f t="shared" si="161"/>
        <v>0.06779950800763512</v>
      </c>
      <c r="S263" s="8">
        <f t="shared" si="162"/>
        <v>0.7603833865814694</v>
      </c>
      <c r="T263" s="8">
        <f t="shared" si="170"/>
        <v>1.924916772264878</v>
      </c>
      <c r="U263" s="8">
        <f t="shared" si="163"/>
        <v>1.1373986753289267</v>
      </c>
      <c r="V263" s="8">
        <f t="shared" si="164"/>
        <v>3.343461545850683</v>
      </c>
      <c r="W263" s="8">
        <f t="shared" si="165"/>
        <v>1.9008270298187502</v>
      </c>
      <c r="X263" s="26">
        <f t="shared" si="166"/>
        <v>1.6704805491990848</v>
      </c>
      <c r="Y263" s="26">
        <f t="shared" si="167"/>
        <v>-0.03543089244851259</v>
      </c>
      <c r="Z263" s="29">
        <f t="shared" si="168"/>
        <v>2.982473055769411</v>
      </c>
    </row>
    <row r="264" spans="7:26" ht="12.75">
      <c r="G264" s="9">
        <v>74</v>
      </c>
      <c r="H264" s="9">
        <f t="shared" si="152"/>
        <v>0.08190885444940335</v>
      </c>
      <c r="I264" s="9">
        <f t="shared" si="153"/>
        <v>2.969595714286831</v>
      </c>
      <c r="J264" s="9">
        <f t="shared" si="154"/>
        <v>1.3312927070505933</v>
      </c>
      <c r="K264" s="9">
        <f t="shared" si="155"/>
        <v>1.3272391909994454</v>
      </c>
      <c r="L264" s="9">
        <f t="shared" si="156"/>
        <v>0.00045657096939147324</v>
      </c>
      <c r="M264" s="9">
        <f t="shared" si="157"/>
        <v>0.5213675213675214</v>
      </c>
      <c r="N264" s="9">
        <f t="shared" si="169"/>
        <v>1.9070935845082153</v>
      </c>
      <c r="O264" s="9">
        <f t="shared" si="158"/>
        <v>0.07325223505585884</v>
      </c>
      <c r="P264" s="9">
        <f t="shared" si="159"/>
        <v>0.4622985088580561</v>
      </c>
      <c r="Q264" s="9">
        <f t="shared" si="160"/>
        <v>0.6069022825541286</v>
      </c>
      <c r="R264" s="9">
        <f t="shared" si="161"/>
        <v>0.06779950800763512</v>
      </c>
      <c r="S264" s="9">
        <f t="shared" si="162"/>
        <v>0.7603833865814694</v>
      </c>
      <c r="T264" s="9">
        <f t="shared" si="170"/>
        <v>1.9295301995806322</v>
      </c>
      <c r="U264" s="9">
        <f t="shared" si="163"/>
        <v>1.14174957003811</v>
      </c>
      <c r="V264" s="9">
        <f t="shared" si="164"/>
        <v>3.343461545850683</v>
      </c>
      <c r="W264" s="9">
        <f t="shared" si="165"/>
        <v>1.9070935845082153</v>
      </c>
      <c r="X264" s="27">
        <f t="shared" si="166"/>
        <v>1.6933638443935928</v>
      </c>
      <c r="Y264" s="27">
        <f t="shared" si="167"/>
        <v>-0.0359162471395881</v>
      </c>
      <c r="Z264" s="30">
        <f t="shared" si="168"/>
        <v>3.0112911092504424</v>
      </c>
    </row>
    <row r="265" spans="7:26" ht="12.75">
      <c r="G265" s="8">
        <v>75</v>
      </c>
      <c r="H265" s="8">
        <f t="shared" si="152"/>
        <v>0.08301573086088178</v>
      </c>
      <c r="I265" s="8">
        <f t="shared" si="153"/>
        <v>2.986226176361315</v>
      </c>
      <c r="J265" s="8">
        <f t="shared" si="154"/>
        <v>1.3492558697397192</v>
      </c>
      <c r="K265" s="8">
        <f t="shared" si="155"/>
        <v>1.3452020032057261</v>
      </c>
      <c r="L265" s="8">
        <f t="shared" si="156"/>
        <v>0.00045657096939147324</v>
      </c>
      <c r="M265" s="8">
        <f t="shared" si="157"/>
        <v>0.5213675213675214</v>
      </c>
      <c r="N265" s="8">
        <f t="shared" si="169"/>
        <v>1.913303951919227</v>
      </c>
      <c r="O265" s="8">
        <f t="shared" si="158"/>
        <v>0.07325223505585884</v>
      </c>
      <c r="P265" s="8">
        <f t="shared" si="159"/>
        <v>0.4745571142650322</v>
      </c>
      <c r="Q265" s="8">
        <f t="shared" si="160"/>
        <v>0.6158549940690801</v>
      </c>
      <c r="R265" s="8">
        <f t="shared" si="161"/>
        <v>0.06779950800763512</v>
      </c>
      <c r="S265" s="8">
        <f t="shared" si="162"/>
        <v>0.7603833865814694</v>
      </c>
      <c r="T265" s="8">
        <f t="shared" si="170"/>
        <v>1.9341056325876105</v>
      </c>
      <c r="U265" s="8">
        <f t="shared" si="163"/>
        <v>1.1460711647931112</v>
      </c>
      <c r="V265" s="8">
        <f t="shared" si="164"/>
        <v>3.343461545850683</v>
      </c>
      <c r="W265" s="8">
        <f t="shared" si="165"/>
        <v>1.913303951919227</v>
      </c>
      <c r="X265" s="26">
        <f t="shared" si="166"/>
        <v>1.716247139588101</v>
      </c>
      <c r="Y265" s="26">
        <f t="shared" si="167"/>
        <v>-0.03640160183066362</v>
      </c>
      <c r="Z265" s="29">
        <f t="shared" si="168"/>
        <v>3.0399474383041603</v>
      </c>
    </row>
    <row r="266" spans="7:26" ht="12.75">
      <c r="G266" s="9">
        <v>76</v>
      </c>
      <c r="H266" s="9">
        <f t="shared" si="152"/>
        <v>0.0841226072723602</v>
      </c>
      <c r="I266" s="9">
        <f t="shared" si="153"/>
        <v>3.002746133355225</v>
      </c>
      <c r="J266" s="9">
        <f t="shared" si="154"/>
        <v>1.3672190324288456</v>
      </c>
      <c r="K266" s="9">
        <f t="shared" si="155"/>
        <v>1.3631648154120066</v>
      </c>
      <c r="L266" s="9">
        <f t="shared" si="156"/>
        <v>0.00045657096939147324</v>
      </c>
      <c r="M266" s="9">
        <f t="shared" si="157"/>
        <v>0.5213675213675214</v>
      </c>
      <c r="N266" s="9">
        <f t="shared" si="169"/>
        <v>1.9194593749032145</v>
      </c>
      <c r="O266" s="9">
        <f t="shared" si="158"/>
        <v>0.07325223505585884</v>
      </c>
      <c r="P266" s="9">
        <f t="shared" si="159"/>
        <v>0.48697602175894844</v>
      </c>
      <c r="Q266" s="9">
        <f t="shared" si="160"/>
        <v>0.6248077055840313</v>
      </c>
      <c r="R266" s="9">
        <f t="shared" si="161"/>
        <v>0.06779950800763512</v>
      </c>
      <c r="S266" s="9">
        <f t="shared" si="162"/>
        <v>0.7603833865814694</v>
      </c>
      <c r="T266" s="9">
        <f t="shared" si="170"/>
        <v>1.9386438514968516</v>
      </c>
      <c r="U266" s="9">
        <f t="shared" si="163"/>
        <v>1.150364043678735</v>
      </c>
      <c r="V266" s="9">
        <f t="shared" si="164"/>
        <v>3.343461545850683</v>
      </c>
      <c r="W266" s="9">
        <f t="shared" si="165"/>
        <v>1.9194593749032145</v>
      </c>
      <c r="X266" s="27">
        <f t="shared" si="166"/>
        <v>1.739130434782609</v>
      </c>
      <c r="Y266" s="27">
        <f t="shared" si="167"/>
        <v>-0.036886956521739137</v>
      </c>
      <c r="Z266" s="30">
        <f t="shared" si="168"/>
        <v>3.0684454706499054</v>
      </c>
    </row>
    <row r="267" spans="7:26" ht="12.75">
      <c r="G267" s="8">
        <v>77</v>
      </c>
      <c r="H267" s="8">
        <f t="shared" si="152"/>
        <v>0.08522948368383862</v>
      </c>
      <c r="I267" s="8">
        <f t="shared" si="153"/>
        <v>3.0191577592570202</v>
      </c>
      <c r="J267" s="8">
        <f t="shared" si="154"/>
        <v>1.3851821951179712</v>
      </c>
      <c r="K267" s="8">
        <f t="shared" si="155"/>
        <v>1.3811276276182873</v>
      </c>
      <c r="L267" s="8">
        <f t="shared" si="156"/>
        <v>0.00045657096939147324</v>
      </c>
      <c r="M267" s="8">
        <f t="shared" si="157"/>
        <v>0.5213675213675214</v>
      </c>
      <c r="N267" s="8">
        <f t="shared" si="169"/>
        <v>1.92556105289905</v>
      </c>
      <c r="O267" s="8">
        <f t="shared" si="158"/>
        <v>0.07325223505585884</v>
      </c>
      <c r="P267" s="8">
        <f t="shared" si="159"/>
        <v>0.4995552313398044</v>
      </c>
      <c r="Q267" s="8">
        <f t="shared" si="160"/>
        <v>0.6337604170989827</v>
      </c>
      <c r="R267" s="8">
        <f t="shared" si="161"/>
        <v>0.06779950800763512</v>
      </c>
      <c r="S267" s="8">
        <f t="shared" si="162"/>
        <v>0.7603833865814694</v>
      </c>
      <c r="T267" s="8">
        <f t="shared" si="170"/>
        <v>1.9431456110805057</v>
      </c>
      <c r="U267" s="8">
        <f t="shared" si="163"/>
        <v>1.154628771628</v>
      </c>
      <c r="V267" s="8">
        <f t="shared" si="164"/>
        <v>3.343461545850683</v>
      </c>
      <c r="W267" s="8">
        <f t="shared" si="165"/>
        <v>1.92556105289905</v>
      </c>
      <c r="X267" s="26">
        <f t="shared" si="166"/>
        <v>1.7620137299771168</v>
      </c>
      <c r="Y267" s="26">
        <f t="shared" si="167"/>
        <v>-0.037372311212814646</v>
      </c>
      <c r="Z267" s="29">
        <f t="shared" si="168"/>
        <v>3.0967885120006766</v>
      </c>
    </row>
    <row r="268" spans="7:26" ht="12.75">
      <c r="G268" s="9">
        <v>78</v>
      </c>
      <c r="H268" s="9">
        <f t="shared" si="152"/>
        <v>0.08633636009531705</v>
      </c>
      <c r="I268" s="9">
        <f t="shared" si="153"/>
        <v>3.0354631576943043</v>
      </c>
      <c r="J268" s="9">
        <f t="shared" si="154"/>
        <v>1.4031453578070971</v>
      </c>
      <c r="K268" s="9">
        <f t="shared" si="155"/>
        <v>1.399090439824568</v>
      </c>
      <c r="L268" s="9">
        <f t="shared" si="156"/>
        <v>0.00045657096939147324</v>
      </c>
      <c r="M268" s="9">
        <f t="shared" si="157"/>
        <v>0.5213675213675214</v>
      </c>
      <c r="N268" s="9">
        <f t="shared" si="169"/>
        <v>1.931610143991207</v>
      </c>
      <c r="O268" s="9">
        <f t="shared" si="158"/>
        <v>0.07325223505585884</v>
      </c>
      <c r="P268" s="9">
        <f t="shared" si="159"/>
        <v>0.5122947430076001</v>
      </c>
      <c r="Q268" s="9">
        <f t="shared" si="160"/>
        <v>0.6427131286139341</v>
      </c>
      <c r="R268" s="9">
        <f t="shared" si="161"/>
        <v>0.06779950800763512</v>
      </c>
      <c r="S268" s="9">
        <f t="shared" si="162"/>
        <v>0.7603833865814694</v>
      </c>
      <c r="T268" s="9">
        <f t="shared" si="170"/>
        <v>1.9476116418016782</v>
      </c>
      <c r="U268" s="9">
        <f t="shared" si="163"/>
        <v>1.1588658952899387</v>
      </c>
      <c r="V268" s="9">
        <f t="shared" si="164"/>
        <v>3.343461545850683</v>
      </c>
      <c r="W268" s="9">
        <f t="shared" si="165"/>
        <v>1.931610143991207</v>
      </c>
      <c r="X268" s="27">
        <f t="shared" si="166"/>
        <v>1.784897025171625</v>
      </c>
      <c r="Y268" s="27">
        <f t="shared" si="167"/>
        <v>-0.03785766590389016</v>
      </c>
      <c r="Z268" s="30">
        <f t="shared" si="168"/>
        <v>3.1249797520633904</v>
      </c>
    </row>
    <row r="269" spans="7:26" ht="12.75">
      <c r="G269" s="8">
        <v>79</v>
      </c>
      <c r="H269" s="8">
        <f t="shared" si="152"/>
        <v>0.08744323650679547</v>
      </c>
      <c r="I269" s="8">
        <f t="shared" si="153"/>
        <v>3.0516643650812494</v>
      </c>
      <c r="J269" s="8">
        <f t="shared" si="154"/>
        <v>1.4211085204962233</v>
      </c>
      <c r="K269" s="8">
        <f t="shared" si="155"/>
        <v>1.4170532520308488</v>
      </c>
      <c r="L269" s="8">
        <f t="shared" si="156"/>
        <v>0.00045657096939147324</v>
      </c>
      <c r="M269" s="8">
        <f t="shared" si="157"/>
        <v>0.5213675213675214</v>
      </c>
      <c r="N269" s="8">
        <f t="shared" si="169"/>
        <v>1.9376077668453093</v>
      </c>
      <c r="O269" s="8">
        <f t="shared" si="158"/>
        <v>0.07325223505585884</v>
      </c>
      <c r="P269" s="8">
        <f t="shared" si="159"/>
        <v>0.5251945567623361</v>
      </c>
      <c r="Q269" s="8">
        <f t="shared" si="160"/>
        <v>0.6516658401288855</v>
      </c>
      <c r="R269" s="8">
        <f t="shared" si="161"/>
        <v>0.06779950800763512</v>
      </c>
      <c r="S269" s="8">
        <f t="shared" si="162"/>
        <v>0.7603833865814694</v>
      </c>
      <c r="T269" s="8">
        <f t="shared" si="170"/>
        <v>1.952042650881051</v>
      </c>
      <c r="U269" s="8">
        <f t="shared" si="163"/>
        <v>1.163075943847491</v>
      </c>
      <c r="V269" s="8">
        <f t="shared" si="164"/>
        <v>3.343461545850683</v>
      </c>
      <c r="W269" s="8">
        <f t="shared" si="165"/>
        <v>1.9376077668453093</v>
      </c>
      <c r="X269" s="26">
        <f t="shared" si="166"/>
        <v>1.8077803203661331</v>
      </c>
      <c r="Y269" s="26">
        <f t="shared" si="167"/>
        <v>-0.03834302059496568</v>
      </c>
      <c r="Z269" s="29">
        <f t="shared" si="168"/>
        <v>3.153022270166278</v>
      </c>
    </row>
    <row r="270" spans="7:26" ht="12.75">
      <c r="G270" s="9">
        <v>80</v>
      </c>
      <c r="H270" s="9">
        <f t="shared" si="152"/>
        <v>0.0885501129182739</v>
      </c>
      <c r="I270" s="9">
        <f t="shared" si="153"/>
        <v>3.067763353587285</v>
      </c>
      <c r="J270" s="9">
        <f t="shared" si="154"/>
        <v>1.4390716831853496</v>
      </c>
      <c r="K270" s="9">
        <f t="shared" si="155"/>
        <v>1.4350160642371292</v>
      </c>
      <c r="L270" s="9">
        <f t="shared" si="156"/>
        <v>0.00045657096939147324</v>
      </c>
      <c r="M270" s="9">
        <f t="shared" si="157"/>
        <v>0.5213675213675214</v>
      </c>
      <c r="N270" s="9">
        <f t="shared" si="169"/>
        <v>1.943555002529834</v>
      </c>
      <c r="O270" s="9">
        <f t="shared" si="158"/>
        <v>0.07325223505585884</v>
      </c>
      <c r="P270" s="9">
        <f t="shared" si="159"/>
        <v>0.5382546726040118</v>
      </c>
      <c r="Q270" s="9">
        <f t="shared" si="160"/>
        <v>0.6606185516438369</v>
      </c>
      <c r="R270" s="9">
        <f t="shared" si="161"/>
        <v>0.06779950800763512</v>
      </c>
      <c r="S270" s="9">
        <f t="shared" si="162"/>
        <v>0.7603833865814694</v>
      </c>
      <c r="T270" s="9">
        <f t="shared" si="170"/>
        <v>1.9564393233045316</v>
      </c>
      <c r="U270" s="9">
        <f t="shared" si="163"/>
        <v>1.1672594297889458</v>
      </c>
      <c r="V270" s="9">
        <f t="shared" si="164"/>
        <v>3.343461545850683</v>
      </c>
      <c r="W270" s="9">
        <f t="shared" si="165"/>
        <v>1.943555002529834</v>
      </c>
      <c r="X270" s="27">
        <f t="shared" si="166"/>
        <v>1.8306636155606408</v>
      </c>
      <c r="Y270" s="27">
        <f t="shared" si="167"/>
        <v>-0.03882837528604119</v>
      </c>
      <c r="Z270" s="30">
        <f t="shared" si="168"/>
        <v>3.1809190405412195</v>
      </c>
    </row>
    <row r="271" spans="7:26" ht="12.75">
      <c r="G271" s="8">
        <v>81</v>
      </c>
      <c r="H271" s="8">
        <f t="shared" si="152"/>
        <v>0.08965698932975233</v>
      </c>
      <c r="I271" s="8">
        <f t="shared" si="153"/>
        <v>3.0837620339392986</v>
      </c>
      <c r="J271" s="8">
        <f t="shared" si="154"/>
        <v>1.4570348458744757</v>
      </c>
      <c r="K271" s="8">
        <f t="shared" si="155"/>
        <v>1.4529788764434102</v>
      </c>
      <c r="L271" s="8">
        <f t="shared" si="156"/>
        <v>0.00045657096939147324</v>
      </c>
      <c r="M271" s="8">
        <f t="shared" si="157"/>
        <v>0.5213675213675214</v>
      </c>
      <c r="N271" s="8">
        <f t="shared" si="169"/>
        <v>1.9494528962319984</v>
      </c>
      <c r="O271" s="8">
        <f t="shared" si="158"/>
        <v>0.07325223505585884</v>
      </c>
      <c r="P271" s="8">
        <f t="shared" si="159"/>
        <v>0.5514750905326273</v>
      </c>
      <c r="Q271" s="8">
        <f t="shared" si="160"/>
        <v>0.6695712631587883</v>
      </c>
      <c r="R271" s="8">
        <f t="shared" si="161"/>
        <v>0.06779950800763512</v>
      </c>
      <c r="S271" s="8">
        <f t="shared" si="162"/>
        <v>0.7603833865814694</v>
      </c>
      <c r="T271" s="8">
        <f t="shared" si="170"/>
        <v>1.9608023227758502</v>
      </c>
      <c r="U271" s="8">
        <f t="shared" si="163"/>
        <v>1.1714168496361241</v>
      </c>
      <c r="V271" s="8">
        <f t="shared" si="164"/>
        <v>3.343461545850683</v>
      </c>
      <c r="W271" s="8">
        <f t="shared" si="165"/>
        <v>1.9494528962319984</v>
      </c>
      <c r="X271" s="26">
        <f t="shared" si="166"/>
        <v>1.853546910755149</v>
      </c>
      <c r="Y271" s="26">
        <f t="shared" si="167"/>
        <v>-0.039313729977116706</v>
      </c>
      <c r="Z271" s="29">
        <f t="shared" si="168"/>
        <v>3.2086729372864284</v>
      </c>
    </row>
    <row r="272" spans="7:26" ht="12.75">
      <c r="G272" s="9">
        <v>82</v>
      </c>
      <c r="H272" s="9">
        <f t="shared" si="152"/>
        <v>0.09076386574123074</v>
      </c>
      <c r="I272" s="9">
        <f t="shared" si="153"/>
        <v>3.099662258068625</v>
      </c>
      <c r="J272" s="9">
        <f t="shared" si="154"/>
        <v>1.4749980085636014</v>
      </c>
      <c r="K272" s="9">
        <f t="shared" si="155"/>
        <v>1.4709416886496907</v>
      </c>
      <c r="L272" s="9">
        <f t="shared" si="156"/>
        <v>0.00045657096939147324</v>
      </c>
      <c r="M272" s="9">
        <f t="shared" si="157"/>
        <v>0.5213675213675214</v>
      </c>
      <c r="N272" s="9">
        <f t="shared" si="169"/>
        <v>1.9553024588751953</v>
      </c>
      <c r="O272" s="9">
        <f t="shared" si="158"/>
        <v>0.07325223505585884</v>
      </c>
      <c r="P272" s="9">
        <f t="shared" si="159"/>
        <v>0.5648558105481826</v>
      </c>
      <c r="Q272" s="9">
        <f t="shared" si="160"/>
        <v>0.6785239746737397</v>
      </c>
      <c r="R272" s="9">
        <f t="shared" si="161"/>
        <v>0.06779950800763512</v>
      </c>
      <c r="S272" s="9">
        <f t="shared" si="162"/>
        <v>0.7603833865814694</v>
      </c>
      <c r="T272" s="9">
        <f t="shared" si="170"/>
        <v>1.9651322926177164</v>
      </c>
      <c r="U272" s="9">
        <f t="shared" si="163"/>
        <v>1.1755486846322225</v>
      </c>
      <c r="V272" s="9">
        <f t="shared" si="164"/>
        <v>3.343461545850683</v>
      </c>
      <c r="W272" s="9">
        <f t="shared" si="165"/>
        <v>1.9553024588751953</v>
      </c>
      <c r="X272" s="27">
        <f t="shared" si="166"/>
        <v>1.8764302059496571</v>
      </c>
      <c r="Y272" s="27">
        <f t="shared" si="167"/>
        <v>-0.03979908466819222</v>
      </c>
      <c r="Z272" s="30">
        <f t="shared" si="168"/>
        <v>3.236286739032717</v>
      </c>
    </row>
    <row r="273" spans="7:26" ht="12.75">
      <c r="G273" s="8">
        <v>83</v>
      </c>
      <c r="H273" s="8">
        <f t="shared" si="152"/>
        <v>0.09187074215270916</v>
      </c>
      <c r="I273" s="8">
        <f t="shared" si="153"/>
        <v>3.115465821613195</v>
      </c>
      <c r="J273" s="8">
        <f t="shared" si="154"/>
        <v>1.4929611712527273</v>
      </c>
      <c r="K273" s="8">
        <f t="shared" si="155"/>
        <v>1.488904500855971</v>
      </c>
      <c r="L273" s="8">
        <f t="shared" si="156"/>
        <v>0.00045657096939147324</v>
      </c>
      <c r="M273" s="8">
        <f t="shared" si="157"/>
        <v>0.5213675213675214</v>
      </c>
      <c r="N273" s="8">
        <f t="shared" si="169"/>
        <v>1.9611046686447633</v>
      </c>
      <c r="O273" s="8">
        <f t="shared" si="158"/>
        <v>0.07325223505585884</v>
      </c>
      <c r="P273" s="8">
        <f t="shared" si="159"/>
        <v>0.5783968326506778</v>
      </c>
      <c r="Q273" s="8">
        <f t="shared" si="160"/>
        <v>0.6874766861886908</v>
      </c>
      <c r="R273" s="8">
        <f t="shared" si="161"/>
        <v>0.06779950800763512</v>
      </c>
      <c r="S273" s="8">
        <f t="shared" si="162"/>
        <v>0.7603833865814694</v>
      </c>
      <c r="T273" s="8">
        <f t="shared" si="170"/>
        <v>1.9694298566248767</v>
      </c>
      <c r="U273" s="8">
        <f t="shared" si="163"/>
        <v>1.1796554013920248</v>
      </c>
      <c r="V273" s="8">
        <f t="shared" si="164"/>
        <v>3.343461545850683</v>
      </c>
      <c r="W273" s="8">
        <f t="shared" si="165"/>
        <v>1.9611046686447633</v>
      </c>
      <c r="X273" s="26">
        <f t="shared" si="166"/>
        <v>1.8993135011441649</v>
      </c>
      <c r="Y273" s="26">
        <f t="shared" si="167"/>
        <v>-0.04028443935926773</v>
      </c>
      <c r="Z273" s="29">
        <f t="shared" si="168"/>
        <v>3.263763133334613</v>
      </c>
    </row>
    <row r="274" spans="7:26" ht="12.75">
      <c r="G274" s="9">
        <v>84</v>
      </c>
      <c r="H274" s="9">
        <f t="shared" si="152"/>
        <v>0.09297761856418758</v>
      </c>
      <c r="I274" s="9">
        <f t="shared" si="153"/>
        <v>3.1311744662844214</v>
      </c>
      <c r="J274" s="9">
        <f t="shared" si="154"/>
        <v>1.5109243339418537</v>
      </c>
      <c r="K274" s="9">
        <f t="shared" si="155"/>
        <v>1.5068673130622519</v>
      </c>
      <c r="L274" s="9">
        <f t="shared" si="156"/>
        <v>0.00045657096939147324</v>
      </c>
      <c r="M274" s="9">
        <f t="shared" si="157"/>
        <v>0.5213675213675214</v>
      </c>
      <c r="N274" s="9">
        <f t="shared" si="169"/>
        <v>1.9668604724283187</v>
      </c>
      <c r="O274" s="9">
        <f t="shared" si="158"/>
        <v>0.07325223505585884</v>
      </c>
      <c r="P274" s="9">
        <f t="shared" si="159"/>
        <v>0.5920981568401131</v>
      </c>
      <c r="Q274" s="9">
        <f t="shared" si="160"/>
        <v>0.6964293977036423</v>
      </c>
      <c r="R274" s="9">
        <f t="shared" si="161"/>
        <v>0.06779950800763512</v>
      </c>
      <c r="S274" s="9">
        <f t="shared" si="162"/>
        <v>0.7603833865814694</v>
      </c>
      <c r="T274" s="9">
        <f t="shared" si="170"/>
        <v>1.9736956198721596</v>
      </c>
      <c r="U274" s="9">
        <f t="shared" si="163"/>
        <v>1.1837374525169606</v>
      </c>
      <c r="V274" s="9">
        <f t="shared" si="164"/>
        <v>3.343461545850683</v>
      </c>
      <c r="W274" s="9">
        <f t="shared" si="165"/>
        <v>1.9668604724283187</v>
      </c>
      <c r="X274" s="27">
        <f t="shared" si="166"/>
        <v>1.922196796338673</v>
      </c>
      <c r="Y274" s="27">
        <f t="shared" si="167"/>
        <v>-0.04076979405034325</v>
      </c>
      <c r="Z274" s="30">
        <f t="shared" si="168"/>
        <v>3.2911047208058264</v>
      </c>
    </row>
    <row r="275" spans="7:26" ht="12.75">
      <c r="G275" s="8">
        <v>85</v>
      </c>
      <c r="H275" s="8">
        <f t="shared" si="152"/>
        <v>0.09408449497566601</v>
      </c>
      <c r="I275" s="8">
        <f t="shared" si="153"/>
        <v>3.1467898821076505</v>
      </c>
      <c r="J275" s="8">
        <f t="shared" si="154"/>
        <v>1.5288874966309796</v>
      </c>
      <c r="K275" s="8">
        <f t="shared" si="155"/>
        <v>1.5248301252685326</v>
      </c>
      <c r="L275" s="8">
        <f t="shared" si="156"/>
        <v>0.00045657096939147324</v>
      </c>
      <c r="M275" s="8">
        <f t="shared" si="157"/>
        <v>0.5213675213675214</v>
      </c>
      <c r="N275" s="8">
        <f t="shared" si="169"/>
        <v>1.9725707871763882</v>
      </c>
      <c r="O275" s="8">
        <f t="shared" si="158"/>
        <v>0.07325223505585884</v>
      </c>
      <c r="P275" s="8">
        <f t="shared" si="159"/>
        <v>0.605959783116488</v>
      </c>
      <c r="Q275" s="8">
        <f t="shared" si="160"/>
        <v>0.7053821092185938</v>
      </c>
      <c r="R275" s="8">
        <f t="shared" si="161"/>
        <v>0.06779950800763512</v>
      </c>
      <c r="S275" s="8">
        <f t="shared" si="162"/>
        <v>0.7603833865814694</v>
      </c>
      <c r="T275" s="8">
        <f t="shared" si="170"/>
        <v>1.9779301694803628</v>
      </c>
      <c r="U275" s="8">
        <f t="shared" si="163"/>
        <v>1.187795277177309</v>
      </c>
      <c r="V275" s="8">
        <f t="shared" si="164"/>
        <v>3.343461545850683</v>
      </c>
      <c r="W275" s="8">
        <f t="shared" si="165"/>
        <v>1.9725707871763882</v>
      </c>
      <c r="X275" s="26">
        <f t="shared" si="166"/>
        <v>1.945080091533181</v>
      </c>
      <c r="Y275" s="26">
        <f t="shared" si="167"/>
        <v>-0.041255148741418765</v>
      </c>
      <c r="Z275" s="29">
        <f t="shared" si="168"/>
        <v>3.3183140190169587</v>
      </c>
    </row>
    <row r="276" spans="7:26" ht="12.75">
      <c r="G276" s="9">
        <v>86</v>
      </c>
      <c r="H276" s="9">
        <f t="shared" si="152"/>
        <v>0.09519137138714444</v>
      </c>
      <c r="I276" s="9">
        <f t="shared" si="153"/>
        <v>3.162313709544342</v>
      </c>
      <c r="J276" s="9">
        <f t="shared" si="154"/>
        <v>1.5468506593201057</v>
      </c>
      <c r="K276" s="9">
        <f t="shared" si="155"/>
        <v>1.5427929374748133</v>
      </c>
      <c r="L276" s="9">
        <f t="shared" si="156"/>
        <v>0.00045657096939147324</v>
      </c>
      <c r="M276" s="9">
        <f t="shared" si="157"/>
        <v>0.5213675213675214</v>
      </c>
      <c r="N276" s="9">
        <f t="shared" si="169"/>
        <v>1.9782365011886403</v>
      </c>
      <c r="O276" s="9">
        <f t="shared" si="158"/>
        <v>0.07325223505585884</v>
      </c>
      <c r="P276" s="9">
        <f t="shared" si="159"/>
        <v>0.6199817114798029</v>
      </c>
      <c r="Q276" s="9">
        <f t="shared" si="160"/>
        <v>0.7143348207335452</v>
      </c>
      <c r="R276" s="9">
        <f t="shared" si="161"/>
        <v>0.06779950800763512</v>
      </c>
      <c r="S276" s="9">
        <f t="shared" si="162"/>
        <v>0.7603833865814694</v>
      </c>
      <c r="T276" s="9">
        <f t="shared" si="170"/>
        <v>1.9821340753426275</v>
      </c>
      <c r="U276" s="9">
        <f t="shared" si="163"/>
        <v>1.1918293016636685</v>
      </c>
      <c r="V276" s="9">
        <f t="shared" si="164"/>
        <v>3.343461545850683</v>
      </c>
      <c r="W276" s="9">
        <f t="shared" si="165"/>
        <v>1.9782365011886403</v>
      </c>
      <c r="X276" s="27">
        <f t="shared" si="166"/>
        <v>1.9679633867276891</v>
      </c>
      <c r="Y276" s="27">
        <f t="shared" si="167"/>
        <v>-0.04174050343249428</v>
      </c>
      <c r="Z276" s="30">
        <f t="shared" si="168"/>
        <v>3.345393466171887</v>
      </c>
    </row>
    <row r="277" spans="7:26" ht="12.75">
      <c r="G277" s="8">
        <v>87</v>
      </c>
      <c r="H277" s="8">
        <f t="shared" si="152"/>
        <v>0.09629824779862287</v>
      </c>
      <c r="I277" s="8">
        <f t="shared" si="153"/>
        <v>3.177747541503507</v>
      </c>
      <c r="J277" s="8">
        <f t="shared" si="154"/>
        <v>1.5648138220092316</v>
      </c>
      <c r="K277" s="8">
        <f t="shared" si="155"/>
        <v>1.5607557496810938</v>
      </c>
      <c r="L277" s="8">
        <f t="shared" si="156"/>
        <v>0.00045657096939147324</v>
      </c>
      <c r="M277" s="8">
        <f t="shared" si="157"/>
        <v>0.5213675213675214</v>
      </c>
      <c r="N277" s="8">
        <f t="shared" si="169"/>
        <v>1.9838584753305937</v>
      </c>
      <c r="O277" s="8">
        <f t="shared" si="158"/>
        <v>0.07325223505585884</v>
      </c>
      <c r="P277" s="8">
        <f t="shared" si="159"/>
        <v>0.634163941930058</v>
      </c>
      <c r="Q277" s="8">
        <f t="shared" si="160"/>
        <v>0.7232875322484965</v>
      </c>
      <c r="R277" s="8">
        <f t="shared" si="161"/>
        <v>0.06779950800763512</v>
      </c>
      <c r="S277" s="8">
        <f t="shared" si="162"/>
        <v>0.7603833865814694</v>
      </c>
      <c r="T277" s="8">
        <f t="shared" si="170"/>
        <v>1.9863078908137526</v>
      </c>
      <c r="U277" s="8">
        <f t="shared" si="163"/>
        <v>1.1958399399096518</v>
      </c>
      <c r="V277" s="8">
        <f t="shared" si="164"/>
        <v>3.343461545850683</v>
      </c>
      <c r="W277" s="8">
        <f t="shared" si="165"/>
        <v>1.9838584753305937</v>
      </c>
      <c r="X277" s="26">
        <f t="shared" si="166"/>
        <v>1.990846681922197</v>
      </c>
      <c r="Y277" s="26">
        <f t="shared" si="167"/>
        <v>-0.0422258581235698</v>
      </c>
      <c r="Z277" s="29">
        <f t="shared" si="168"/>
        <v>3.3723454245779463</v>
      </c>
    </row>
    <row r="278" spans="7:26" ht="12.75">
      <c r="G278" s="9">
        <v>88</v>
      </c>
      <c r="H278" s="9">
        <f t="shared" si="152"/>
        <v>0.09740512421010128</v>
      </c>
      <c r="I278" s="9">
        <f t="shared" si="153"/>
        <v>3.193092925249405</v>
      </c>
      <c r="J278" s="9">
        <f t="shared" si="154"/>
        <v>1.5827769846983577</v>
      </c>
      <c r="K278" s="9">
        <f t="shared" si="155"/>
        <v>1.5787185618873745</v>
      </c>
      <c r="L278" s="9">
        <f t="shared" si="156"/>
        <v>0.00045657096939147324</v>
      </c>
      <c r="M278" s="9">
        <f t="shared" si="157"/>
        <v>0.5213675213675214</v>
      </c>
      <c r="N278" s="9">
        <f t="shared" si="169"/>
        <v>1.9894375441853187</v>
      </c>
      <c r="O278" s="9">
        <f t="shared" si="158"/>
        <v>0.07325223505585884</v>
      </c>
      <c r="P278" s="9">
        <f t="shared" si="159"/>
        <v>0.6485064744672526</v>
      </c>
      <c r="Q278" s="9">
        <f t="shared" si="160"/>
        <v>0.7322402437634479</v>
      </c>
      <c r="R278" s="9">
        <f t="shared" si="161"/>
        <v>0.06779950800763512</v>
      </c>
      <c r="S278" s="9">
        <f t="shared" si="162"/>
        <v>0.7603833865814694</v>
      </c>
      <c r="T278" s="9">
        <f t="shared" si="170"/>
        <v>1.9904521533647213</v>
      </c>
      <c r="U278" s="9">
        <f t="shared" si="163"/>
        <v>1.1998275939876164</v>
      </c>
      <c r="V278" s="9">
        <f t="shared" si="164"/>
        <v>3.343461545850683</v>
      </c>
      <c r="W278" s="9">
        <f t="shared" si="165"/>
        <v>1.9894375441853187</v>
      </c>
      <c r="X278" s="27">
        <f t="shared" si="166"/>
        <v>2.013729977116705</v>
      </c>
      <c r="Y278" s="27">
        <f t="shared" si="167"/>
        <v>-0.04271121281464531</v>
      </c>
      <c r="Z278" s="30">
        <f t="shared" si="168"/>
        <v>3.399172183923809</v>
      </c>
    </row>
    <row r="279" spans="7:26" ht="12.75">
      <c r="G279" s="8">
        <v>89</v>
      </c>
      <c r="H279" s="8">
        <f t="shared" si="152"/>
        <v>0.09851200062157972</v>
      </c>
      <c r="I279" s="8">
        <f t="shared" si="153"/>
        <v>3.2083513642119486</v>
      </c>
      <c r="J279" s="8">
        <f t="shared" si="154"/>
        <v>1.600740147387484</v>
      </c>
      <c r="K279" s="8">
        <f t="shared" si="155"/>
        <v>1.5966813740936554</v>
      </c>
      <c r="L279" s="8">
        <f t="shared" si="156"/>
        <v>0.00045657096939147324</v>
      </c>
      <c r="M279" s="8">
        <f t="shared" si="157"/>
        <v>0.5213675213675214</v>
      </c>
      <c r="N279" s="8">
        <f t="shared" si="169"/>
        <v>1.9949745171442932</v>
      </c>
      <c r="O279" s="8">
        <f t="shared" si="158"/>
        <v>0.07325223505585884</v>
      </c>
      <c r="P279" s="8">
        <f t="shared" si="159"/>
        <v>0.6630093090913874</v>
      </c>
      <c r="Q279" s="8">
        <f t="shared" si="160"/>
        <v>0.7411929552783993</v>
      </c>
      <c r="R279" s="8">
        <f t="shared" si="161"/>
        <v>0.06779950800763512</v>
      </c>
      <c r="S279" s="8">
        <f t="shared" si="162"/>
        <v>0.7603833865814694</v>
      </c>
      <c r="T279" s="8">
        <f t="shared" si="170"/>
        <v>1.9945673852045522</v>
      </c>
      <c r="U279" s="8">
        <f t="shared" si="163"/>
        <v>1.20379265457912</v>
      </c>
      <c r="V279" s="8">
        <f t="shared" si="164"/>
        <v>3.343461545850683</v>
      </c>
      <c r="W279" s="8">
        <f t="shared" si="165"/>
        <v>1.9949745171442932</v>
      </c>
      <c r="X279" s="26">
        <f t="shared" si="166"/>
        <v>2.036613272311213</v>
      </c>
      <c r="Y279" s="26">
        <f t="shared" si="167"/>
        <v>-0.043196567505720825</v>
      </c>
      <c r="Z279" s="29">
        <f t="shared" si="168"/>
        <v>3.42587596437791</v>
      </c>
    </row>
    <row r="280" spans="7:26" ht="12.75">
      <c r="G280" s="9">
        <v>90</v>
      </c>
      <c r="H280" s="9">
        <f t="shared" si="152"/>
        <v>0.09961887703305815</v>
      </c>
      <c r="I280" s="9">
        <f t="shared" si="153"/>
        <v>3.22352431970582</v>
      </c>
      <c r="J280" s="9">
        <f t="shared" si="154"/>
        <v>1.61870331007661</v>
      </c>
      <c r="K280" s="9">
        <f t="shared" si="155"/>
        <v>1.614644186299936</v>
      </c>
      <c r="L280" s="9">
        <f t="shared" si="156"/>
        <v>0.00045657096939147324</v>
      </c>
      <c r="M280" s="9">
        <f t="shared" si="157"/>
        <v>0.5213675213675214</v>
      </c>
      <c r="N280" s="9">
        <f t="shared" si="169"/>
        <v>2.000470179441283</v>
      </c>
      <c r="O280" s="9">
        <f t="shared" si="158"/>
        <v>0.07325223505585884</v>
      </c>
      <c r="P280" s="9">
        <f t="shared" si="159"/>
        <v>0.677672445802462</v>
      </c>
      <c r="Q280" s="9">
        <f t="shared" si="160"/>
        <v>0.7501456667933507</v>
      </c>
      <c r="R280" s="9">
        <f t="shared" si="161"/>
        <v>0.06779950800763512</v>
      </c>
      <c r="S280" s="9">
        <f t="shared" si="162"/>
        <v>0.7603833865814694</v>
      </c>
      <c r="T280" s="9">
        <f t="shared" si="170"/>
        <v>1.99865409387144</v>
      </c>
      <c r="U280" s="9">
        <f t="shared" si="163"/>
        <v>1.207735501421649</v>
      </c>
      <c r="V280" s="9">
        <f t="shared" si="164"/>
        <v>3.343461545850683</v>
      </c>
      <c r="W280" s="9">
        <f t="shared" si="165"/>
        <v>1.99865409387144</v>
      </c>
      <c r="X280" s="27">
        <f t="shared" si="166"/>
        <v>2.0594965675057213</v>
      </c>
      <c r="Y280" s="27">
        <f t="shared" si="167"/>
        <v>-0.04368192219679634</v>
      </c>
      <c r="Z280" s="30">
        <f t="shared" si="168"/>
        <v>3.456192445094335</v>
      </c>
    </row>
    <row r="281" spans="7:26" ht="12.75">
      <c r="G281" s="8">
        <v>91</v>
      </c>
      <c r="H281" s="8">
        <f t="shared" si="152"/>
        <v>0.10072575344453656</v>
      </c>
      <c r="I281" s="8">
        <f t="shared" si="153"/>
        <v>3.2386132125638647</v>
      </c>
      <c r="J281" s="8">
        <f t="shared" si="154"/>
        <v>1.636666472765736</v>
      </c>
      <c r="K281" s="8">
        <f t="shared" si="155"/>
        <v>1.6326069985062166</v>
      </c>
      <c r="L281" s="8">
        <f t="shared" si="156"/>
        <v>0.00045657096939147324</v>
      </c>
      <c r="M281" s="8">
        <f t="shared" si="157"/>
        <v>0.5213675213675214</v>
      </c>
      <c r="N281" s="8">
        <f t="shared" si="169"/>
        <v>2.005925293132813</v>
      </c>
      <c r="O281" s="8">
        <f t="shared" si="158"/>
        <v>0.07325223505585884</v>
      </c>
      <c r="P281" s="8">
        <f t="shared" si="159"/>
        <v>0.6924958846004763</v>
      </c>
      <c r="Q281" s="8">
        <f t="shared" si="160"/>
        <v>0.7590983783083021</v>
      </c>
      <c r="R281" s="8">
        <f t="shared" si="161"/>
        <v>0.06779950800763512</v>
      </c>
      <c r="S281" s="8">
        <f t="shared" si="162"/>
        <v>0.7603833865814694</v>
      </c>
      <c r="T281" s="8">
        <f t="shared" si="170"/>
        <v>2.0027127727950065</v>
      </c>
      <c r="U281" s="8">
        <f t="shared" si="163"/>
        <v>1.211656503733073</v>
      </c>
      <c r="V281" s="8">
        <f t="shared" si="164"/>
        <v>3.343461545850683</v>
      </c>
      <c r="W281" s="8">
        <f t="shared" si="165"/>
        <v>2.0027127727950065</v>
      </c>
      <c r="X281" s="26">
        <f t="shared" si="166"/>
        <v>2.082379862700229</v>
      </c>
      <c r="Y281" s="26">
        <f t="shared" si="167"/>
        <v>-0.04416727688787186</v>
      </c>
      <c r="Z281" s="29">
        <f t="shared" si="168"/>
        <v>3.4799548690736852</v>
      </c>
    </row>
    <row r="282" spans="7:26" ht="12.75">
      <c r="G282" s="9">
        <v>92</v>
      </c>
      <c r="H282" s="9">
        <f t="shared" si="152"/>
        <v>0.101832629856015</v>
      </c>
      <c r="I282" s="9">
        <f t="shared" si="153"/>
        <v>3.2536194246899286</v>
      </c>
      <c r="J282" s="9">
        <f t="shared" si="154"/>
        <v>1.6546296354548624</v>
      </c>
      <c r="K282" s="9">
        <f t="shared" si="155"/>
        <v>1.6505698107124975</v>
      </c>
      <c r="L282" s="9">
        <f t="shared" si="156"/>
        <v>0.00045657096939147324</v>
      </c>
      <c r="M282" s="9">
        <f t="shared" si="157"/>
        <v>0.5213675213675214</v>
      </c>
      <c r="N282" s="9">
        <f t="shared" si="169"/>
        <v>2.0113405980285433</v>
      </c>
      <c r="O282" s="9">
        <f t="shared" si="158"/>
        <v>0.07325223505585884</v>
      </c>
      <c r="P282" s="9">
        <f t="shared" si="159"/>
        <v>0.7074796254854308</v>
      </c>
      <c r="Q282" s="9">
        <f t="shared" si="160"/>
        <v>0.7680510898232537</v>
      </c>
      <c r="R282" s="9">
        <f t="shared" si="161"/>
        <v>0.06779950800763512</v>
      </c>
      <c r="S282" s="9">
        <f t="shared" si="162"/>
        <v>0.7603833865814694</v>
      </c>
      <c r="T282" s="9">
        <f t="shared" si="170"/>
        <v>2.0067439018313626</v>
      </c>
      <c r="U282" s="9">
        <f t="shared" si="163"/>
        <v>1.2155560206151645</v>
      </c>
      <c r="V282" s="9">
        <f t="shared" si="164"/>
        <v>3.343461545850683</v>
      </c>
      <c r="W282" s="9">
        <f t="shared" si="165"/>
        <v>2.0067439018313626</v>
      </c>
      <c r="X282" s="27">
        <f t="shared" si="166"/>
        <v>2.105263157894737</v>
      </c>
      <c r="Y282" s="27">
        <f t="shared" si="167"/>
        <v>-0.04465263157894737</v>
      </c>
      <c r="Z282" s="30">
        <f t="shared" si="168"/>
        <v>3.5008233820424146</v>
      </c>
    </row>
    <row r="283" spans="7:26" ht="12.75">
      <c r="G283" s="8">
        <v>93</v>
      </c>
      <c r="H283" s="8">
        <f t="shared" si="152"/>
        <v>0.10293950626749342</v>
      </c>
      <c r="I283" s="8">
        <f t="shared" si="153"/>
        <v>3.2685443005359365</v>
      </c>
      <c r="J283" s="8">
        <f t="shared" si="154"/>
        <v>1.672592798143988</v>
      </c>
      <c r="K283" s="8">
        <f t="shared" si="155"/>
        <v>1.668532622918778</v>
      </c>
      <c r="L283" s="8">
        <f t="shared" si="156"/>
        <v>0.00045657096939147324</v>
      </c>
      <c r="M283" s="8">
        <f t="shared" si="157"/>
        <v>0.5213675213675214</v>
      </c>
      <c r="N283" s="8">
        <f t="shared" si="169"/>
        <v>2.016716812574631</v>
      </c>
      <c r="O283" s="8">
        <f t="shared" si="158"/>
        <v>0.07325223505585884</v>
      </c>
      <c r="P283" s="8">
        <f t="shared" si="159"/>
        <v>0.7226236684573247</v>
      </c>
      <c r="Q283" s="8">
        <f t="shared" si="160"/>
        <v>0.7770038013382049</v>
      </c>
      <c r="R283" s="8">
        <f t="shared" si="161"/>
        <v>0.06779950800763512</v>
      </c>
      <c r="S283" s="8">
        <f t="shared" si="162"/>
        <v>0.7603833865814694</v>
      </c>
      <c r="T283" s="8">
        <f t="shared" si="170"/>
        <v>2.0107479477725647</v>
      </c>
      <c r="U283" s="8">
        <f t="shared" si="163"/>
        <v>1.2194344014374332</v>
      </c>
      <c r="V283" s="8">
        <f t="shared" si="164"/>
        <v>3.343461545850683</v>
      </c>
      <c r="W283" s="8">
        <f t="shared" si="165"/>
        <v>2.0107479477725647</v>
      </c>
      <c r="X283" s="26">
        <f t="shared" si="166"/>
        <v>2.1281464530892453</v>
      </c>
      <c r="Y283" s="26">
        <f t="shared" si="167"/>
        <v>-0.045137986270022884</v>
      </c>
      <c r="Z283" s="29">
        <f t="shared" si="168"/>
        <v>3.521573442905429</v>
      </c>
    </row>
    <row r="284" spans="7:26" ht="12.75">
      <c r="G284" s="9">
        <v>94</v>
      </c>
      <c r="H284" s="9">
        <f t="shared" si="152"/>
        <v>0.10404638267897182</v>
      </c>
      <c r="I284" s="9">
        <f t="shared" si="153"/>
        <v>3.283389148507685</v>
      </c>
      <c r="J284" s="9">
        <f t="shared" si="154"/>
        <v>1.6905559608331138</v>
      </c>
      <c r="K284" s="9">
        <f t="shared" si="155"/>
        <v>1.686495435125058</v>
      </c>
      <c r="L284" s="9">
        <f t="shared" si="156"/>
        <v>0.00045657096939147324</v>
      </c>
      <c r="M284" s="9">
        <f t="shared" si="157"/>
        <v>0.5213675213675214</v>
      </c>
      <c r="N284" s="9">
        <f t="shared" si="169"/>
        <v>2.0220546346929233</v>
      </c>
      <c r="O284" s="9">
        <f t="shared" si="158"/>
        <v>0.07325223505585884</v>
      </c>
      <c r="P284" s="9">
        <f t="shared" si="159"/>
        <v>0.7379280135161584</v>
      </c>
      <c r="Q284" s="9">
        <f t="shared" si="160"/>
        <v>0.785956512853156</v>
      </c>
      <c r="R284" s="9">
        <f t="shared" si="161"/>
        <v>0.06779950800763512</v>
      </c>
      <c r="S284" s="9">
        <f t="shared" si="162"/>
        <v>0.7603833865814694</v>
      </c>
      <c r="T284" s="9">
        <f t="shared" si="170"/>
        <v>2.0147253648319396</v>
      </c>
      <c r="U284" s="9">
        <f t="shared" si="163"/>
        <v>1.2232919862024372</v>
      </c>
      <c r="V284" s="9">
        <f t="shared" si="164"/>
        <v>3.343461545850683</v>
      </c>
      <c r="W284" s="9">
        <f t="shared" si="165"/>
        <v>2.0147253648319396</v>
      </c>
      <c r="X284" s="27">
        <f t="shared" si="166"/>
        <v>2.151029748283753</v>
      </c>
      <c r="Y284" s="27">
        <f t="shared" si="167"/>
        <v>-0.0456233409610984</v>
      </c>
      <c r="Z284" s="30">
        <f t="shared" si="168"/>
        <v>3.5422074061801974</v>
      </c>
    </row>
    <row r="285" spans="7:26" ht="12.75">
      <c r="G285" s="8">
        <v>95</v>
      </c>
      <c r="H285" s="8">
        <f t="shared" si="152"/>
        <v>0.10515325909045026</v>
      </c>
      <c r="I285" s="8">
        <f t="shared" si="153"/>
        <v>3.298155242303518</v>
      </c>
      <c r="J285" s="8">
        <f t="shared" si="154"/>
        <v>1.7085191235222401</v>
      </c>
      <c r="K285" s="8">
        <f t="shared" si="155"/>
        <v>1.7044582473313392</v>
      </c>
      <c r="L285" s="8">
        <f t="shared" si="156"/>
        <v>0.00045657096939147324</v>
      </c>
      <c r="M285" s="8">
        <f t="shared" si="157"/>
        <v>0.5213675213675214</v>
      </c>
      <c r="N285" s="8">
        <f t="shared" si="169"/>
        <v>2.0273547425786407</v>
      </c>
      <c r="O285" s="8">
        <f t="shared" si="158"/>
        <v>0.07325223505585884</v>
      </c>
      <c r="P285" s="8">
        <f t="shared" si="159"/>
        <v>0.7533926606619327</v>
      </c>
      <c r="Q285" s="8">
        <f t="shared" si="160"/>
        <v>0.7949092243681076</v>
      </c>
      <c r="R285" s="8">
        <f t="shared" si="161"/>
        <v>0.06779950800763512</v>
      </c>
      <c r="S285" s="8">
        <f t="shared" si="162"/>
        <v>0.7603833865814694</v>
      </c>
      <c r="T285" s="8">
        <f t="shared" si="170"/>
        <v>2.0186765951066508</v>
      </c>
      <c r="U285" s="8">
        <f t="shared" si="163"/>
        <v>1.2271291058936473</v>
      </c>
      <c r="V285" s="8">
        <f t="shared" si="164"/>
        <v>3.343461545850683</v>
      </c>
      <c r="W285" s="8">
        <f t="shared" si="165"/>
        <v>2.0186765951066508</v>
      </c>
      <c r="X285" s="26">
        <f t="shared" si="166"/>
        <v>2.173913043478261</v>
      </c>
      <c r="Y285" s="26">
        <f t="shared" si="167"/>
        <v>-0.04610869565217392</v>
      </c>
      <c r="Z285" s="29">
        <f t="shared" si="168"/>
        <v>3.562727549600598</v>
      </c>
    </row>
    <row r="286" spans="7:26" ht="12.75">
      <c r="G286" s="9">
        <v>96</v>
      </c>
      <c r="H286" s="9">
        <f t="shared" si="152"/>
        <v>0.10626013550192868</v>
      </c>
      <c r="I286" s="9">
        <f t="shared" si="153"/>
        <v>3.31284382218974</v>
      </c>
      <c r="J286" s="9">
        <f t="shared" si="154"/>
        <v>1.726482286211366</v>
      </c>
      <c r="K286" s="9">
        <f t="shared" si="155"/>
        <v>1.72242105953762</v>
      </c>
      <c r="L286" s="9">
        <f t="shared" si="156"/>
        <v>0.00045657096939147324</v>
      </c>
      <c r="M286" s="9">
        <f t="shared" si="157"/>
        <v>0.5213675213675214</v>
      </c>
      <c r="N286" s="9">
        <f t="shared" si="169"/>
        <v>2.0326177954590148</v>
      </c>
      <c r="O286" s="9">
        <f t="shared" si="158"/>
        <v>0.07325223505585884</v>
      </c>
      <c r="P286" s="9">
        <f t="shared" si="159"/>
        <v>0.7690176098946465</v>
      </c>
      <c r="Q286" s="9">
        <f t="shared" si="160"/>
        <v>0.803861935883059</v>
      </c>
      <c r="R286" s="9">
        <f t="shared" si="161"/>
        <v>0.06779950800763512</v>
      </c>
      <c r="S286" s="9">
        <f t="shared" si="162"/>
        <v>0.7603833865814694</v>
      </c>
      <c r="T286" s="9">
        <f t="shared" si="170"/>
        <v>2.0226020690187965</v>
      </c>
      <c r="U286" s="9">
        <f t="shared" si="163"/>
        <v>1.2309460828068806</v>
      </c>
      <c r="V286" s="9">
        <f t="shared" si="164"/>
        <v>3.343461545850683</v>
      </c>
      <c r="W286" s="9">
        <f t="shared" si="165"/>
        <v>2.0226020690187965</v>
      </c>
      <c r="X286" s="27">
        <f t="shared" si="166"/>
        <v>2.1967963386727694</v>
      </c>
      <c r="Y286" s="27">
        <f t="shared" si="167"/>
        <v>-0.046594050343249434</v>
      </c>
      <c r="Z286" s="30">
        <f t="shared" si="168"/>
        <v>3.583136077525682</v>
      </c>
    </row>
    <row r="287" spans="7:26" ht="12.75">
      <c r="G287" s="8">
        <v>97</v>
      </c>
      <c r="H287" s="8">
        <f>(((G287/100)*Iout)*(Vout_nom^2)*2.5*Rsense*K_1)/(eff*(Vline^2)*K_FQ)*us</f>
        <v>0.10736701191340711</v>
      </c>
      <c r="I287" s="8">
        <f>(1*10^-9*(5*10^8*SQRT(fsw*kHz)+(1.09655978*10^10)*SQRT(ftyp)*SQRT(H287)))/SQRT(fsw*kHz)</f>
        <v>3.327456096216404</v>
      </c>
      <c r="J287" s="8">
        <f t="shared" si="154"/>
        <v>1.7444454489004924</v>
      </c>
      <c r="K287" s="8">
        <f t="shared" si="155"/>
        <v>1.7403838717439004</v>
      </c>
      <c r="L287" s="8">
        <f t="shared" si="156"/>
        <v>0.00045657096939147324</v>
      </c>
      <c r="M287" s="8">
        <f t="shared" si="157"/>
        <v>0.5213675213675214</v>
      </c>
      <c r="N287" s="8">
        <f t="shared" si="169"/>
        <v>2.037844434315179</v>
      </c>
      <c r="O287" s="8">
        <f t="shared" si="158"/>
        <v>0.07325223505585884</v>
      </c>
      <c r="P287" s="8">
        <f t="shared" si="159"/>
        <v>0.7848028612143002</v>
      </c>
      <c r="Q287" s="8">
        <f t="shared" si="160"/>
        <v>0.8128146473980103</v>
      </c>
      <c r="R287" s="8">
        <f t="shared" si="161"/>
        <v>0.06779950800763512</v>
      </c>
      <c r="S287" s="8">
        <f t="shared" si="162"/>
        <v>0.7603833865814694</v>
      </c>
      <c r="T287" s="8">
        <f t="shared" si="170"/>
        <v>2.026502205736232</v>
      </c>
      <c r="U287" s="8">
        <f t="shared" si="163"/>
        <v>1.2347432308662336</v>
      </c>
      <c r="V287" s="8">
        <f t="shared" si="164"/>
        <v>3.343461545850683</v>
      </c>
      <c r="W287" s="8">
        <f>IF(I287&gt;=0.5,IF(I287&lt;1,I287,IF(N287&gt;=1,IF(N287&lt;2,N287,IF(VCOMP3&gt;=2,IF(T287&lt;4.5,T287,IF(U287&gt;=4.5,IF(U287&lt;4.6,U287,V287))))))))</f>
        <v>2.026502205736232</v>
      </c>
      <c r="X287" s="26">
        <f t="shared" si="166"/>
        <v>2.219679633867277</v>
      </c>
      <c r="Y287" s="26">
        <f>-Rsense*X287*1.414</f>
        <v>-0.04707940503432494</v>
      </c>
      <c r="Z287" s="29">
        <f t="shared" si="168"/>
        <v>3.6034351241593026</v>
      </c>
    </row>
    <row r="288" spans="7:26" ht="12.75">
      <c r="G288" s="9">
        <v>98</v>
      </c>
      <c r="H288" s="9">
        <f>(((G288/100)*Iout)*(Vout_nom^2)*2.5*Rsense*K_1)/(eff*(Vline^2)*K_FQ)*us</f>
        <v>0.10847388832488553</v>
      </c>
      <c r="I288" s="9">
        <f>(1*10^-9*(5*10^8*SQRT(fsw*kHz)+(1.09655978*10^10)*SQRT(ftyp)*SQRT(H288)))/SQRT(fsw*kHz)</f>
        <v>3.341993241376838</v>
      </c>
      <c r="J288" s="9">
        <f t="shared" si="154"/>
        <v>1.762408611589618</v>
      </c>
      <c r="K288" s="9">
        <f t="shared" si="155"/>
        <v>1.7583466839501811</v>
      </c>
      <c r="L288" s="9">
        <f t="shared" si="156"/>
        <v>0.00045657096939147324</v>
      </c>
      <c r="M288" s="9">
        <f t="shared" si="157"/>
        <v>0.5213675213675214</v>
      </c>
      <c r="N288" s="9">
        <f t="shared" si="169"/>
        <v>2.0430352825694524</v>
      </c>
      <c r="O288" s="9">
        <f t="shared" si="158"/>
        <v>0.07325223505585884</v>
      </c>
      <c r="P288" s="9">
        <f t="shared" si="159"/>
        <v>0.8007484146208936</v>
      </c>
      <c r="Q288" s="9">
        <f t="shared" si="160"/>
        <v>0.8217673589129617</v>
      </c>
      <c r="R288" s="9">
        <f t="shared" si="161"/>
        <v>0.06779950800763512</v>
      </c>
      <c r="S288" s="9">
        <f t="shared" si="162"/>
        <v>0.7603833865814694</v>
      </c>
      <c r="T288" s="9">
        <f t="shared" si="170"/>
        <v>2.0303774135742465</v>
      </c>
      <c r="U288" s="9">
        <f t="shared" si="163"/>
        <v>1.2385208559253962</v>
      </c>
      <c r="V288" s="9">
        <f t="shared" si="164"/>
        <v>3.343461545850683</v>
      </c>
      <c r="W288" s="9">
        <f>IF(I288&gt;=0.5,IF(I288&lt;1,I288,IF(N288&gt;=1,IF(N288&lt;2,N288,IF(VCOMP3&gt;=2,IF(T288&lt;4.5,T288,IF(U288&gt;=4.5,IF(U288&lt;4.6,U288,V288))))))))</f>
        <v>2.0303774135742465</v>
      </c>
      <c r="X288" s="27">
        <f t="shared" si="166"/>
        <v>2.2425629290617852</v>
      </c>
      <c r="Y288" s="27">
        <f>-Rsense*X288*1.414</f>
        <v>-0.04756475972540046</v>
      </c>
      <c r="Z288" s="30">
        <f t="shared" si="168"/>
        <v>3.6236267565930613</v>
      </c>
    </row>
    <row r="289" spans="7:26" ht="12.75">
      <c r="G289" s="8">
        <v>99</v>
      </c>
      <c r="H289" s="8">
        <f>(((G289/100)*Iout)*(Vout_nom^2)*2.5*Rsense*K_1)/(eff*(Vline^2)*K_FQ)*us</f>
        <v>0.10958076473636395</v>
      </c>
      <c r="I289" s="8">
        <f>(1*10^-9*(5*10^8*SQRT(fsw*kHz)+(1.09655978*10^10)*SQRT(ftyp)*SQRT(H289)))/SQRT(fsw*kHz)</f>
        <v>3.3564564047140566</v>
      </c>
      <c r="J289" s="8">
        <f t="shared" si="154"/>
        <v>1.7803717742787442</v>
      </c>
      <c r="K289" s="8">
        <f t="shared" si="155"/>
        <v>1.7763094961564618</v>
      </c>
      <c r="L289" s="8">
        <f t="shared" si="156"/>
        <v>0.00045657096939147324</v>
      </c>
      <c r="M289" s="8">
        <f t="shared" si="157"/>
        <v>0.5213675213675214</v>
      </c>
      <c r="N289" s="8">
        <f t="shared" si="169"/>
        <v>2.0481909467400046</v>
      </c>
      <c r="O289" s="8">
        <f t="shared" si="158"/>
        <v>0.07325223505585884</v>
      </c>
      <c r="P289" s="8">
        <f t="shared" si="159"/>
        <v>0.8168542701144272</v>
      </c>
      <c r="Q289" s="8">
        <f t="shared" si="160"/>
        <v>0.8307200704279132</v>
      </c>
      <c r="R289" s="8">
        <f t="shared" si="161"/>
        <v>0.06779950800763512</v>
      </c>
      <c r="S289" s="8">
        <f t="shared" si="162"/>
        <v>0.7603833865814694</v>
      </c>
      <c r="T289" s="8">
        <f t="shared" si="170"/>
        <v>2.0342280903791345</v>
      </c>
      <c r="U289" s="8">
        <f t="shared" si="163"/>
        <v>1.2422792560551645</v>
      </c>
      <c r="V289" s="8">
        <f t="shared" si="164"/>
        <v>3.343461545850683</v>
      </c>
      <c r="W289" s="8">
        <f>IF(I289&gt;=0.5,IF(I289&lt;1,I289,IF(N289&gt;=1,IF(N289&lt;2,N289,IF(VCOMP3&gt;=2,IF(T289&lt;4.5,T289,IF(U289&gt;=4.5,IF(U289&lt;4.6,U289,V289))))))))</f>
        <v>2.0342280903791345</v>
      </c>
      <c r="X289" s="26">
        <f t="shared" si="166"/>
        <v>2.265446224256293</v>
      </c>
      <c r="Y289" s="26">
        <f>-Rsense*X289*1.414</f>
        <v>-0.04805011441647597</v>
      </c>
      <c r="Z289" s="29">
        <f t="shared" si="168"/>
        <v>3.6437129776841686</v>
      </c>
    </row>
    <row r="290" spans="7:26" ht="12.75">
      <c r="G290" s="9">
        <v>100</v>
      </c>
      <c r="H290" s="9">
        <f>(((G290/100)*Iout)*(Vout_nom^2)*2.5*Rsense*K_1)/(eff*(Vline^2)*K_FQ)*us</f>
        <v>0.11068764114784238</v>
      </c>
      <c r="I290" s="9">
        <f>(1*10^-9*(5*10^8*SQRT(fsw*kHz)+(1.09655978*10^10)*SQRT(ftyp)*SQRT(H290)))/SQRT(fsw*kHz)</f>
        <v>3.3708467043769983</v>
      </c>
      <c r="J290" s="9">
        <f t="shared" si="154"/>
        <v>1.7983349369678705</v>
      </c>
      <c r="K290" s="9">
        <f t="shared" si="155"/>
        <v>1.7942723083627425</v>
      </c>
      <c r="L290" s="9">
        <f t="shared" si="156"/>
        <v>0.00045657096939147324</v>
      </c>
      <c r="M290" s="9">
        <f t="shared" si="157"/>
        <v>0.5213675213675214</v>
      </c>
      <c r="N290" s="9">
        <f t="shared" si="169"/>
        <v>2.0533120170647723</v>
      </c>
      <c r="O290" s="9">
        <f t="shared" si="158"/>
        <v>0.07325223505585884</v>
      </c>
      <c r="P290" s="9">
        <f t="shared" si="159"/>
        <v>0.8331204276949008</v>
      </c>
      <c r="Q290" s="9">
        <f t="shared" si="160"/>
        <v>0.8396727819428645</v>
      </c>
      <c r="R290" s="9">
        <f t="shared" si="161"/>
        <v>0.06779950800763512</v>
      </c>
      <c r="S290" s="9">
        <f t="shared" si="162"/>
        <v>0.7603833865814694</v>
      </c>
      <c r="T290" s="9">
        <f t="shared" si="170"/>
        <v>2.0380546238946535</v>
      </c>
      <c r="U290" s="9">
        <f t="shared" si="163"/>
        <v>1.2460187218179155</v>
      </c>
      <c r="V290" s="9">
        <f t="shared" si="164"/>
        <v>3.343461545850683</v>
      </c>
      <c r="W290" s="9">
        <f>IF(I290&gt;=0.5,IF(I290&lt;1,I290,IF(N290&gt;=1,IF(N290&lt;2,N290,IF(VCOMP3&gt;=2,IF(T290&lt;4.5,T290,IF(U290&gt;=4.5,IF(U290&lt;4.6,U290,V290))))))))</f>
        <v>2.0380546238946535</v>
      </c>
      <c r="X290" s="27">
        <f t="shared" si="166"/>
        <v>2.288329519450801</v>
      </c>
      <c r="Y290" s="27">
        <f>-Rsense*X290*1.414</f>
        <v>-0.048535469107551486</v>
      </c>
      <c r="Z290" s="30">
        <f t="shared" si="168"/>
        <v>3.66369572877883</v>
      </c>
    </row>
  </sheetData>
  <sheetProtection/>
  <mergeCells count="17">
    <mergeCell ref="A1:E1"/>
    <mergeCell ref="A9:B9"/>
    <mergeCell ref="D10:E10"/>
    <mergeCell ref="A11:B11"/>
    <mergeCell ref="D12:E12"/>
    <mergeCell ref="A13:B13"/>
    <mergeCell ref="D14:E14"/>
    <mergeCell ref="A23:B23"/>
    <mergeCell ref="D24:E24"/>
    <mergeCell ref="A34:B34"/>
    <mergeCell ref="D35:E35"/>
    <mergeCell ref="A39:B39"/>
    <mergeCell ref="D40:E40"/>
    <mergeCell ref="A43:B43"/>
    <mergeCell ref="D44:E44"/>
    <mergeCell ref="A2:B4"/>
    <mergeCell ref="D2:E4"/>
  </mergeCells>
  <printOptions/>
  <pageMargins left="0.7" right="0.7" top="0.75" bottom="0.75" header="0.3" footer="0.3"/>
  <pageSetup horizontalDpi="1200" verticalDpi="12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 User</dc:creator>
  <cp:keywords/>
  <dc:description/>
  <cp:lastModifiedBy>Administrator</cp:lastModifiedBy>
  <cp:lastPrinted>2008-11-18T20:12:00Z</cp:lastPrinted>
  <dcterms:created xsi:type="dcterms:W3CDTF">2006-09-26T18:05:02Z</dcterms:created>
  <dcterms:modified xsi:type="dcterms:W3CDTF">2023-12-04T02:29:41Z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